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fullCalcOnLoad="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V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Grouped from EDGAR: Cost of Goods and Services Sold (derived Q4). Cost of revenue normalized from EDGAR cost concepts. Quarterly value was derived from Cost of Goods and Services Sold less 1Q24, 2Q24, 3Q24. Filing commentary support: 10-K filed 2024-11-01: "to customers through its retail and online stores and its direct sales force. The Company also employs a variety of indirect distribution channels, such as third-party cellular network carriers, wholesalers, retailers and resellers. During 2024, the Company’s net sales through it..."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 Grouped from EDGAR: Cost of Goods and Services Sold (derived Q4). Cost of revenue normalized from EDGAR cost concepts. Quarterly value was derived from Cost of Goods and Services Sold less 1Q25, 2Q25, 3Q25. Filing commentary support: 10-K filed 2025-10-31: "hrough its various service platforms. The Company also employs a variety of indirect distribution channels, such as third-party cellular network carriers and other resellers, for the sale of its products and certain of its services. During 2025, the Company’s net sales through it..."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F29" authorId="0">
      <text>
        <r>
          <rPr>
            <b/>
          </rPr>
          <t xml:space="preserve">EDGAR Mapper:
</t>
        </r>
        <r>
          <t xml:space="preserve">EDGAR mapping:
Source: 10-Q, accession #0000320193-23-000006, filed 2023-02-03
Period: 1Q23 / period ended 2022-12-31
Model row: Model!29 Cost of Goods Sold
Mapping type: direct
Concepts used: CostOfGoodsAndServicesSold = 66822 mm
Units: USD
Unit conversion: raw USD to $mm
Sign: inverted because model expects this row as negative
Confidence: high
Value written: -66822
Notes: Cost of revenue normalized from EDGAR cost concepts.</t>
        </r>
      </text>
    </comment>
    <comment ref="G29" authorId="0">
      <text>
        <r>
          <rPr>
            <b/>
          </rPr>
          <t xml:space="preserve">EDGAR Mapper:
</t>
        </r>
        <r>
          <t xml:space="preserve">EDGAR mapping:
Source: 10-Q, accession #0000320193-23-000064, filed 2023-05-05
Period: 2Q23 / period ended 2023-04-01
Model row: Model!29 Cost of Goods Sold
Mapping type: direct
Concepts used: CostOfGoodsAndServicesSold = 52860 mm
Units: USD
Unit conversion: raw USD to $mm
Sign: inverted because model expects this row as negative
Confidence: high
Value written: -52860
Notes: Cost of revenue normalized from EDGAR cost concepts.</t>
        </r>
      </text>
    </comment>
    <comment ref="H29" authorId="0">
      <text>
        <r>
          <rPr>
            <b/>
          </rPr>
          <t xml:space="preserve">EDGAR Mapper:
</t>
        </r>
        <r>
          <t xml:space="preserve">EDGAR mapping:
Source: 10-Q, accession #0000320193-23-000077, filed 2023-08-04
Period: 3Q23 / period ended 2023-07-01
Model row: Model!29 Cost of Goods Sold
Mapping type: direct
Concepts used: CostOfGoodsAndServicesSold = 45384 mm
Units: USD
Unit conversion: raw USD to $mm
Sign: inverted because model expects this row as negative
Confidence: high
Value written: -45384
Notes: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mapping:
Source: 10-Q, accession #0000320193-24-000006, filed 2024-02-02
Period: 1Q24 / period ended 2023-12-30
Model row: Model!29 Cost of Goods Sold
Mapping type: direct
Concepts used: CostOfGoodsAndServicesSold = 64720 mm
Units: USD
Unit conversion: raw USD to $mm
Sign: inverted because model expects this row as negative
Confidence: high
Value written: -64720
Notes: Cost of revenue normalized from EDGAR cost concepts.</t>
        </r>
      </text>
    </comment>
    <comment ref="L29" authorId="0">
      <text>
        <r>
          <rPr>
            <b/>
          </rPr>
          <t xml:space="preserve">EDGAR Mapper:
</t>
        </r>
        <r>
          <t xml:space="preserve">EDGAR mapping:
Source: 10-Q, accession #0000320193-24-000069, filed 2024-05-03
Period: 2Q24 / period ended 2024-03-30
Model row: Model!29 Cost of Goods Sold
Mapping type: direct
Concepts used: CostOfGoodsAndServicesSold = 48482 mm
Units: USD
Unit conversion: raw USD to $mm
Sign: inverted because model expects this row as negative
Confidence: high
Value written: -48482
Notes: Cost of revenue normalized from EDGAR cost concepts.</t>
        </r>
      </text>
    </comment>
    <comment ref="M29" authorId="0">
      <text>
        <r>
          <rPr>
            <b/>
          </rPr>
          <t xml:space="preserve">EDGAR Mapper:
</t>
        </r>
        <r>
          <t xml:space="preserve">EDGAR mapping:
Source: 10-Q, accession #0000320193-24-000081, filed 2024-08-02
Period: 3Q24 / period ended 2024-06-29
Model row: Model!29 Cost of Goods Sold
Mapping type: direct
Concepts used: CostOfGoodsAndServicesSold = 46099 mm
Units: USD
Unit conversion: raw USD to $mm
Sign: inverted because model expects this row as negative
Confidence: high
Value written: -46099
Notes: Cost of revenue normalized from EDGAR cost concepts.</t>
        </r>
      </text>
    </comment>
    <comment ref="N29" authorId="0">
      <text>
        <r>
          <rPr>
            <b/>
          </rPr>
          <t xml:space="preserve">EDGAR Mapper:
</t>
        </r>
        <r>
          <t xml:space="preserve">EDGAR mapping:
Source: 10-K, accession #0000320193-24-000123, filed 2024-11-01
Period: 4Q24 / period ended 2024-09-28
Model row: Model!29 Cost of Goods Sold
Mapping type: grouped
Concepts used: CostOfGoodsAndServicesSold = 51051 mm
Units: USD
Unit conversion: raw USD to $mm
Sign: inverted because model expects this row as negative
Confidence: medium
Value written: -51051
Notes: Grouped from EDGAR: Cost of Goods and Services Sold (derived Q4). Cost of revenue normalized from EDGAR cost concepts. Quarterly value was derived from Cost of Goods and Services Sold less 1Q24, 2Q24, 3Q24. Filing commentary support: 10-K filed 2024-11-01: "to customers through its retail and online stores and its direct sales force. The Company also employs a variety of indirect distribution channels, such as third-party cellular network carriers, wholesalers, retailers and resellers. During 2024, the Company’s net sales through it..."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P29" authorId="0">
      <text>
        <r>
          <rPr>
            <b/>
          </rPr>
          <t xml:space="preserve">EDGAR Mapper:
</t>
        </r>
        <r>
          <t>Updated the preserved formula's cached result from EDGAR while keeping the model formula in place.</t>
        </r>
      </text>
    </comment>
    <comment ref="Q29" authorId="0">
      <text>
        <r>
          <rPr>
            <b/>
          </rPr>
          <t xml:space="preserve">EDGAR Mapper:
</t>
        </r>
        <r>
          <t>Updated the preserved formula's cached result from EDGAR while keeping the model formula in place.</t>
        </r>
      </text>
    </comment>
    <comment ref="R29" authorId="0">
      <text>
        <r>
          <rPr>
            <b/>
          </rPr>
          <t xml:space="preserve">EDGAR Mapper:
</t>
        </r>
        <r>
          <t>Updated the preserved formula's cached result from EDGAR while keeping the model formula in place.</t>
        </r>
      </text>
    </comment>
    <comment ref="S29" authorId="0">
      <text>
        <r>
          <rPr>
            <b/>
          </rPr>
          <t xml:space="preserve">EDGAR Mapper:
</t>
        </r>
        <r>
          <t xml:space="preserve">EDGAR mapping:
Source: 10-K, accession #0000320193-25-000079, filed 2025-10-31
Period: 4Q25 / period ended 2025-09-27
Model row: Model!29 Cost of Goods Sold
Mapping type: grouped
Concepts used: CostOfGoodsAndServicesSold = 54125 mm
Units: USD
Unit conversion: raw USD to $mm
Sign: inverted because model expects this row as negative
Confidence: medium
Value written: -54125
Notes: Grouped from EDGAR: Cost of Goods and Services Sold (derived Q4). Cost of revenue normalized from EDGAR cost concepts. Quarterly value was derived from Cost of Goods and Services Sold less 1Q25, 2Q25, 3Q25. Filing commentary support: 10-K filed 2025-10-31: "hrough its various service platforms. The Company also employs a variety of indirect distribution channels, such as third-party cellular network carriers and other resellers, for the sale of its products and certain of its services. During 2025, the Company’s net sales through it..."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U29" authorId="0">
      <text>
        <r>
          <rPr>
            <b/>
          </rPr>
          <t xml:space="preserve">EDGAR Mapper:
</t>
        </r>
        <r>
          <t>Updated the preserved formula's cached result from EDGAR while keeping the model formula in place.</t>
        </r>
      </text>
    </comment>
    <comment ref="V29" authorId="0">
      <text>
        <r>
          <rPr>
            <b/>
          </rPr>
          <t xml:space="preserve">EDGAR Mapper:
</t>
        </r>
        <r>
          <t>Updated the preserved formula's cached result from EDGAR while keeping the model formula in place.</t>
        </r>
      </text>
    </comment>
    <comment ref="C32" authorId="0">
      <text>
        <r>
          <rPr>
            <b/>
          </rPr>
          <t xml:space="preserve">EDGAR Mapper:
</t>
        </r>
        <r>
          <t>Grouped from EDGAR: Selling, General and Administrative Expense. Mapped to EDGAR selling, general, and administrative expense. Grouped from EDGAR: Selling, General and Administrative Expense (derived Q4). Mapped to EDGAR selling, general, and administrative expense. Quarterly value was derived from Selling, General and Administrative Expense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Selling, General and Administrative Expense (derived Q4). Mapped to EDGAR selling, general, and administrative expense. Quarterly value was derived from Selling, General and Administrative Expense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F32" authorId="0">
      <text>
        <r>
          <rPr>
            <b/>
          </rPr>
          <t xml:space="preserve">EDGAR Mapper:
</t>
        </r>
        <r>
          <t xml:space="preserve">EDGAR mapping:
Source: 10-Q, accession #0000320193-23-000006, filed 2023-02-03
Period: 1Q23 / period ended 2022-12-31
Model row: Model!32 Selling, General &amp; Administration (SG&amp;A)
Mapping type: direct
Concepts used: SellingGeneralAndAdministrativeExpense = 6607 mm
Units: USD
Unit conversion: raw USD to $mm
Sign: copied using model sign convention
Confidence: high
Value written: -6607
Notes: Grouped from EDGAR: Selling, General and Administrative Expense. Mapped to EDGAR selling, general, and administrative expense.</t>
        </r>
      </text>
    </comment>
    <comment ref="G32" authorId="0">
      <text>
        <r>
          <rPr>
            <b/>
          </rPr>
          <t xml:space="preserve">EDGAR Mapper:
</t>
        </r>
        <r>
          <t xml:space="preserve">EDGAR mapping:
Source: 10-Q, accession #0000320193-23-000064, filed 2023-05-05
Period: 2Q23 / period ended 2023-04-01
Model row: Model!32 Selling, General &amp; Administration (SG&amp;A)
Mapping type: direct
Concepts used: SellingGeneralAndAdministrativeExpense = 6201 mm
Units: USD
Unit conversion: raw USD to $mm
Sign: copied using model sign convention
Confidence: high
Value written: -6201
Notes: Grouped from EDGAR: Selling, General and Administrative Expense. Mapped to EDGAR selling, general, and administrative expense.</t>
        </r>
      </text>
    </comment>
    <comment ref="H32" authorId="0">
      <text>
        <r>
          <rPr>
            <b/>
          </rPr>
          <t xml:space="preserve">EDGAR Mapper:
</t>
        </r>
        <r>
          <t xml:space="preserve">EDGAR mapping:
Source: 10-Q, accession #0000320193-23-000077, filed 2023-08-04
Period: 3Q23 / period ended 2023-07-01
Model row: Model!32 Selling, General &amp; Administration (SG&amp;A)
Mapping type: direct
Concepts used: SellingGeneralAndAdministrativeExpense = 5973 mm
Units: USD
Unit conversion: raw USD to $mm
Sign: copied using model sign convention
Confidence: high
Value written: -5973
Notes: Grouped from EDGAR: Selling, General and Administrative Expense. Mapped to EDGAR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mapping:
Source: 10-Q, accession #0000320193-24-000006, filed 2024-02-02
Period: 1Q24 / period ended 2023-12-30
Model row: Model!32 Selling, General &amp; Administration (SG&amp;A)
Mapping type: direct
Concepts used: SellingGeneralAndAdministrativeExpense = 6786 mm
Units: USD
Unit conversion: raw USD to $mm
Sign: copied using model sign convention
Confidence: high
Value written: -6786
Notes: Grouped from EDGAR: Selling, General and Administrative Expense. Mapped to EDGAR selling, general, and administrative expense.</t>
        </r>
      </text>
    </comment>
    <comment ref="L32" authorId="0">
      <text>
        <r>
          <rPr>
            <b/>
          </rPr>
          <t xml:space="preserve">EDGAR Mapper:
</t>
        </r>
        <r>
          <t xml:space="preserve">EDGAR mapping:
Source: 10-Q, accession #0000320193-24-000069, filed 2024-05-03
Period: 2Q24 / period ended 2024-03-30
Model row: Model!32 Selling, General &amp; Administration (SG&amp;A)
Mapping type: direct
Concepts used: SellingGeneralAndAdministrativeExpense = 6468 mm
Units: USD
Unit conversion: raw USD to $mm
Sign: copied using model sign convention
Confidence: high
Value written: -6468
Notes: Grouped from EDGAR: Selling, General and Administrative Expense. Mapped to EDGAR selling, general, and administrative expense.</t>
        </r>
      </text>
    </comment>
    <comment ref="M32" authorId="0">
      <text>
        <r>
          <rPr>
            <b/>
          </rPr>
          <t xml:space="preserve">EDGAR Mapper:
</t>
        </r>
        <r>
          <t xml:space="preserve">EDGAR mapping:
Source: 10-Q, accession #0000320193-24-000081, filed 2024-08-02
Period: 3Q24 / period ended 2024-06-29
Model row: Model!32 Selling, General &amp; Administration (SG&amp;A)
Mapping type: direct
Concepts used: SellingGeneralAndAdministrativeExpense = 6320 mm
Units: USD
Unit conversion: raw USD to $mm
Sign: copied using model sign convention
Confidence: high
Value written: -6320
Notes: Grouped from EDGAR: Selling, General and Administrative Expense. Mapped to EDGAR selling, general, and administrative expense.</t>
        </r>
      </text>
    </comment>
    <comment ref="N32" authorId="0">
      <text>
        <r>
          <rPr>
            <b/>
          </rPr>
          <t xml:space="preserve">EDGAR Mapper:
</t>
        </r>
        <r>
          <t xml:space="preserve">EDGAR mapping:
Source: 10-K, accession #0000320193-24-000123, filed 2024-11-01
Period: 4Q24 / period ended 2024-09-28
Model row: Model!32 Selling, General &amp; Administration (SG&amp;A)
Mapping type: direct
Concepts used: SellingGeneralAndAdministrativeExpense = 6523 mm
Units: USD
Unit conversion: raw USD to $mm
Sign: copied using model sign convention
Confidence: medium
Value written: -6523
Notes: Grouped from EDGAR: Selling, General and Administrative Expense (derived Q4). Mapped to EDGAR selling, general, and administrative expense. Quarterly value was derived from Selling, General and Administrative Expense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32" authorId="0">
      <text>
        <r>
          <rPr>
            <b/>
          </rPr>
          <t xml:space="preserve">EDGAR Mapper:
</t>
        </r>
        <r>
          <t>Updated the preserved formula's cached result from EDGAR while keeping the model formula in place.</t>
        </r>
      </text>
    </comment>
    <comment ref="Q32" authorId="0">
      <text>
        <r>
          <rPr>
            <b/>
          </rPr>
          <t xml:space="preserve">EDGAR Mapper:
</t>
        </r>
        <r>
          <t>Updated the preserved formula's cached result from EDGAR while keeping the model formula in place.</t>
        </r>
      </text>
    </comment>
    <comment ref="R32" authorId="0">
      <text>
        <r>
          <rPr>
            <b/>
          </rPr>
          <t xml:space="preserve">EDGAR Mapper:
</t>
        </r>
        <r>
          <t>Updated the preserved formula's cached result from EDGAR while keeping the model formula in place.</t>
        </r>
      </text>
    </comment>
    <comment ref="S32" authorId="0">
      <text>
        <r>
          <rPr>
            <b/>
          </rPr>
          <t xml:space="preserve">EDGAR Mapper:
</t>
        </r>
        <r>
          <t xml:space="preserve">EDGAR mapping:
Source: 10-K, accession #0000320193-25-000079, filed 2025-10-31
Period: 4Q25 / period ended 2025-09-27
Model row: Model!32 Selling, General &amp; Administration (SG&amp;A)
Mapping type: direct
Concepts used: SellingGeneralAndAdministrativeExpense = 7048 mm
Units: USD
Unit conversion: raw USD to $mm
Sign: copied using model sign convention
Confidence: medium
Value written: -7048
Notes: Grouped from EDGAR: Selling, General and Administrative Expense (derived Q4). Mapped to EDGAR selling, general, and administrative expense. Quarterly value was derived from Selling, General and Administrative Expense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32" authorId="0">
      <text>
        <r>
          <rPr>
            <b/>
          </rPr>
          <t xml:space="preserve">EDGAR Mapper:
</t>
        </r>
        <r>
          <t xml:space="preserve">EDGAR mapping:
Source: 10-Q, accession #0000320193-26-000006, filed 2026-01-30
Period: 1Q26 / period ended 2025-12-27
Model row: Model!32 Selling, General &amp; Administration (SG&amp;A)
Mapping type: direct
Concepts used: SellingGeneralAndAdministrativeExpense = 7492 mm
Units: USD
Unit conversion: raw USD to $mm
Sign: copied using model sign convention
Confidence: high
Value written: -7492
Notes: Grouped from EDGAR: Selling, General and Administrative Expense. Mapped to EDGAR selling, general, and administrative expense.</t>
        </r>
      </text>
    </comment>
    <comment ref="V32" authorId="0">
      <text>
        <r>
          <rPr>
            <b/>
          </rPr>
          <t xml:space="preserve">EDGAR Mapper:
</t>
        </r>
        <r>
          <t>Updated the preserved formula's cached result from EDGAR while keeping the model formula in place.</t>
        </r>
      </text>
    </comment>
    <comment ref="C33" authorId="0">
      <text>
        <r>
          <rPr>
            <b/>
          </rPr>
          <t xml:space="preserve">EDGAR Mapper:
</t>
        </r>
        <r>
          <t>Grouped from EDGAR: Research and Development Expense. Mapped to EDGAR research, development, technology, or technology/content operating expense. Grouped from EDGAR: Research and Development Expense (derived Q4). Mapped to EDGAR research, development, technology, or technology/content operating expense. Quarterly value was derived from Research and Development Expense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Grouped from EDGAR: Research and Development Expense (derived Q4). Mapped to EDGAR research, development, technology, or technology/content operating expense. Quarterly value was derived from Research and Development Expense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Grouped from EDGAR: Research and Development Expense (derived Q4). Mapped to EDGAR research, development, technology, or technology/content operating expense. Quarterly value was derived from Research and Development Expense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t>
        </r>
      </text>
    </comment>
    <comment ref="F33" authorId="0">
      <text>
        <r>
          <rPr>
            <b/>
          </rPr>
          <t xml:space="preserve">EDGAR Mapper:
</t>
        </r>
        <r>
          <t xml:space="preserve">EDGAR mapping:
Source: 10-Q, accession #0000320193-23-000006, filed 2023-02-03
Period: 1Q23 / period ended 2022-12-31
Model row: Model!33 Research &amp; Development (R&amp;D)
Mapping type: direct
Concepts used: ResearchAndDevelopmentExpense = 7709 mm
Units: USD
Unit conversion: raw USD to $mm
Sign: copied using model sign convention
Confidence: high
Value written: -7709
Notes: Grouped from EDGAR: Research and Development Expense. Mapped to EDGAR research, development, technology, or technology/content operating expense.</t>
        </r>
      </text>
    </comment>
    <comment ref="G33" authorId="0">
      <text>
        <r>
          <rPr>
            <b/>
          </rPr>
          <t xml:space="preserve">EDGAR Mapper:
</t>
        </r>
        <r>
          <t xml:space="preserve">EDGAR mapping:
Source: 10-Q, accession #0000320193-23-000064, filed 2023-05-05
Period: 2Q23 / period ended 2023-04-01
Model row: Model!33 Research &amp; Development (R&amp;D)
Mapping type: direct
Concepts used: ResearchAndDevelopmentExpense = 7457 mm
Units: USD
Unit conversion: raw USD to $mm
Sign: copied using model sign convention
Confidence: high
Value written: -7457
Notes: Grouped from EDGAR: Research and Development Expense. Mapped to EDGAR research, development, technology, or technology/content operating expense.</t>
        </r>
      </text>
    </comment>
    <comment ref="H33" authorId="0">
      <text>
        <r>
          <rPr>
            <b/>
          </rPr>
          <t xml:space="preserve">EDGAR Mapper:
</t>
        </r>
        <r>
          <t xml:space="preserve">EDGAR mapping:
Source: 10-Q, accession #0000320193-23-000077, filed 2023-08-04
Period: 3Q23 / period ended 2023-07-01
Model row: Model!33 Research &amp; Development (R&amp;D)
Mapping type: direct
Concepts used: ResearchAndDevelopmentExpense = 7442 mm
Units: USD
Unit conversion: raw USD to $mm
Sign: copied using model sign convention
Confidence: high
Value written: -7442
Notes: Grouped from EDGAR: Research and Development Expense. Mapped to EDGAR research, development, technology, or technology/content operating expense.</t>
        </r>
      </text>
    </comment>
    <comment ref="I33" authorId="0">
      <text>
        <r>
          <rPr>
            <b/>
          </rPr>
          <t xml:space="preserve">EDGAR Mapper:
</t>
        </r>
        <r>
          <t xml:space="preserve">EDGAR mapping:
Source: 10-K, accession #0000320193-23-000106, filed 2023-11-03
Period: 4Q23 / period ended 2023-09-30
Model row: Model!33 Research &amp; Development (R&amp;D)
Mapping type: direct
Concepts used: ResearchAndDevelopmentExpense = 7307 mm
Units: USD
Unit conversion: raw USD to $mm
Sign: copied using model sign convention
Confidence: medium
Value written: -7307
Notes: Grouped from EDGAR: Research and Development Expense (derived Q4). Mapped to EDGAR research, development, technology, or technology/content operating expense. Quarterly value was derived from Research and Development Expense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t>
        </r>
      </text>
    </comment>
    <comment ref="K33" authorId="0">
      <text>
        <r>
          <rPr>
            <b/>
          </rPr>
          <t xml:space="preserve">EDGAR Mapper:
</t>
        </r>
        <r>
          <t xml:space="preserve">EDGAR mapping:
Source: 10-Q, accession #0000320193-24-000006, filed 2024-02-02
Period: 1Q24 / period ended 2023-12-30
Model row: Model!33 Research &amp; Development (R&amp;D)
Mapping type: direct
Concepts used: ResearchAndDevelopmentExpense = 7696 mm
Units: USD
Unit conversion: raw USD to $mm
Sign: copied using model sign convention
Confidence: high
Value written: -7696
Notes: Grouped from EDGAR: Research and Development Expense. Mapped to EDGAR research, development, technology, or technology/content operating expense.</t>
        </r>
      </text>
    </comment>
    <comment ref="L33" authorId="0">
      <text>
        <r>
          <rPr>
            <b/>
          </rPr>
          <t xml:space="preserve">EDGAR Mapper:
</t>
        </r>
        <r>
          <t xml:space="preserve">EDGAR mapping:
Source: 10-Q, accession #0000320193-24-000069, filed 2024-05-03
Period: 2Q24 / period ended 2024-03-30
Model row: Model!33 Research &amp; Development (R&amp;D)
Mapping type: direct
Concepts used: ResearchAndDevelopmentExpense = 7903 mm
Units: USD
Unit conversion: raw USD to $mm
Sign: copied using model sign convention
Confidence: high
Value written: -7903
Notes: Grouped from EDGAR: Research and Development Expense. Mapped to EDGAR research, development, technology, or technology/content operating expense.</t>
        </r>
      </text>
    </comment>
    <comment ref="M33" authorId="0">
      <text>
        <r>
          <rPr>
            <b/>
          </rPr>
          <t xml:space="preserve">EDGAR Mapper:
</t>
        </r>
        <r>
          <t xml:space="preserve">EDGAR mapping:
Source: 10-Q, accession #0000320193-24-000081, filed 2024-08-02
Period: 3Q24 / period ended 2024-06-29
Model row: Model!33 Research &amp; Development (R&amp;D)
Mapping type: direct
Concepts used: ResearchAndDevelopmentExpense = 8006 mm
Units: USD
Unit conversion: raw USD to $mm
Sign: copied using model sign convention
Confidence: high
Value written: -8006
Notes: Grouped from EDGAR: Research and Development Expense. Mapped to EDGAR research, development, technology, or technology/content operating expense.</t>
        </r>
      </text>
    </comment>
    <comment ref="N33" authorId="0">
      <text>
        <r>
          <rPr>
            <b/>
          </rPr>
          <t xml:space="preserve">EDGAR Mapper:
</t>
        </r>
        <r>
          <t xml:space="preserve">EDGAR mapping:
Source: 10-K, accession #0000320193-24-000123, filed 2024-11-01
Period: 4Q24 / period ended 2024-09-28
Model row: Model!33 Research &amp; Development (R&amp;D)
Mapping type: direct
Concepts used: ResearchAndDevelopmentExpense = 7765 mm
Units: USD
Unit conversion: raw USD to $mm
Sign: copied using model sign convention
Confidence: medium
Value written: -7765
Notes: Grouped from EDGAR: Research and Development Expense (derived Q4). Mapped to EDGAR research, development, technology, or technology/content operating expense. Quarterly value was derived from Research and Development Expense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t>
        </r>
      </text>
    </comment>
    <comment ref="P33" authorId="0">
      <text>
        <r>
          <rPr>
            <b/>
          </rPr>
          <t xml:space="preserve">EDGAR Mapper:
</t>
        </r>
        <r>
          <t xml:space="preserve">EDGAR mapping:
Source: 10-Q, accession #0000320193-25-000008, filed 2025-01-31
Period: 1Q25 / period ended 2024-12-28
Model row: Model!33 Research &amp; Development (R&amp;D)
Mapping type: direct
Concepts used: ResearchAndDevelopmentExpense = 8268 mm
Units: USD
Unit conversion: raw USD to $mm
Sign: copied using model sign convention
Confidence: high
Value written: -8268
Notes: Grouped from EDGAR: Research and Development Expense. Mapped to EDGAR research, development, technology, or technology/content operating expense.</t>
        </r>
      </text>
    </comment>
    <comment ref="Q33" authorId="0">
      <text>
        <r>
          <rPr>
            <b/>
          </rPr>
          <t xml:space="preserve">EDGAR Mapper:
</t>
        </r>
        <r>
          <t xml:space="preserve">EDGAR mapping:
Source: 10-Q, accession #0000320193-25-000057, filed 2025-05-02
Period: 2Q25 / period ended 2025-03-29
Model row: Model!33 Research &amp; Development (R&amp;D)
Mapping type: direct
Concepts used: ResearchAndDevelopmentExpense = 8550 mm
Units: USD
Unit conversion: raw USD to $mm
Sign: copied using model sign convention
Confidence: high
Value written: -8550
Notes: Grouped from EDGAR: Research and Development Expense. Mapped to EDGAR research, development, technology, or technology/content operating expense.</t>
        </r>
      </text>
    </comment>
    <comment ref="R33" authorId="0">
      <text>
        <r>
          <rPr>
            <b/>
          </rPr>
          <t xml:space="preserve">EDGAR Mapper:
</t>
        </r>
        <r>
          <t xml:space="preserve">EDGAR mapping:
Source: 10-Q, accession #0000320193-25-000073, filed 2025-08-01
Period: 3Q25 / period ended 2025-06-28
Model row: Model!33 Research &amp; Development (R&amp;D)
Mapping type: direct
Concepts used: ResearchAndDevelopmentExpense = 8866 mm
Units: USD
Unit conversion: raw USD to $mm
Sign: copied using model sign convention
Confidence: high
Value written: -8866
Notes: Grouped from EDGAR: Research and Development Expense. Mapped to EDGAR research, development, technology, or technology/content operating expense.</t>
        </r>
      </text>
    </comment>
    <comment ref="S33" authorId="0">
      <text>
        <r>
          <rPr>
            <b/>
          </rPr>
          <t xml:space="preserve">EDGAR Mapper:
</t>
        </r>
        <r>
          <t xml:space="preserve">EDGAR mapping:
Source: 10-K, accession #0000320193-25-000079, filed 2025-10-31
Period: 4Q25 / period ended 2025-09-27
Model row: Model!33 Research &amp; Development (R&amp;D)
Mapping type: direct
Concepts used: ResearchAndDevelopmentExpense = 8866 mm
Units: USD
Unit conversion: raw USD to $mm
Sign: copied using model sign convention
Confidence: medium
Value written: -8866
Notes: Grouped from EDGAR: Research and Development Expense (derived Q4). Mapped to EDGAR research, development, technology, or technology/content operating expense. Quarterly value was derived from Research and Development Expense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t>
        </r>
      </text>
    </comment>
    <comment ref="U33" authorId="0">
      <text>
        <r>
          <rPr>
            <b/>
          </rPr>
          <t xml:space="preserve">EDGAR Mapper:
</t>
        </r>
        <r>
          <t xml:space="preserve">EDGAR mapping:
Source: 10-Q, accession #0000320193-26-000006, filed 2026-01-30
Period: 1Q26 / period ended 2025-12-27
Model row: Model!33 Research &amp; Development (R&amp;D)
Mapping type: direct
Concepts used: ResearchAndDevelopmentExpense = 10887 mm
Units: USD
Unit conversion: raw USD to $mm
Sign: copied using model sign convention
Confidence: high
Value written: -10887
Notes: Grouped from EDGAR: Research and Development Expense. Mapped to EDGAR research, development, technology, or technology/content operating expense.</t>
        </r>
      </text>
    </comment>
    <comment ref="V33" authorId="0">
      <text>
        <r>
          <rPr>
            <b/>
          </rPr>
          <t xml:space="preserve">EDGAR Mapper:
</t>
        </r>
        <r>
          <t xml:space="preserve">EDGAR mapping:
Source: 10-Q, accession #0000320193-26-000013, filed 2026-05-01
Period: 2Q26 / period ended 2026-03-28
Model row: Model!33 Research &amp; Development (R&amp;D)
Mapping type: direct
Concepts used: ResearchAndDevelopmentExpense = 11419 mm
Units: USD
Unit conversion: raw USD to $mm
Sign: copied using model sign convention
Confidence: high
Value written: -11419
Notes: Grouped from EDGAR: Research and Development Expense. Mapped to EDGAR research, development, technology, or technology/content operating expense.</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"ponents customized to meet the Company’s requirements. The Company has entered into agreements for the supply of many components; however, there can be no guarantee that the Company will be able to extend or renew these agreements on similar terms, or at all. Research and Develop..."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"decide to concentrate on the production of common components instead of components customized to meet the Company’s requirements, further limiting the Company’s ability to obtain sufficient quantities of components on commercially reasonable terms, or at all. Research and Develop..."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t>
        </r>
      </text>
    </comment>
    <comment ref="F34" authorId="0">
      <text>
        <r>
          <rPr>
            <b/>
          </rPr>
          <t xml:space="preserve">EDGAR Mapper:
</t>
        </r>
        <r>
          <t xml:space="preserve">EDGAR mapping:
Source: SEC filing
Period: 1Q23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SEC validation: Value is a zero/derived model support value with no direct SEC fact.</t>
        </r>
      </text>
    </comment>
    <comment ref="G34" authorId="0">
      <text>
        <r>
          <rPr>
            <b/>
          </rPr>
          <t xml:space="preserve">EDGAR Mapper:
</t>
        </r>
        <r>
          <t xml:space="preserve">EDGAR mapping:
Source: SEC filing
Period: 2Q23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r>
      </text>
    </comment>
    <comment ref="H34" authorId="0">
      <text>
        <r>
          <rPr>
            <b/>
          </rPr>
          <t xml:space="preserve">EDGAR Mapper:
</t>
        </r>
        <r>
          <t xml:space="preserve">EDGAR mapping:
Source: SEC filing
Period: 3Q23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r>
      </text>
    </comment>
    <comment ref="I34" authorId="0">
      <text>
        <r>
          <rPr>
            <b/>
          </rPr>
          <t xml:space="preserve">EDGAR Mapper:
</t>
        </r>
        <r>
          <t>Updated the preserved formula's cached result from EDGAR while keeping the model formula in place. SEC validation: Value is a zero/derived model support value with no direct SEC fact.</t>
        </r>
      </text>
    </comment>
    <comment ref="K34" authorId="0">
      <text>
        <r>
          <rPr>
            <b/>
          </rPr>
          <t xml:space="preserve">EDGAR Mapper:
</t>
        </r>
        <r>
          <t xml:space="preserve">EDGAR mapping:
Source: SEC filing
Period: 1Q24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SEC validation: Value is a zero/derived model support value with no direct SEC fact.</t>
        </r>
      </text>
    </comment>
    <comment ref="L34" authorId="0">
      <text>
        <r>
          <rPr>
            <b/>
          </rPr>
          <t xml:space="preserve">EDGAR Mapper:
</t>
        </r>
        <r>
          <t xml:space="preserve">EDGAR mapping:
Source: SEC filing
Period: 2Q24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r>
      </text>
    </comment>
    <comment ref="M34" authorId="0">
      <text>
        <r>
          <rPr>
            <b/>
          </rPr>
          <t xml:space="preserve">EDGAR Mapper:
</t>
        </r>
        <r>
          <t xml:space="preserve">EDGAR mapping:
Source: SEC filing
Period: 3Q24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r>
      </text>
    </comment>
    <comment ref="N34" authorId="0">
      <text>
        <r>
          <rPr>
            <b/>
          </rPr>
          <t xml:space="preserve">EDGAR Mapper:
</t>
        </r>
        <r>
          <t xml:space="preserve">EDGAR mapping:
Source: SEC filing
Period: 4Q24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"ponents customized to meet the Company’s requirements. The Company has entered into agreements for the supply of many components; however, there can be no guarantee that the Company will be able to extend or renew these agreements on similar terms, or at all. Research and Develop..." SEC validation: Value is a zero/derived model support value with no direct SEC fact.</t>
        </r>
      </text>
    </comment>
    <comment ref="P34" authorId="0">
      <text>
        <r>
          <rPr>
            <b/>
          </rPr>
          <t xml:space="preserve">EDGAR Mapper:
</t>
        </r>
        <r>
          <t>Updated the preserved formula's cached result from EDGAR while keeping the model formula in place. SEC validation: Value is a zero/derived model support value with no direct SEC fact.</t>
        </r>
      </text>
    </comment>
    <comment ref="Q34" authorId="0">
      <text>
        <r>
          <rPr>
            <b/>
          </rPr>
          <t xml:space="preserve">EDGAR Mapper:
</t>
        </r>
        <r>
          <t>Updated the preserved formula's cached result from EDGAR while keeping the model formula in place. SEC validation: Value is a zero/derived model support value with no direct SEC fact.</t>
        </r>
      </text>
    </comment>
    <comment ref="R34" authorId="0">
      <text>
        <r>
          <rPr>
            <b/>
          </rPr>
          <t xml:space="preserve">EDGAR Mapper:
</t>
        </r>
        <r>
          <t>Updated the preserved formula's cached result from EDGAR while keeping the model formula in place. SEC validation: Value is a zero/derived model support value with no direct SEC fact.</t>
        </r>
      </text>
    </comment>
    <comment ref="S34" authorId="0">
      <text>
        <r>
          <rPr>
            <b/>
          </rPr>
          <t xml:space="preserve">EDGAR Mapper:
</t>
        </r>
        <r>
          <t xml:space="preserve">EDGAR mapping:
Source: SEC filing
Period: 4Q25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"decide to concentrate on the production of common components instead of components customized to meet the Company’s requirements, further limiting the Company’s ability to obtain sufficient quantities of components on commercially reasonable terms, or at all. Research and Develop..." SEC validation: Value is a zero/derived model support value with no direct SEC fact.</t>
        </r>
      </text>
    </comment>
    <comment ref="U34" authorId="0">
      <text>
        <r>
          <rPr>
            <b/>
          </rPr>
          <t xml:space="preserve">EDGAR Mapper:
</t>
        </r>
        <r>
          <t xml:space="preserve">EDGAR mapping:
Source: SEC filing
Period: 1Q26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SEC validation: Value is a zero/derived model support value with no direct SEC fact.</t>
        </r>
      </text>
    </comment>
    <comment ref="V34" authorId="0">
      <text>
        <r>
          <rPr>
            <b/>
          </rPr>
          <t xml:space="preserve">EDGAR Mapper:
</t>
        </r>
        <r>
          <t xml:space="preserve">EDGAR mapping:
Source: SEC filing
Period: 2Q26
Model row: Model!34 Depreciation &amp; Amortization
Mapping type: grouped
Concepts used: IncomeStatementDepreciationAmortizationNotReported = 0 mm
Units: not specified
Unit conversion: raw USD to $mm
Sign: copied using model sign convention
Confidence: medium
Value written: 0
Notes: 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SEC validation: Value is a zero/derived model support value with no direct SEC fact.</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"s and per share amounts) Three Months Ended Six Months Ended April 1, 2023 March 26, 2022 April 1, 2023 March 26, 2022 Net sales: Products $ 73,929 $ 77,457 $ 170,317 $ 181,886 Services 20,907 19,821 41,673 39,337 Total net sales 94,836 97,278 211,990 221,223 Cost of sales: Produ..."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"ands and per share amounts) Three Months Ended Nine Months Ended July 1, 2023 June 25, 2022 July 1, 2023 June 25, 2022 Net sales: Products $ 60,584 $ 63,355 $ 230,901 $ 245,241 Services 21,213 19,604 62,886 58,941 Total net sales 81,797 82,959 293,787 304,182 Cost of sales: Produ..."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 and per-share amounts) Three Months Ended Six Months Ended March 30, 2024 April 1, 2023 March 30, 2024 April 1, 2023 Net sales: Products $ 66,886 $ 73,929 $ 163,344 $ 170,317 Services 23,867 20,907 46,984 41,673 Total net sales 90,753 94,836 210,328 211,990 Cost of sales: Produ..."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"nds, and per-share amounts) Three Months Ended Nine Months Ended June 29, 2024 July 1, 2023 June 29, 2024 July 1, 2023 Net sales: Products $ 61,564 $ 60,584 $ 224,908 $ 230,901 Services 24,213 21,213 71,197 62,886 Total net sales 85,777 81,797 296,105 293,787 Cost of sales: Produ..."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2025-01-31: "ONS (Unaudited) (In millions, except number of shares, which are reflected in thousands, and per-share amounts) Three Months Ended December 28, 2024 December 30, 2023 Net sales: Products $ 97,960 $ 96,458 Services 26,340 23,117 Total net sales 124,300 119,575 Cost of sales: Produ..."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2025-05-02: "ices 26,645 23,867 52,985 46,984 Total net sales 95,359 90,753 219,659 210,328 Cost of sales: Products 44,030 42,424 103,477 100,864 Services 6,462 6,058 13,040 12,338 Total cost of sales 50,492 48,482 116,517 113,202 Gross margin 44,867 42,271 103,142 97,126 Operating expenses: ..." 10-Q filed 2025-05-02: "and per-share amounts) Three Months Ended Six Months Ended March 29, 2025 March 30, 2024 March 29, 2025 March 30, 2024 Net sales: Products $ 68,714 $ 66,886 $ 166,674 $ 163,344 Services 26,645 23,867 52,985 46,984 Total net sales 95,359 90,753 219,659 210,328 Cost of sales: Produ..."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2025-08-01: "ces 27,423 24,213 80,408 71,197 Total net sales 94,036 85,777 313,695 296,105 Cost of sales: Products 43,620 39,803 147,097 140,667 Services 6,698 6,296 19,738 18,634 Total cost of sales 50,318 46,099 166,835 159,301 Gross margin 43,718 39,678 146,860 136,804 Operating expenses: ..." 10-Q filed 2025-08-01: "s, and per-share amounts) Three Months Ended Nine Months Ended June 28, 2025 June 29, 2024 June 28, 2025 June 29, 2024 Net sales: Products $ 66,613 $ 61,564 $ 233,287 $ 224,908 Services 27,423 24,213 80,408 71,197 Total net sales 94,036 85,777 313,695 296,105 Cost of sales: Produ..."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"nd per-share amounts) Three Months Ended Six Months Ended March 28, 2026 March 29, 2025 March 28, 2026 March 29, 2025 Net sales: Products $ 80,208 $ 68,714 $ 193,951 $ 166,674 Services 30,976 26,645 60,989 52,985 Total net sales 111,184 95,359 254,940 219,659 Cost of sales: Produ..."</t>
        </r>
      </text>
    </comment>
    <comment ref="F35" authorId="0">
      <text>
        <r>
          <rPr>
            <b/>
          </rPr>
          <t xml:space="preserve">EDGAR Mapper:
</t>
        </r>
        <r>
          <t xml:space="preserve">EDGAR mapping:
Source: 10-Q, accession #0000320193-23-000006, filed 2023-02-03
Period: 1Q23 / period ended 2022-12-31
Model row: Model!35 Other Operating Income (Expense)
Mapping type: grouped
Concepts used: OperatingIncomeLoss = 36016 mm; GrossProfit = 50332 mm; SellingGeneralAndAdministrativeExpense = 6607 mm; ResearchAndDevelopmentExpense = 7709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t>
        </r>
      </text>
    </comment>
    <comment ref="G35" authorId="0">
      <text>
        <r>
          <rPr>
            <b/>
          </rPr>
          <t xml:space="preserve">EDGAR Mapper:
</t>
        </r>
        <r>
          <t xml:space="preserve">EDGAR mapping:
Source: 10-Q, accession #0000320193-23-000064, filed 2023-05-05
Period: 2Q23 / period ended 2023-04-01
Model row: Model!35 Other Operating Income (Expense)
Mapping type: grouped
Concepts used: OperatingIncomeLoss = 28318 mm; GrossProfit = 41976 mm; SellingGeneralAndAdministrativeExpense = 6201 mm; ResearchAndDevelopmentExpense = 7457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"s and per share amounts) Three Months Ended Six Months Ended April 1, 2023 March 26, 2022 April 1, 2023 March 26, 2022 Net sales: Products $ 73,929 $ 77,457 $ 170,317 $ 181,886 Services 20,907 19,821 41,673 39,337 Total net sales 94,836 97,278 211,990 221,223 Cost of sales: Produ..."</t>
        </r>
      </text>
    </comment>
    <comment ref="H35" authorId="0">
      <text>
        <r>
          <rPr>
            <b/>
          </rPr>
          <t xml:space="preserve">EDGAR Mapper:
</t>
        </r>
        <r>
          <t xml:space="preserve">EDGAR mapping:
Source: 10-Q, accession #0000320193-23-000077, filed 2023-08-04
Period: 3Q23 / period ended 2023-07-01
Model row: Model!35 Other Operating Income (Expense)
Mapping type: grouped
Concepts used: OperatingIncomeLoss = 22998 mm; GrossProfit = 36413 mm; SellingGeneralAndAdministrativeExpense = 5973 mm; ResearchAndDevelopmentExpense = 7442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"ands and per share amounts) Three Months Ended Nine Months Ended July 1, 2023 June 25, 2022 July 1, 2023 June 25, 2022 Net sales: Products $ 60,584 $ 63,355 $ 230,901 $ 245,241 Services 21,213 19,604 62,886 58,941 Total net sales 81,797 82,959 293,787 304,182 Cost of sales: Produ..."</t>
        </r>
      </text>
    </comment>
    <comment ref="I35" authorId="0">
      <text>
        <r>
          <rPr>
            <b/>
          </rPr>
          <t xml:space="preserve">EDGAR Mapper:
</t>
        </r>
        <r>
          <t xml:space="preserve">EDGAR mapping:
Source: 10-K, accession #0000320193-23-000106, filed 2023-11-03
Period: 4Q23 / period ended 2023-09-30
Model row: Model!35 Other Operating Income (Expense)
Mapping type: grouped
Concepts used: OperatingIncomeLoss = 26969 mm; GrossProfit = 40427 mm; SellingGeneralAndAdministrativeExpense = 6151 mm; ResearchAndDevelopmentExpense = 7307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r>
      </text>
    </comment>
    <comment ref="K35" authorId="0">
      <text>
        <r>
          <rPr>
            <b/>
          </rPr>
          <t xml:space="preserve">EDGAR Mapper:
</t>
        </r>
        <r>
          <t xml:space="preserve">EDGAR mapping:
Source: 10-Q, accession #0000320193-24-000006, filed 2024-02-02
Period: 1Q24 / period ended 2023-12-30
Model row: Model!35 Other Operating Income (Expense)
Mapping type: grouped
Concepts used: OperatingIncomeLoss = 40373 mm; GrossProfit = 54855 mm; SellingGeneralAndAdministrativeExpense = 6786 mm; ResearchAndDevelopmentExpense = 7696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t>
        </r>
      </text>
    </comment>
    <comment ref="L35" authorId="0">
      <text>
        <r>
          <rPr>
            <b/>
          </rPr>
          <t xml:space="preserve">EDGAR Mapper:
</t>
        </r>
        <r>
          <t xml:space="preserve">EDGAR mapping:
Source: 10-Q, accession #0000320193-24-000069, filed 2024-05-03
Period: 2Q24 / period ended 2024-03-30
Model row: Model!35 Other Operating Income (Expense)
Mapping type: grouped
Concepts used: OperatingIncomeLoss = 27900 mm; GrossProfit = 42271 mm; SellingGeneralAndAdministrativeExpense = 6468 mm; ResearchAndDevelopmentExpense = 7903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 and per-share amounts) Three Months Ended Six Months Ended March 30, 2024 April 1, 2023 March 30, 2024 April 1, 2023 Net sales: Products $ 66,886 $ 73,929 $ 163,344 $ 170,317 Services 23,867 20,907 46,984 41,673 Total net sales 90,753 94,836 210,328 211,990 Cost of sales: Produ..."</t>
        </r>
      </text>
    </comment>
    <comment ref="M35" authorId="0">
      <text>
        <r>
          <rPr>
            <b/>
          </rPr>
          <t xml:space="preserve">EDGAR Mapper:
</t>
        </r>
        <r>
          <t xml:space="preserve">EDGAR mapping:
Source: 10-Q, accession #0000320193-24-000081, filed 2024-08-02
Period: 3Q24 / period ended 2024-06-29
Model row: Model!35 Other Operating Income (Expense)
Mapping type: grouped
Concepts used: OperatingIncomeLoss = 25352 mm; GrossProfit = 39678 mm; SellingGeneralAndAdministrativeExpense = 6320 mm; ResearchAndDevelopmentExpense = 8006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"nds, and per-share amounts) Three Months Ended Nine Months Ended June 29, 2024 July 1, 2023 June 29, 2024 July 1, 2023 Net sales: Products $ 61,564 $ 60,584 $ 224,908 $ 230,901 Services 24,213 21,213 71,197 62,886 Total net sales 85,777 81,797 296,105 293,787 Cost of sales: Produ..."</t>
        </r>
      </text>
    </comment>
    <comment ref="N35" authorId="0">
      <text>
        <r>
          <rPr>
            <b/>
          </rPr>
          <t xml:space="preserve">EDGAR Mapper:
</t>
        </r>
        <r>
          <t xml:space="preserve">EDGAR mapping:
Source: 10-K, accession #0000320193-24-000123, filed 2024-11-01
Period: 4Q24 / period ended 2024-09-28
Model row: Model!35 Other Operating Income (Expense)
Mapping type: grouped
Concepts used: OperatingIncomeLoss = 29591 mm; GrossProfit = 43879 mm; SellingGeneralAndAdministrativeExpense = 6523 mm; ResearchAndDevelopmentExpense = 7765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35" authorId="0">
      <text>
        <r>
          <rPr>
            <b/>
          </rPr>
          <t xml:space="preserve">EDGAR Mapper:
</t>
        </r>
        <r>
          <t xml:space="preserve">EDGAR mapping:
Source: 10-Q, accession #0000320193-25-000008, filed 2025-01-31
Period: 1Q25 / period ended 2024-12-28
Model row: Model!35 Other Operating Income (Expense)
Mapping type: grouped
Concepts used: OperatingIncomeLoss = 42832 mm; GrossProfit = 58275 mm; SellingGeneralAndAdministrativeExpense = 7175 mm; ResearchAndDevelopmentExpense = 8268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2025-01-31: "ONS (Unaudited) (In millions, except number of shares, which are reflected in thousands, and per-share amounts) Three Months Ended December 28, 2024 December 30, 2023 Net sales: Products $ 97,960 $ 96,458 Services 26,340 23,117 Total net sales 124,300 119,575 Cost of sales: Produ..."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EDGAR Mapper:
Calculated as the residual needed for the Income Statement EBIT formula to tie to EDGAR pre-tax operating income.</t>
        </r>
      </text>
    </comment>
    <comment ref="Q35" authorId="0">
      <text>
        <r>
          <rPr>
            <b/>
          </rPr>
          <t xml:space="preserve">EDGAR Mapper:
</t>
        </r>
        <r>
          <t xml:space="preserve">EDGAR mapping:
Source: 10-Q, accession #0000320193-25-000057, filed 2025-05-02
Period: 2Q25 / period ended 2025-03-29
Model row: Model!35 Other Operating Income (Expense)
Mapping type: grouped
Concepts used: OperatingIncomeLoss = 29589 mm; GrossProfit = 44867 mm; SellingGeneralAndAdministrativeExpense = 6728 mm; ResearchAndDevelopmentExpense = 8550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2025-05-02: "ices 26,645 23,867 52,985 46,984 Total net sales 95,359 90,753 219,659 210,328 Cost of sales: Products 44,030 42,424 103,477 100,864 Services 6,462 6,058 13,040 12,338 Total cost of sales 50,492 48,482 116,517 113,202 Gross margin 44,867 42,271 103,142 97,126 Operating expenses: ..." 10-Q filed 2025-05-02: "and per-share amounts) Three Months Ended Six Months Ended March 29, 2025 March 30, 2024 March 29, 2025 March 30, 2024 Net sales: Products $ 68,714 $ 66,886 $ 166,674 $ 163,344 Services 26,645 23,867 52,985 46,984 Total net sales 95,359 90,753 219,659 210,328 Cost of sales: Produ..."
EDGAR Mapper:
Calculated as the residual needed for the Income Statement EBIT formula to tie to EDGAR pre-tax operating income.</t>
        </r>
      </text>
    </comment>
    <comment ref="R35" authorId="0">
      <text>
        <r>
          <rPr>
            <b/>
          </rPr>
          <t xml:space="preserve">EDGAR Mapper:
</t>
        </r>
        <r>
          <t xml:space="preserve">EDGAR mapping:
Source: 10-Q, accession #0000320193-25-000073, filed 2025-08-01
Period: 3Q25 / period ended 2025-06-28
Model row: Model!35 Other Operating Income (Expense)
Mapping type: grouped
Concepts used: OperatingIncomeLoss = 28202 mm; GrossProfit = 43718 mm; SellingGeneralAndAdministrativeExpense = 6650 mm; ResearchAndDevelopmentExpense = 8866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2025-08-01: "ces 27,423 24,213 80,408 71,197 Total net sales 94,036 85,777 313,695 296,105 Cost of sales: Products 43,620 39,803 147,097 140,667 Services 6,698 6,296 19,738 18,634 Total cost of sales 50,318 46,099 166,835 159,301 Gross margin 43,718 39,678 146,860 136,804 Operating expenses: ..." 10-Q filed 2025-08-01: "s, and per-share amounts) Three Months Ended Nine Months Ended June 28, 2025 June 29, 2024 June 28, 2025 June 29, 2024 Net sales: Products $ 66,613 $ 61,564 $ 233,287 $ 224,908 Services 27,423 24,213 80,408 71,197 Total net sales 94,036 85,777 313,695 296,105 Cost of sales: Produ..."
EDGAR Mapper:
Calculated as the residual needed for the Income Statement EBIT formula to tie to EDGAR pre-tax operating income.</t>
        </r>
      </text>
    </comment>
    <comment ref="S35" authorId="0">
      <text>
        <r>
          <rPr>
            <b/>
          </rPr>
          <t xml:space="preserve">EDGAR Mapper:
</t>
        </r>
        <r>
          <t xml:space="preserve">EDGAR mapping:
Source: 10-K, accession #0000320193-25-000079, filed 2025-10-31
Period: 4Q25 / period ended 2025-09-27
Model row: Model!35 Other Operating Income (Expense)
Mapping type: grouped
Concepts used: OperatingIncomeLoss = 32427 mm; GrossProfit = 48341 mm; SellingGeneralAndAdministrativeExpense = 7048 mm; ResearchAndDevelopmentExpense = 8866 mm; IncomeStatementDepreciationAmortizationNotReported = 0 mm
Units: USD
Unit conversion: raw USD to $mm
Sign: copied using model sign convention
Confidence: medium
Value written: 0
Notes: 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35" authorId="0">
      <text>
        <r>
          <rPr>
            <b/>
          </rPr>
          <t xml:space="preserve">EDGAR Mapper:
</t>
        </r>
        <r>
          <t xml:space="preserve">EDGAR mapping:
Source: 10-Q, accession #0000320193-26-000006, filed 2026-01-30
Period: 1Q26 / period ended 2025-12-27
Model row: Model!35 Other Operating Income (Expense)
Mapping type: grouped
Concepts used: OperatingIncomeLoss = 50852 mm; GrossProfit = 69231 mm; SellingGeneralAndAdministrativeExpense = 7492 mm; ResearchAndDevelopmentExpense = 10887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EDGAR Mapper:
Calculated as the residual needed for the Income Statement EBIT formula to tie to EDGAR pre-tax operating income.</t>
        </r>
      </text>
    </comment>
    <comment ref="V35" authorId="0">
      <text>
        <r>
          <rPr>
            <b/>
          </rPr>
          <t xml:space="preserve">EDGAR Mapper:
</t>
        </r>
        <r>
          <t xml:space="preserve">EDGAR mapping:
Source: 10-Q, accession #0000320193-26-000013, filed 2026-05-01
Period: 2Q26 / period ended 2026-03-28
Model row: Model!35 Other Operating Income (Expense)
Mapping type: grouped
Concepts used: OperatingIncomeLoss = 35885 mm; GrossProfit = 54781 mm; SellingGeneralAndAdministrativeExpense = 7477 mm; ResearchAndDevelopmentExpense = 11419 mm; IncomeStatementDepreciationAmortizationNotReported = 0 mm
Units: USD
Unit conversion: raw USD to $mm
Sign: copied using model sign convention
Confidence: medium
Value written: 0
Notes: 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"nd per-share amounts) Three Months Ended Six Months Ended March 28, 2026 March 29, 2025 March 28, 2026 March 29, 2025 Net sales: Products $ 80,208 $ 68,714 $ 193,951 $ 166,674 Services 30,976 26,645 60,989 52,985 Total net sales 111,184 95,359 254,940 219,659 Cost of sales: Produ..."
EDGAR Mapper:
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#0000320193-23-000006, filed 2023-02-03
Period: 1Q23 / period ended 2022-12-31
Model row: Model!39 Interest (Expense)
Mapping type: direct
Concepts used: InterestExpense = 1003 mm
Units: USD
Unit conversion: raw USD to $mm
Sign: copied using model sign convention
Confidence: high
Value written: -1003
Notes: Included SEC interest expense, including operating interest expense when that is the company's presentation.</t>
        </r>
      </text>
    </comment>
    <comment ref="G39" authorId="0">
      <text>
        <r>
          <rPr>
            <b/>
          </rPr>
          <t xml:space="preserve">EDGAR Mapper:
</t>
        </r>
        <r>
          <t xml:space="preserve">EDGAR mapping:
Source: 10-Q, accession #0000320193-23-000064, filed 2023-05-05
Period: 2Q23 / period ended 2023-04-01
Model row: Model!39 Interest (Expense)
Mapping type: direct
Concepts used: InterestExpense = 930 mm
Units: USD
Unit conversion: raw USD to $mm
Sign: copied using model sign convention
Confidence: high
Value written: -930
Notes: Included SEC interest expense, including operating interest expense when that is the company's presentation.</t>
        </r>
      </text>
    </comment>
    <comment ref="H39" authorId="0">
      <text>
        <r>
          <rPr>
            <b/>
          </rPr>
          <t xml:space="preserve">EDGAR Mapper:
</t>
        </r>
        <r>
          <t xml:space="preserve">EDGAR mapping:
Source: 10-Q, accession #0000320193-23-000077, filed 2023-08-04
Period: 3Q23 / period ended 2023-07-01
Model row: Model!39 Interest (Expense)
Mapping type: direct
Concepts used: InterestExpense = 998 mm
Units: USD
Unit conversion: raw USD to $mm
Sign: copied using model sign convention
Confidence: high
Value written: -998
Notes: Included SEC interest expense, including operating interest expense when that is the company's presentation.</t>
        </r>
      </text>
    </comment>
    <comment ref="I39" authorId="0">
      <text>
        <r>
          <rPr>
            <b/>
          </rPr>
          <t xml:space="preserve">EDGAR Mapper:
</t>
        </r>
        <r>
          <t>Updated the preserved formula's cached result from EDGAR while keeping the model formula in place.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Needs review: one or more historical periods were left unchanged because no matching EDGAR fact was found.</t>
        </r>
      </text>
    </comment>
    <comment ref="F41" authorId="0">
      <text>
        <r>
          <rPr>
            <b/>
          </rPr>
          <t xml:space="preserve">EDGAR Mapper:
</t>
        </r>
        <r>
          <t xml:space="preserve">EDGAR mapping:
Source: 10-Q, accession #0000320193-23-000006, filed 2023-02-03
Period: 1Q23 / period ended 2022-12-31
Model row: Model!41 Other Non-Operating Income (Expense)
Mapping type: direct
Concepts used: OtherNonoperatingIncomeExpense = -258 mm
Units: USD
Unit conversion: raw USD to $mm
Sign: copied using model sign convention
Confidence: high
Value written: -258
EDGAR Mapper:
Calculated as the residual needed for the model's pre-tax income formula to tie to EDGAR income before taxes.</t>
        </r>
      </text>
    </comment>
    <comment ref="G41" authorId="0">
      <text>
        <r>
          <rPr>
            <b/>
          </rPr>
          <t xml:space="preserve">EDGAR Mapper:
</t>
        </r>
        <r>
          <t xml:space="preserve">EDGAR mapping:
Source: 10-Q, accession #0000320193-23-000064, filed 2023-05-05
Period: 2Q23 / period ended 2023-04-01
Model row: Model!41 Other Non-Operating Income (Expense)
Mapping type: direct
Concepts used: OtherNonoperatingIncomeExpense = 76 mm
Units: USD
Unit conversion: raw USD to $mm
Sign: copied using model sign convention
Confidence: high
Value written: 76
EDGAR Mapper:
Calculated as the residual needed for the model's pre-tax income formula to tie to EDGAR income before taxes.</t>
        </r>
      </text>
    </comment>
    <comment ref="H41" authorId="0">
      <text>
        <r>
          <rPr>
            <b/>
          </rPr>
          <t xml:space="preserve">EDGAR Mapper:
</t>
        </r>
        <r>
          <t xml:space="preserve">EDGAR mapping:
Source: 10-Q, accession #0000320193-23-000077, filed 2023-08-04
Period: 3Q23 / period ended 2023-07-01
Model row: Model!41 Other Non-Operating Income (Expense)
Mapping type: direct
Concepts used: OtherNonoperatingIncomeExpense = -247 mm
Units: USD
Unit conversion: raw USD to $mm
Sign: copied using model sign convention
Confidence: high
Value written: -247
EDGAR Mapper:
Calculated as the residual needed for the model's pre-tax income formula to tie to EDGAR income before taxes.</t>
        </r>
      </text>
    </comment>
    <comment ref="I41" authorId="0">
      <text>
        <r>
          <rPr>
            <b/>
          </rPr>
          <t xml:space="preserve">EDGAR Mapper:
</t>
        </r>
        <r>
          <t xml:space="preserve">EDGAR mapping:
Source: 10-K, accession #0000320193-23-000106, filed 2023-11-03
Period: 4Q23 / period ended 2023-09-30
Model row: Model!41 Other Non-Operating Income (Expense)
Mapping type: direct
Concepts used: OtherNonoperatingIncomeExpense = 47 mm
Units: USD
Unit conversion: raw USD to $mm
Sign: copied using model sign convention
Confidence: medium
Value written: 47
Notes: Quarterly value was derived from Other Nonoperating Income (Expense)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EDGAR Mapper:
Calculated as the residual needed for the model's pre-tax income formula to tie to EDGAR income before taxes.</t>
        </r>
      </text>
    </comment>
    <comment ref="K41" authorId="0">
      <text>
        <r>
          <rPr>
            <b/>
          </rPr>
          <t xml:space="preserve">EDGAR Mapper:
</t>
        </r>
        <r>
          <t>Calculated as the residual needed for the model's pre-tax income formula to tie to EDGAR income before taxes.</t>
        </r>
      </text>
    </comment>
    <comment ref="L41" authorId="0">
      <text>
        <r>
          <rPr>
            <b/>
          </rPr>
          <t xml:space="preserve">EDGAR Mapper:
</t>
        </r>
        <r>
          <t>Calculated as the residual needed for the model's pre-tax income formula to tie to EDGAR income before taxes.</t>
        </r>
      </text>
    </comment>
    <comment ref="M41" authorId="0">
      <text>
        <r>
          <rPr>
            <b/>
          </rPr>
          <t xml:space="preserve">EDGAR Mapper:
</t>
        </r>
        <r>
          <t>Calculated as the residual needed for the model's pre-tax income formula to tie to EDGAR income before taxes.</t>
        </r>
      </text>
    </comment>
    <comment ref="N41" authorId="0">
      <text>
        <r>
          <rPr>
            <b/>
          </rPr>
          <t xml:space="preserve">EDGAR Mapper:
</t>
        </r>
        <r>
          <t>Calculated as the residual needed for the model's pre-tax income formula to tie to EDGAR income before taxes.</t>
        </r>
      </text>
    </comment>
    <comment ref="P41" authorId="0">
      <text>
        <r>
          <rPr>
            <b/>
          </rPr>
          <t xml:space="preserve">EDGAR Mapper:
</t>
        </r>
        <r>
          <t>Calculated as the residual needed for the model's pre-tax income formula to tie to EDGAR income before taxes.</t>
        </r>
      </text>
    </comment>
    <comment ref="Q41" authorId="0">
      <text>
        <r>
          <rPr>
            <b/>
          </rPr>
          <t xml:space="preserve">EDGAR Mapper:
</t>
        </r>
        <r>
          <t>Calculated as the residual needed for the model's pre-tax income formula to tie to EDGAR income before taxes.</t>
        </r>
      </text>
    </comment>
    <comment ref="R41" authorId="0">
      <text>
        <r>
          <rPr>
            <b/>
          </rPr>
          <t xml:space="preserve">EDGAR Mapper:
</t>
        </r>
        <r>
          <t xml:space="preserve">======
ID#AAABbnJBV08
Microsoft Office User    (2025-01-14 21:09:38)
Brian Otaszewski: Loss on extinguishment of debt
EDGAR Mapper:
Calculated as the residual needed for the model's pre-tax income formula to tie to EDGAR income before taxes.</t>
        </r>
      </text>
    </comment>
    <comment ref="S41" authorId="0">
      <text>
        <r>
          <rPr>
            <b/>
          </rPr>
          <t xml:space="preserve">EDGAR Mapper:
</t>
        </r>
        <r>
          <t>Calculated as the residual needed for the model's pre-tax income formula to tie to EDGAR income before taxes.</t>
        </r>
      </text>
    </comment>
    <comment ref="U41" authorId="0">
      <text>
        <r>
          <rPr>
            <b/>
          </rPr>
          <t xml:space="preserve">EDGAR Mapper:
</t>
        </r>
        <r>
          <t>Calculated as the residual needed for the model's pre-tax income formula to tie to EDGAR income before taxes.</t>
        </r>
      </text>
    </comment>
    <comment ref="V41" authorId="0">
      <text>
        <r>
          <rPr>
            <b/>
          </rPr>
          <t xml:space="preserve">EDGAR Mapper:
</t>
        </r>
        <r>
          <t>Calculated as the residual needed for the model's pre-tax income formula to tie to EDGAR income before taxes.</t>
        </r>
      </text>
    </comment>
    <comment ref="C44" authorId="0">
      <text>
        <r>
          <rPr>
            <b/>
          </rPr>
          <t xml:space="preserve">EDGAR Mapper:
</t>
        </r>
        <r>
          <t>Mapped to EDGAR income tax expense/benefit using the model's negative-expense sign convention. Quarterly value was derived from Income Tax Expense (Benefit)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Mapped to EDGAR income tax expense/benefit using the model's negative-expense sign convention. Quarterly value was derived from Income Tax Expense (Benefit)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t>
        </r>
      </text>
    </comment>
    <comment ref="F44" authorId="0">
      <text>
        <r>
          <rPr>
            <b/>
          </rPr>
          <t xml:space="preserve">EDGAR Mapper:
</t>
        </r>
        <r>
          <t xml:space="preserve">EDGAR mapping:
Source: 10-Q, accession #0000320193-23-000006, filed 2023-02-03
Period: 1Q23 / period ended 2022-12-31
Model row: Model!44 Income Tax Benefit (Expense)
Mapping type: direct
Concepts used: IncomeTaxExpenseBenefit = 5625 mm
Units: USD
Unit conversion: raw USD to $mm
Sign: copied using model sign convention
Confidence: high
Value written: -5625
Notes: Mapped to EDGAR income tax expense/benefit using the model's negative-expense sign convention.</t>
        </r>
      </text>
    </comment>
    <comment ref="G44" authorId="0">
      <text>
        <r>
          <rPr>
            <b/>
          </rPr>
          <t xml:space="preserve">EDGAR Mapper:
</t>
        </r>
        <r>
          <t xml:space="preserve">EDGAR mapping:
Source: 10-Q, accession #0000320193-23-000064, filed 2023-05-05
Period: 2Q23 / period ended 2023-04-01
Model row: Model!44 Income Tax Benefit (Expense)
Mapping type: direct
Concepts used: IncomeTaxExpenseBenefit = 4222 mm
Units: USD
Unit conversion: raw USD to $mm
Sign: copied using model sign convention
Confidence: high
Value written: -4222
Notes: Mapped to EDGAR income tax expense/benefit using the model's negative-expense sign convention.</t>
        </r>
      </text>
    </comment>
    <comment ref="H44" authorId="0">
      <text>
        <r>
          <rPr>
            <b/>
          </rPr>
          <t xml:space="preserve">EDGAR Mapper:
</t>
        </r>
        <r>
          <t xml:space="preserve">EDGAR mapping:
Source: 10-Q, accession #0000320193-23-000077, filed 2023-08-04
Period: 3Q23 / period ended 2023-07-01
Model row: Model!44 Income Tax Benefit (Expense)
Mapping type: direct
Concepts used: IncomeTaxExpenseBenefit = 2852 mm
Units: USD
Unit conversion: raw USD to $mm
Sign: copied using model sign convention
Confidence: high
Value written: -2852
Notes: Mapped to EDGAR income tax expense/benefit using the model's negative-expense sign convention.</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mapping:
Source: 10-Q, accession #0000320193-24-000006, filed 2024-02-02
Period: 1Q24 / period ended 2023-12-30
Model row: Model!44 Income Tax Benefit (Expense)
Mapping type: direct
Concepts used: IncomeTaxExpenseBenefit = 6407 mm
Units: USD
Unit conversion: raw USD to $mm
Sign: copied using model sign convention
Confidence: high
Value written: -6407
Notes: Mapped to EDGAR income tax expense/benefit using the model's negative-expense sign convention.</t>
        </r>
      </text>
    </comment>
    <comment ref="L44" authorId="0">
      <text>
        <r>
          <rPr>
            <b/>
          </rPr>
          <t xml:space="preserve">EDGAR Mapper:
</t>
        </r>
        <r>
          <t xml:space="preserve">EDGAR mapping:
Source: 10-Q, accession #0000320193-24-000069, filed 2024-05-03
Period: 2Q24 / period ended 2024-03-30
Model row: Model!44 Income Tax Benefit (Expense)
Mapping type: direct
Concepts used: IncomeTaxExpenseBenefit = 4422 mm
Units: USD
Unit conversion: raw USD to $mm
Sign: copied using model sign convention
Confidence: high
Value written: -4422
Notes: Mapped to EDGAR income tax expense/benefit using the model's negative-expense sign convention.</t>
        </r>
      </text>
    </comment>
    <comment ref="M44" authorId="0">
      <text>
        <r>
          <rPr>
            <b/>
          </rPr>
          <t xml:space="preserve">EDGAR Mapper:
</t>
        </r>
        <r>
          <t xml:space="preserve">EDGAR mapping:
Source: 10-Q, accession #0000320193-24-000081, filed 2024-08-02
Period: 3Q24 / period ended 2024-06-29
Model row: Model!44 Income Tax Benefit (Expense)
Mapping type: direct
Concepts used: IncomeTaxExpenseBenefit = 4046 mm
Units: USD
Unit conversion: raw USD to $mm
Sign: copied using model sign convention
Confidence: high
Value written: -4046
Notes: Mapped to EDGAR income tax expense/benefit using the model's negative-expense sign convention.</t>
        </r>
      </text>
    </comment>
    <comment ref="N44" authorId="0">
      <text>
        <r>
          <rPr>
            <b/>
          </rPr>
          <t xml:space="preserve">EDGAR Mapper:
</t>
        </r>
        <r>
          <t xml:space="preserve">EDGAR mapping:
Source: 10-K, accession #0000320193-24-000123, filed 2024-11-01
Period: 4Q24 / period ended 2024-09-28
Model row: Model!44 Income Tax Benefit (Expense)
Mapping type: direct
Concepts used: IncomeTaxExpenseBenefit = 14874 mm
Units: USD
Unit conversion: raw USD to $mm
Sign: copied using model sign convention
Confidence: medium
Value written: -14874
Notes: Mapped to EDGAR income tax expense/benefit using the model's negative-expense sign convention. Quarterly value was derived from Income Tax Expense (Benefit)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t>
        </r>
      </text>
    </comment>
    <comment ref="P44" authorId="0">
      <text>
        <r>
          <rPr>
            <b/>
          </rPr>
          <t xml:space="preserve">EDGAR Mapper:
</t>
        </r>
        <r>
          <t xml:space="preserve">EDGAR mapping:
Source: 10-Q, accession #0000320193-25-000008, filed 2025-01-31
Period: 1Q25 / period ended 2024-12-28
Model row: Model!44 Income Tax Benefit (Expense)
Mapping type: direct
Concepts used: IncomeTaxExpenseBenefit = 6254 mm
Units: USD
Unit conversion: raw USD to $mm
Sign: copied using model sign convention
Confidence: high
Value written: -6254
Notes: Mapped to EDGAR income tax expense/benefit using the model's negative-expense sign convention.</t>
        </r>
      </text>
    </comment>
    <comment ref="Q44" authorId="0">
      <text>
        <r>
          <rPr>
            <b/>
          </rPr>
          <t xml:space="preserve">EDGAR Mapper:
</t>
        </r>
        <r>
          <t xml:space="preserve">EDGAR mapping:
Source: 10-Q, accession #0000320193-25-000057, filed 2025-05-02
Period: 2Q25 / period ended 2025-03-29
Model row: Model!44 Income Tax Benefit (Expense)
Mapping type: direct
Concepts used: IncomeTaxExpenseBenefit = 4530 mm
Units: USD
Unit conversion: raw USD to $mm
Sign: copied using model sign convention
Confidence: high
Value written: -4530
Notes: Mapped to EDGAR income tax expense/benefit using the model's negative-expense sign convention.</t>
        </r>
      </text>
    </comment>
    <comment ref="R44" authorId="0">
      <text>
        <r>
          <rPr>
            <b/>
          </rPr>
          <t xml:space="preserve">EDGAR Mapper:
</t>
        </r>
        <r>
          <t xml:space="preserve">EDGAR mapping:
Source: 10-Q, accession #0000320193-25-000073, filed 2025-08-01
Period: 3Q25 / period ended 2025-06-28
Model row: Model!44 Income Tax Benefit (Expense)
Mapping type: direct
Concepts used: IncomeTaxExpenseBenefit = 4597 mm
Units: USD
Unit conversion: raw USD to $mm
Sign: copied using model sign convention
Confidence: high
Value written: -4597
Notes: Mapped to EDGAR income tax expense/benefit using the model's negative-expense sign convention.</t>
        </r>
      </text>
    </comment>
    <comment ref="S44" authorId="0">
      <text>
        <r>
          <rPr>
            <b/>
          </rPr>
          <t xml:space="preserve">EDGAR Mapper:
</t>
        </r>
        <r>
          <t xml:space="preserve">EDGAR mapping:
Source: 10-K, accession #0000320193-25-000079, filed 2025-10-31
Period: 4Q25 / period ended 2025-09-27
Model row: Model!44 Income Tax Benefit (Expense)
Mapping type: direct
Concepts used: IncomeTaxExpenseBenefit = 5338 mm
Units: USD
Unit conversion: raw USD to $mm
Sign: copied using model sign convention
Confidence: medium
Value written: -5338
Notes: Mapped to EDGAR income tax expense/benefit using the model's negative-expense sign convention. Quarterly value was derived from Income Tax Expense (Benefit)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t>
        </r>
      </text>
    </comment>
    <comment ref="U44" authorId="0">
      <text>
        <r>
          <rPr>
            <b/>
          </rPr>
          <t xml:space="preserve">EDGAR Mapper:
</t>
        </r>
        <r>
          <t xml:space="preserve">EDGAR mapping:
Source: 10-Q, accession #0000320193-26-000006, filed 2026-01-30
Period: 1Q26 / period ended 2025-12-27
Model row: Model!44 Income Tax Benefit (Expense)
Mapping type: direct
Concepts used: IncomeTaxExpenseBenefit = 8905 mm
Units: USD
Unit conversion: raw USD to $mm
Sign: copied using model sign convention
Confidence: high
Value written: -8905
Notes: Mapped to EDGAR income tax expense/benefit using the model's negative-expense sign convention.</t>
        </r>
      </text>
    </comment>
    <comment ref="V44" authorId="0">
      <text>
        <r>
          <rPr>
            <b/>
          </rPr>
          <t xml:space="preserve">EDGAR Mapper:
</t>
        </r>
        <r>
          <t xml:space="preserve">Updated the preserved formula's cached result from EDGAR while keeping the model formula in place.
EDGAR Mapper:
Calculated as the residual needed for the model's net income formula to tie to EDGAR net income.</t>
        </r>
      </text>
    </comment>
    <comment ref="C47" authorId="0">
      <text>
        <r>
          <rPr>
            <b/>
          </rPr>
          <t xml:space="preserve">EDGAR Mapper:
</t>
        </r>
        <r>
          <t>Grouped from EDGAR: Pre Tax Adjustments Not Reported. No EDGAR-supported pre-tax adjustment item was reported for this period, so the adjusted net income bridge uses zero instead of preserving stale model hardcodes.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"34 ( 1,001 ) 696 Adjustment for net (gains)/losses realized and included in net income ( 191 ) ( 301 ) ( 1,957 ) ( 208 ) Total change in unrealized gains/losses on derivative instruments ( 204 ) 33 ( 2,958 ) 488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Grouped from EDGAR: Pre Tax Adjustments Not Reported. No EDGAR-supported pre-tax adjustment item was reported for this period, so the adjusted net income bridge uses zero instead of preserving stale model hardcodes.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"75 ) ( 1,001 ) Adjustment for net (gains)/losses realized and included in net income 232 ( 191 ) ( 591 ) ( 1,957 ) Total change in unrealized gains/losses on derivative instruments 688 ( 204 ) ( 666 ) ( 2,958 )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Grouped from EDGAR: Pre Tax Adjustments Not Reported. No EDGAR-supported pre-tax adjustment item was reported for this period, so the adjusted net income bridge uses zero instead of preserving stale model hardcodes.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Grouped from EDGAR: Pre Tax Adjustments Not Reported. No EDGAR-supported pre-tax adjustment item was reported for this period, so the adjusted net income bridge uses zero instead of preserving stale model hardcodes.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Grouped from EDGAR: Pre Tax Adjustments Not Reported. No EDGAR-supported pre-tax adjustment item was reported for this period, so the adjusted net income bridge uses zero instead of preserving stale model hardcodes.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Grouped from EDGAR: Pre Tax Adjustments Not Reported. No EDGAR-supported pre-tax adjustment item was reported for this period, so the adjusted net income bridge uses zero instead of preserving stale model hardcodes.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t>
        </r>
      </text>
    </comment>
    <comment ref="F47" authorId="0">
      <text>
        <r>
          <rPr>
            <b/>
          </rPr>
          <t xml:space="preserve">EDGAR Mapper:
</t>
        </r>
        <r>
          <t xml:space="preserve">EDGAR mapping:
Source: SEC filing
Period: 1Q23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SEC validation: Value is a zero/derived model support value with no direct SEC fact.</t>
        </r>
      </text>
    </comment>
    <comment ref="G47" authorId="0">
      <text>
        <r>
          <rPr>
            <b/>
          </rPr>
          <t xml:space="preserve">EDGAR Mapper:
</t>
        </r>
        <r>
          <t xml:space="preserve">EDGAR mapping:
Source: SEC filing
Period: 2Q23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"34 ( 1,001 ) 696 Adjustment for net (gains)/losses realized and included in net income ( 191 ) ( 301 ) ( 1,957 ) ( 208 ) Total change in unrealized gains/losses on derivative instruments ( 204 ) 33 ( 2,958 ) 488 Change in unrealized gains/losses on marketable debt securities, net..." SEC validation: Value is a zero/derived model support value with no direct SEC fact.</t>
        </r>
      </text>
    </comment>
    <comment ref="H47" authorId="0">
      <text>
        <r>
          <rPr>
            <b/>
          </rPr>
          <t xml:space="preserve">EDGAR Mapper:
</t>
        </r>
        <r>
          <t xml:space="preserve">EDGAR mapping:
Source: SEC filing
Period: 3Q23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SEC validation: Value is a zero/derived model support value with no direct SEC fact.</t>
        </r>
      </text>
    </comment>
    <comment ref="I47" authorId="0">
      <text>
        <r>
          <rPr>
            <b/>
          </rPr>
          <t xml:space="preserve">EDGAR Mapper:
</t>
        </r>
        <r>
          <t xml:space="preserve">EDGAR mapping:
Source: SEC filing
Period: 4Q23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SEC validation: Value is a zero/derived model support value with no direct SEC fact.</t>
        </r>
      </text>
    </comment>
    <comment ref="K47" authorId="0">
      <text>
        <r>
          <rPr>
            <b/>
          </rPr>
          <t xml:space="preserve">EDGAR Mapper:
</t>
        </r>
        <r>
          <t xml:space="preserve">EDGAR mapping:
Source: SEC filing
Period: 1Q24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SEC validation: Value is a zero/derived model support value with no direct SEC fact.</t>
        </r>
      </text>
    </comment>
    <comment ref="L47" authorId="0">
      <text>
        <r>
          <rPr>
            <b/>
          </rPr>
          <t xml:space="preserve">EDGAR Mapper:
</t>
        </r>
        <r>
          <t xml:space="preserve">EDGAR mapping:
Source: SEC filing
Period: 2Q24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"75 ) ( 1,001 ) Adjustment for net (gains)/losses realized and included in net income 232 ( 191 ) ( 591 ) ( 1,957 ) Total change in unrealized gains/losses on derivative instruments 688 ( 204 ) ( 666 ) ( 2,958 ) Change in unrealized gains/losses on marketable debt securities, net ..." SEC validation: Value is a zero/derived model support value with no direct SEC fact.</t>
        </r>
      </text>
    </comment>
    <comment ref="M47" authorId="0">
      <text>
        <r>
          <rPr>
            <b/>
          </rPr>
          <t xml:space="preserve">EDGAR Mapper:
</t>
        </r>
        <r>
          <t xml:space="preserve">EDGAR mapping:
Source: SEC filing
Period: 3Q24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SEC validation: Value is a zero/derived model support value with no direct SEC fact.</t>
        </r>
      </text>
    </comment>
    <comment ref="N47" authorId="0">
      <text>
        <r>
          <rPr>
            <b/>
          </rPr>
          <t xml:space="preserve">EDGAR Mapper:
</t>
        </r>
        <r>
          <t xml:space="preserve">EDGAR mapping:
Source: SEC filing
Period: 4Q24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SEC validation: Value is a zero/derived model support value with no direct SEC fact.</t>
        </r>
      </text>
    </comment>
    <comment ref="P47" authorId="0">
      <text>
        <r>
          <rPr>
            <b/>
          </rPr>
          <t xml:space="preserve">EDGAR Mapper:
</t>
        </r>
        <r>
          <t xml:space="preserve">EDGAR mapping:
Source: SEC filing
Period: 1Q25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SEC validation: Value is a zero/derived model support value with no direct SEC fact.</t>
        </r>
      </text>
    </comment>
    <comment ref="Q47" authorId="0">
      <text>
        <r>
          <rPr>
            <b/>
          </rPr>
          <t xml:space="preserve">EDGAR Mapper:
</t>
        </r>
        <r>
          <t xml:space="preserve">EDGAR mapping:
Source: SEC filing
Period: 2Q25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SEC validation: Value is a zero/derived model support value with no direct SEC fact.</t>
        </r>
      </text>
    </comment>
    <comment ref="R47" authorId="0">
      <text>
        <r>
          <rPr>
            <b/>
          </rPr>
          <t xml:space="preserve">EDGAR Mapper:
</t>
        </r>
        <r>
          <t xml:space="preserve">EDGAR mapping:
Source: SEC filing
Period: 3Q25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SEC validation: Value is a zero/derived model support value with no direct SEC fact.</t>
        </r>
      </text>
    </comment>
    <comment ref="S47" authorId="0">
      <text>
        <r>
          <rPr>
            <b/>
          </rPr>
          <t xml:space="preserve">EDGAR Mapper:
</t>
        </r>
        <r>
          <t xml:space="preserve">EDGAR mapping:
Source: SEC filing
Period: 4Q25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SEC validation: Value is a zero/derived model support value with no direct SEC fact.</t>
        </r>
      </text>
    </comment>
    <comment ref="U47" authorId="0">
      <text>
        <r>
          <rPr>
            <b/>
          </rPr>
          <t xml:space="preserve">EDGAR Mapper:
</t>
        </r>
        <r>
          <t xml:space="preserve">EDGAR mapping:
Source: SEC filing
Period: 1Q26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r>
      </text>
    </comment>
    <comment ref="V47" authorId="0">
      <text>
        <r>
          <rPr>
            <b/>
          </rPr>
          <t xml:space="preserve">EDGAR Mapper:
</t>
        </r>
        <r>
          <t xml:space="preserve">EDGAR mapping:
Source: SEC filing
Period: 2Q26
Model row: Model!47 Pre-Tax Adjustments
Mapping type: grouped
Concepts used: PreTaxAdjustmentsNotReported = 0 mm
Units: not specified
Unit conversion: raw USD to $mm
Sign: copied using model sign convention
Confidence: medium
Value written: 0
Notes: Grouped from EDGAR: Pre Tax Adjustments Not Reported. No EDGAR-supported pre-tax adjustment item was reported for this period, so the adjusted net income bridge uses zero instead of preserving stale model hardcodes.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SEC validation: Value is a zero/derived model support value with no direct SEC fact.</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EDGAR: Post Tax Adjustments Not Reported. No EDGAR-supported post-tax adjustment item was reported for this period, so the adjusted net income bridge uses zero instead of preserving stale model hardcodes. Filing commentary support: 10-Q filed 2023-02-03: "s of the respective vesting dates of RSUs was $ 6.8 billion and $ 8.5 billion for the three months ended December 31, 2022 and December 25, 2021, respectively. Share-Based Compensation The following table shows share-based compensation expense and the related income tax benefit i..." 10-Q filed 2023-02-03: "NFORMATION Item 1. Financial Statements Apple Inc. CONDENSED CONSOLIDATED STATEMENTS OF OPERATIONS (Unaudited) (In millions, except number of shares which are reflected in thousands and per share amounts) Three Months Ended December 31, 2022 December 25, 2021 Net sales: Products ..." Grouped from EDGAR: Post Tax Adjustments Not Reported. No EDGAR-supported post-tax adjustment item was reported for this period, so the adjusted net income bridge uses zero instead of preserving stale model hardcodes. Filing commentary support: 10-Q filed 2023-05-05: "nth periods ended April 1, 2023, respectively, and was $ 1.0 billion and $ 9.5 billion for the three- and six-month periods ended March 26, 2022, respectively. Share-Based Compensation The following table shows share-based compensation expense and the related income tax benefit i..." 10-Q filed 2023-05-05: "Apple Inc. CONDENSED CONSOLIDATED STATEMENTS OF OPERATIONS (Unaudited) (In millions, except number of shares which are reflected in thousands and per share amounts) Three Months Ended Six Months Ended April 1, 2023 March 26, 2022 April 1, 2023 March 26, 2022 Net sales: Products $..." Grouped from EDGAR: Post Tax Adjustments Not Reported. No EDGAR-supported post-tax adjustment item was reported for this period, so the adjusted net income bridge uses zero instead of preserving stale model hardcodes.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Grouped from EDGAR: Post Tax Adjustments Not Reported. No EDGAR-supported post-tax adjustment item was reported for this period, so the adjusted net income bridge uses zero instead of preserving stale model hardcodes. Filing commentary support: 10-Q filed 2024-02-02: "RSUs was $ 7.7 billion and $ 6.8 billion for the three months ended December 30, 2023 and December 31, 2022, respectively. Apple Inc. | Q1 2024 Form 10-Q | 10 Share-Based Compensation The following table shows share-based compensation expense and the related income tax benefit in..." 10-Q filed 2024-02-02: "ORMATION Item 1. Financial Statements Apple Inc. CONDENSED CONSOLIDATED STATEMENTS OF OPERATIONS (Unaudited) (In millions, except number of shares, which are reflected in thousands, and per-share amounts) Three Months Ended December 30, 2023 December 31, 2022 Net sales: Products ..." Grouped from EDGAR: Post Tax Adjustments Not Reported. No EDGAR-supported post-tax adjustment item was reported for this period, so the adjusted net income bridge uses zero instead of preserving stale model hardcodes. Filing commentary support: 10-Q filed 2024-05-03: "spectively, and was $ 1.1 billion and $ 8.0 billion for the three- and six-month periods ended April 1, 2023, respectively. Apple Inc. | Q2 2024 Form 10-Q | 10 Share-Based Compensation The following table shows share-based compensation expense and the related income tax benefit i..." 10-Q filed 2024-05-03: "pple Inc. CONDENSED CONSOLIDATED STATEMENTS OF OPERATIONS (Unaudited) (In millions, except number of shares, which are reflected in thousands, and per-share amounts) Three Months Ended Six Months Ended March 30, 2024 April 1, 2023 March 30, 2024 April 1, 2023 Net sales: Products ..." Grouped from EDGAR: Post Tax Adjustments Not Reported. No EDGAR-supported post-tax adjustment item was reported for this period, so the adjusted net income bridge uses zero instead of preserving stale model hardcodes. Filing commentary support: 10-Q filed 2024-08-02: "nth periods ended June 29, 2024, respectively, and was $ 7.0 billion and $ 14.9 billion for the three- and nine-month periods ended July 1, 2023, respectively. Share-Based Compensation The following table shows share-based compensation expense and the related income tax benefit i..." 10-Q filed 2024-08-02: "s Apple Inc. CONDENSED CONSOLIDATED STATEMENTS OF OPERATIONS (Unaudited) (In millions, except number of shares, which are reflected in thousands, and per-share amounts) Three Months Ended Nine Months Ended June 29, 2024 July 1, 2023 June 29, 2024 July 1, 2023 Net sales: Products ..." Grouped from EDGAR: Post Tax Adjustments Not Reported. No EDGAR-supported post-tax adjustment item was reported for this period, so the adjusted net income bridge uses zero instead of preserving stale model hardcodes.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Grouped from EDGAR: Post Tax Adjustments Not Reported. No EDGAR-supported post-tax adjustment item was reported for this period, so the adjusted net income bridge uses zero instead of preserving stale model hardcodes. Filing commentary support: 10-Q filed 2025-01-31: "The total vesting-date fair value of RSUs was $ 8.4 billion and $ 7.7 billion for the three months ended December 28, 2024 and December 30, 2023, respectively. Share-Based Compensation The following table shows share-based compensation expense and the related income tax benefit i..." 10-Q filed 2025-01-31: "ORMATION Item 1. Financial Statements Apple Inc. CONDENSED CONSOLIDATED STATEMENTS OF OPERATIONS (Unaudited) (In millions, except number of shares, which are reflected in thousands, and per-share amounts) Three Months Ended December 28, 2024 December 30, 2023 Net sales: Products ..." Grouped from EDGAR: Post Tax Adjustments Not Reported. No EDGAR-supported post-tax adjustment item was reported for this period, so the adjusted net income bridge uses zero instead of preserving stale model hardcodes. Filing commentary support: 10-Q filed 2025-05-02: "th periods ended March 29, 2025, respectively, and was $ 821 million and $ 8.6 billion for the three- and six-month periods ended March 30, 2024, respectively. Share-Based Compensation The following table shows share-based compensation expense and the related income tax benefit i..." 10-Q filed 2025-05-02: "le Inc. CONDENSED CONSOLIDATED STATEMENTS OF OPERATIONS (Unaudited) (In millions, except number of shares, which are reflected in thousands, and per-share amounts) Three Months Ended Six Months Ended March 29, 2025 March 30, 2024 March 29, 2025 March 30, 2024 Net sales: Products ..." Grouped from EDGAR: Post Tax Adjustments Not Reported. No EDGAR-supported post-tax adjustment item was reported for this period, so the adjusted net income bridge uses zero instead of preserving stale model hardcodes. Filing commentary support: 10-Q filed 2025-08-01: "ectively, and was $ 6.4 billion and $ 15.0 billion for the three- and nine-month periods ended June 29, 2024, respectively. Apple Inc. | Q3 2025 Form 10-Q | 10 Share-Based Compensation The following table shows share-based compensation expense and the related income tax benefit i..." 10-Q filed 2025-08-01: "Apple Inc. CONDENSED CONSOLIDATED STATEMENTS OF OPERATIONS (Unaudited) (In millions, except number of shares, which are reflected in thousands, and per-share amounts) Three Months Ended Nine Months Ended June 28, 2025 June 29, 2024 June 28, 2025 June 29, 2024 Net sales: Products ..." Grouped from EDGAR: Post Tax Adjustments Not Reported. No EDGAR-supported post-tax adjustment item was reported for this period, so the adjusted net income bridge uses zero instead of preserving stale model hardcodes. Filing commentary support: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 Grouped from EDGAR: Post Tax Adjustments Not Reported. No EDGAR-supported post-tax adjustment item was reported for this period, so the adjusted net income bridge uses zero instead of preserving stale model hardcodes. Filing commentary support: 10-Q filed 2026-01-30: "RSUs was $ 8.6 billion and $ 8.4 billion for the three months ended December 27, 2025 and December 28, 2024, respectively. Apple Inc. | Q1 2026 Form 10-Q | 10 Share-Based Compensation The following table shows share-based compensation expense and the related income tax benefit in..." 10-Q filed 2026-01-30: "ORMATION Item 1. Financial Statements Apple Inc. CONDENSED CONSOLIDATED STATEMENTS OF OPERATIONS (Unaudited) (In millions, except number of shares, which are reflected in thousands, and per-share amounts) Three Months Ended December 27, 2025 December 28, 2024 Net sales: Products ..." Grouped from EDGAR: Post Tax Adjustments Not Reported. No EDGAR-supported post-tax adjustment item was reported for this period, so the adjusted net income bridge uses zero instead of preserving stale model hardcodes. Filing commentary support: 10-Q filed 2026-05-01: "ectively, and was $ 9.5 billion and $ 9.3 billion for the six months ended March 28, 2026 and March 29, 2025, respectively. Apple Inc. | Q2 2026 Form 10-Q | 10 Share-Based Compensation The following table shows share-based compensation expense and the related income tax benefit i..." 10-Q filed 2026-05-01: "le Inc. CONDENSED CONSOLIDATED STATEMENTS OF OPERATIONS (Unaudited) (In millions, except number of shares, which are reflected in thousands, and per-share amounts) Three Months Ended Six Months Ended March 28, 2026 March 29, 2025 March 28, 2026 March 29, 2025 Net sales: Products ..."</t>
        </r>
      </text>
    </comment>
    <comment ref="F48" authorId="0">
      <text>
        <r>
          <rPr>
            <b/>
          </rPr>
          <t xml:space="preserve">EDGAR Mapper:
</t>
        </r>
        <r>
          <t xml:space="preserve">EDGAR mapping:
Source: SEC filing
Period: 1Q23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2023-02-03: "s of the respective vesting dates of RSUs was $ 6.8 billion and $ 8.5 billion for the three months ended December 31, 2022 and December 25, 2021, respectively. Share-Based Compensation The following table shows share-based compensation expense and the related income tax benefit i..." 10-Q filed 2023-02-03: "NFORMATION Item 1. Financial Statements Apple Inc. CONDENSED CONSOLIDATED STATEMENTS OF OPERATIONS (Unaudited) (In millions, except number of shares which are reflected in thousands and per share amounts) Three Months Ended December 31, 2022 December 25, 2021 Net sales: Products ..." SEC validation: Value is a zero/derived model support value with no direct SEC fact.</t>
        </r>
      </text>
    </comment>
    <comment ref="G48" authorId="0">
      <text>
        <r>
          <rPr>
            <b/>
          </rPr>
          <t xml:space="preserve">EDGAR Mapper:
</t>
        </r>
        <r>
          <t xml:space="preserve">EDGAR mapping:
Source: SEC filing
Period: 2Q23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2023-05-05: "nth periods ended April 1, 2023, respectively, and was $ 1.0 billion and $ 9.5 billion for the three- and six-month periods ended March 26, 2022, respectively. Share-Based Compensation The following table shows share-based compensation expense and the related income tax benefit i..." 10-Q filed 2023-05-05: "Apple Inc. CONDENSED CONSOLIDATED STATEMENTS OF OPERATIONS (Unaudited) (In millions, except number of shares which are reflected in thousands and per share amounts) Three Months Ended Six Months Ended April 1, 2023 March 26, 2022 April 1, 2023 March 26, 2022 Net sales: Products $..." SEC validation: Value is a zero/derived model support value with no direct SEC fact.</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 SEC validation: Value is a zero/derived model support value with no direct SEC fact.</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mapping:
Source: SEC filing
Period: 4Q23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r>
      </text>
    </comment>
    <comment ref="K48" authorId="0">
      <text>
        <r>
          <rPr>
            <b/>
          </rPr>
          <t xml:space="preserve">EDGAR Mapper:
</t>
        </r>
        <r>
          <t xml:space="preserve">======
ID#AAABbnJBV1o
Lilianna Ruby    (2025-01-14 21:09:38)
Mexico adjustments
EDGAR Mapper:
EDGAR mapping:
Source: SEC filing
Period: 1Q24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2024-02-02: "RSUs was $ 7.7 billion and $ 6.8 billion for the three months ended December 30, 2023 and December 31, 2022, respectively. Apple Inc. | Q1 2024 Form 10-Q | 10 Share-Based Compensation The following table shows share-based compensation expense and the related income tax benefit in..." 10-Q filed 2024-02-02: "ORMATION Item 1. Financial Statements Apple Inc. CONDENSED CONSOLIDATED STATEMENTS OF OPERATIONS (Unaudited) (In millions, except number of shares, which are reflected in thousands, and per-share amounts) Three Months Ended December 30, 2023 December 31, 2022 Net sales: Products ..." SEC validation: Value is a zero/derived model support value with no direct SEC fact.</t>
        </r>
      </text>
    </comment>
    <comment ref="L48" authorId="0">
      <text>
        <r>
          <rPr>
            <b/>
          </rPr>
          <t xml:space="preserve">EDGAR Mapper:
</t>
        </r>
        <r>
          <t xml:space="preserve">======
ID#AAABbnJBV1A
Lilianna Ruby    (2025-01-14 21:09:38)
Mexico adjustments
EDGAR Mapper:
EDGAR mapping:
Source: SEC filing
Period: 2Q24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2024-05-03: "spectively, and was $ 1.1 billion and $ 8.0 billion for the three- and six-month periods ended April 1, 2023, respectively. Apple Inc. | Q2 2024 Form 10-Q | 10 Share-Based Compensation The following table shows share-based compensation expense and the related income tax benefit i..." 10-Q filed 2024-05-03: "pple Inc. CONDENSED CONSOLIDATED STATEMENTS OF OPERATIONS (Unaudited) (In millions, except number of shares, which are reflected in thousands, and per-share amounts) Three Months Ended Six Months Ended March 30, 2024 April 1, 2023 March 30, 2024 April 1, 2023 Net sales: Products ..." SEC validation: Value is a zero/derived model support value with no direct SEC fact.</t>
        </r>
      </text>
    </comment>
    <comment ref="M48" authorId="0">
      <text>
        <r>
          <rPr>
            <b/>
          </rPr>
          <t xml:space="preserve">EDGAR Mapper:
</t>
        </r>
        <r>
          <t xml:space="preserve">======
ID#AAABbnJBVy0
Lilianna Ruby    (2025-01-14 21:09:38)
2019 Canada restructuring
EDGAR Mapper:
EDGAR mapping:
Source: SEC filing
Period: 3Q24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2024-08-02: "nth periods ended June 29, 2024, respectively, and was $ 7.0 billion and $ 14.9 billion for the three- and nine-month periods ended July 1, 2023, respectively. Share-Based Compensation The following table shows share-based compensation expense and the related income tax benefit i..." 10-Q filed 2024-08-02: "s Apple Inc. CONDENSED CONSOLIDATED STATEMENTS OF OPERATIONS (Unaudited) (In millions, except number of shares, which are reflected in thousands, and per-share amounts) Three Months Ended Nine Months Ended June 29, 2024 July 1, 2023 June 29, 2024 July 1, 2023 Net sales: Products ..." SEC validation: Value is a zero/derived model support value with no direct SEC fact.</t>
        </r>
      </text>
    </comment>
    <comment ref="N48" authorId="0">
      <text>
        <r>
          <rPr>
            <b/>
          </rPr>
          <t xml:space="preserve">EDGAR Mapper:
</t>
        </r>
        <r>
          <t xml:space="preserve">======
ID#AAABbnJBV1g
Lilianna Ruby    (2025-01-14 21:09:38)
Mexico adjustments and 2019 Canada restructuring
EDGAR Mapper:
EDGAR mapping:
Source: SEC filing
Period: 4Q24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r>
      </text>
    </comment>
    <comment ref="P48" authorId="0">
      <text>
        <r>
          <rPr>
            <b/>
          </rPr>
          <t xml:space="preserve">EDGAR Mapper:
</t>
        </r>
        <r>
          <t xml:space="preserve">======
ID#AAABbnJBVzs
Lilianna Ruby    (2025-01-14 21:09:38)
Canada restructuring
EDGAR Mapper:
EDGAR mapping:
Source: SEC filing
Period: 1Q25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2025-01-31: "The total vesting-date fair value of RSUs was $ 8.4 billion and $ 7.7 billion for the three months ended December 28, 2024 and December 30, 2023, respectively. Share-Based Compensation The following table shows share-based compensation expense and the related income tax benefit i..." 10-Q filed 2025-01-31: "ORMATION Item 1. Financial Statements Apple Inc. CONDENSED CONSOLIDATED STATEMENTS OF OPERATIONS (Unaudited) (In millions, except number of shares, which are reflected in thousands, and per-share amounts) Three Months Ended December 28, 2024 December 30, 2023 Net sales: Products ..." SEC validation: Value is a zero/derived model support value with no direct SEC fact.</t>
        </r>
      </text>
    </comment>
    <comment ref="Q48" authorId="0">
      <text>
        <r>
          <rPr>
            <b/>
          </rPr>
          <t xml:space="preserve">EDGAR Mapper:
</t>
        </r>
        <r>
          <t xml:space="preserve">======
ID#AAABbnJBVx8
Lilianna Ruby    (2025-01-14 21:09:38)
Canada restructuring
EDGAR Mapper:
EDGAR mapping:
Source: SEC filing
Period: 2Q25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2025-05-02: "th periods ended March 29, 2025, respectively, and was $ 821 million and $ 8.6 billion for the three- and six-month periods ended March 30, 2024, respectively. Share-Based Compensation The following table shows share-based compensation expense and the related income tax benefit i..." 10-Q filed 2025-05-02: "le Inc. CONDENSED CONSOLIDATED STATEMENTS OF OPERATIONS (Unaudited) (In millions, except number of shares, which are reflected in thousands, and per-share amounts) Three Months Ended Six Months Ended March 29, 2025 March 30, 2024 March 29, 2025 March 30, 2024 Net sales: Products ..." SEC validation: Value is a zero/derived model support value with no direct SEC fact.</t>
        </r>
      </text>
    </comment>
    <comment ref="R48" authorId="0">
      <text>
        <r>
          <rPr>
            <b/>
          </rPr>
          <t xml:space="preserve">EDGAR Mapper:
</t>
        </r>
        <r>
          <t xml:space="preserve">EDGAR mapping:
Source: SEC filing
Period: 3Q25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2025-08-01: "ectively, and was $ 6.4 billion and $ 15.0 billion for the three- and nine-month periods ended June 29, 2024, respectively. Apple Inc. | Q3 2025 Form 10-Q | 10 Share-Based Compensation The following table shows share-based compensation expense and the related income tax benefit i..." 10-Q filed 2025-08-01: "Apple Inc. CONDENSED CONSOLIDATED STATEMENTS OF OPERATIONS (Unaudited) (In millions, except number of shares, which are reflected in thousands, and per-share amounts) Three Months Ended Nine Months Ended June 28, 2025 June 29, 2024 June 28, 2025 June 29, 2024 Net sales: Products ..." SEC validation: Value is a zero/derived model support value with no direct SEC fact.</t>
        </r>
      </text>
    </comment>
    <comment ref="S48" authorId="0">
      <text>
        <r>
          <rPr>
            <b/>
          </rPr>
          <t xml:space="preserve">EDGAR Mapper:
</t>
        </r>
        <r>
          <t xml:space="preserve">EDGAR mapping:
Source: SEC filing
Period: 4Q25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r>
      </text>
    </comment>
    <comment ref="U48" authorId="0">
      <text>
        <r>
          <rPr>
            <b/>
          </rPr>
          <t xml:space="preserve">EDGAR Mapper:
</t>
        </r>
        <r>
          <t xml:space="preserve">EDGAR mapping:
Source: SEC filing
Period: 1Q26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2026-01-30: "RSUs was $ 8.6 billion and $ 8.4 billion for the three months ended December 27, 2025 and December 28, 2024, respectively. Apple Inc. | Q1 2026 Form 10-Q | 10 Share-Based Compensation The following table shows share-based compensation expense and the related income tax benefit in..." 10-Q filed 2026-01-30: "ORMATION Item 1. Financial Statements Apple Inc. CONDENSED CONSOLIDATED STATEMENTS OF OPERATIONS (Unaudited) (In millions, except number of shares, which are reflected in thousands, and per-share amounts) Three Months Ended December 27, 2025 December 28, 2024 Net sales: Products ..." SEC validation: Value is a zero/derived model support value with no direct SEC fact.</t>
        </r>
      </text>
    </comment>
    <comment ref="V48" authorId="0">
      <text>
        <r>
          <rPr>
            <b/>
          </rPr>
          <t xml:space="preserve">EDGAR Mapper:
</t>
        </r>
        <r>
          <t xml:space="preserve">EDGAR mapping:
Source: SEC filing
Period: 2Q26
Model row: Model!48 Post-Tax Adjustments
Mapping type: grouped
Concepts used: PostTaxAdjustmentsNotReported = 0 mm
Units: not specified
Unit conversion: raw USD to $mm
Sign: copied using model sign convention
Confidence: medium
Value written: 0
Notes: Grouped from EDGAR: Post Tax Adjustments Not Reported. No EDGAR-supported post-tax adjustment item was reported for this period, so the adjusted net income bridge uses zero instead of preserving stale model hardcodes. Filing commentary support: 10-Q filed 2026-05-01: "ectively, and was $ 9.5 billion and $ 9.3 billion for the six months ended March 28, 2026 and March 29, 2025, respectively. Apple Inc. | Q2 2026 Form 10-Q | 10 Share-Based Compensation The following table shows share-based compensation expense and the related income tax benefit i..." 10-Q filed 2026-05-01: "le Inc. CONDENSED CONSOLIDATED STATEMENTS OF OPERATIONS (Unaudited) (In millions, except number of shares, which are reflected in thousands, and per-share amounts) Three Months Ended Six Months Ended March 28, 2026 March 29, 2025 March 28, 2026 March 29, 2025 Net sales: Products ..." SEC validation: Value is a zero/derived model support value with no direct SEC fact.</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Filing commentary support: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Grouped from EDGAR: Discontinued Operations Bridge. Set to zero for prior years because the model bridge reconciles common-shareholder income through post-tax adjustments and the NCI plug. Filing commentary support: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Grouped from EDGAR: Discontinued Operations Bridge. Set to zero for prior years because the model bridge reconciles common-shareholder income through post-tax adjustments and the NCI plug.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Grouped from EDGAR: Discontinued Operations Bridge. Set to zero for prior years because the model bridge reconciles common-shareholder income through post-tax adjustments and the NCI plug.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Grouped from EDGAR: Discontinued Operations Bridge. Set to zero for prior years because the model bridge reconciles common-shareholder income through post-tax adjustments and the NCI plug.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SEC validation: Value is a zero/derived model support value with no direct SEC fact.</t>
        </r>
      </text>
    </comment>
    <comment ref="G49" authorId="0">
      <text>
        <r>
          <rPr>
            <b/>
          </rPr>
          <t xml:space="preserve">EDGAR Mapper:
</t>
        </r>
        <r>
          <t xml:space="preserve">EDGAR mapping:
Source: SEC filing
Period: 2Q23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r>
      </text>
    </comment>
    <comment ref="H49" authorId="0">
      <text>
        <r>
          <rPr>
            <b/>
          </rPr>
          <t xml:space="preserve">EDGAR Mapper:
</t>
        </r>
        <r>
          <t xml:space="preserve">EDGAR mapping:
Source: SEC filing
Period: 3Q23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r>
      </text>
    </comment>
    <comment ref="I49" authorId="0">
      <text>
        <r>
          <rPr>
            <b/>
          </rPr>
          <t xml:space="preserve">EDGAR Mapper:
</t>
        </r>
        <r>
          <t xml:space="preserve">EDGAR mapping:
Source: SEC filing
Period: 4Q23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SEC validation: Value is a zero/derived model support value with no direct SEC fact.</t>
        </r>
      </text>
    </comment>
    <comment ref="K49" authorId="0">
      <text>
        <r>
          <rPr>
            <b/>
          </rPr>
          <t xml:space="preserve">EDGAR Mapper:
</t>
        </r>
        <r>
          <t xml:space="preserve">EDGAR mapping:
Source: SEC filing
Period: 1Q24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SEC validation: Value is a zero/derived model support value with no direct SEC fact.</t>
        </r>
      </text>
    </comment>
    <comment ref="L49" authorId="0">
      <text>
        <r>
          <rPr>
            <b/>
          </rPr>
          <t xml:space="preserve">EDGAR Mapper:
</t>
        </r>
        <r>
          <t xml:space="preserve">EDGAR mapping:
Source: SEC filing
Period: 2Q24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r>
      </text>
    </comment>
    <comment ref="M49" authorId="0">
      <text>
        <r>
          <rPr>
            <b/>
          </rPr>
          <t xml:space="preserve">EDGAR Mapper:
</t>
        </r>
        <r>
          <t xml:space="preserve">EDGAR mapping:
Source: SEC filing
Period: 3Q24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r>
      </text>
    </comment>
    <comment ref="N49" authorId="0">
      <text>
        <r>
          <rPr>
            <b/>
          </rPr>
          <t xml:space="preserve">EDGAR Mapper:
</t>
        </r>
        <r>
          <t xml:space="preserve">EDGAR mapping:
Source: SEC filing
Period: 4Q24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SEC validation: Value is a zero/derived model support value with no direct SEC fact.</t>
        </r>
      </text>
    </comment>
    <comment ref="U49" authorId="0">
      <text>
        <r>
          <rPr>
            <b/>
          </rPr>
          <t xml:space="preserve">EDGAR Mapper:
</t>
        </r>
        <r>
          <t xml:space="preserve">EDGAR mapping:
Source: SEC filing
Period: 1Q26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r>
      </text>
    </comment>
    <comment ref="V49" authorId="0">
      <text>
        <r>
          <rPr>
            <b/>
          </rPr>
          <t xml:space="preserve">EDGAR Mapper:
</t>
        </r>
        <r>
          <t xml:space="preserve">EDGAR mapping:
Source: SEC filing
Period: 2Q26
Model row: Model!49 Discontinued Operations
Mapping type: grouped
Concepts used: DiscontinuedOperationsBridge = 0 mm
Units: not specified
Unit conversion: raw USD to $mm
Sign: copied using model sign convention
Confidence: medium
Value written: 0
Notes: Grouped from EDGAR: Discontinued Operations Bridge. Set to zero for prior years because the model bridge reconciles common-shareholder income through post-tax adjustments and the NCI plug.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SEC validation: Value is a zero/derived model support value with no direct SEC fact.</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Grouped from EDGAR: Cash and Cash Equivalents, at Carrying Value.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Cash and Cash Equivalents, at Carrying Value.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Grouped from EDGAR: Cash and Cash Equivalents, at Carrying Value.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Grouped from EDGAR: Cash and Cash Equivalents, at Carrying Value.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F120" authorId="0">
      <text>
        <r>
          <rPr>
            <b/>
          </rPr>
          <t xml:space="preserve">EDGAR Mapper:
</t>
        </r>
        <r>
          <t>Replaced a balance-sheet formula with the EDGAR period-end balance so instant values are not derived from prior quarters.</t>
        </r>
      </text>
    </comment>
    <comment ref="G120" authorId="0">
      <text>
        <r>
          <rPr>
            <b/>
          </rPr>
          <t xml:space="preserve">EDGAR Mapper:
</t>
        </r>
        <r>
          <t>Replaced a balance-sheet formula with the EDGAR period-end balance so instant values are not derived from prior quarters.</t>
        </r>
      </text>
    </comment>
    <comment ref="H120" authorId="0">
      <text>
        <r>
          <rPr>
            <b/>
          </rPr>
          <t xml:space="preserve">EDGAR Mapper:
</t>
        </r>
        <r>
          <t>Replaced a balance-sheet formula with the EDGAR period-end balance so instant values are not derived from prior quarters.</t>
        </r>
      </text>
    </comment>
    <comment ref="I120" authorId="0">
      <text>
        <r>
          <rPr>
            <b/>
          </rPr>
          <t xml:space="preserve">EDGAR Mapper:
</t>
        </r>
        <r>
          <t>Replaced a balance-sheet formula with the EDGAR period-end balance so instant values are not derived from prior quarters.</t>
        </r>
      </text>
    </comment>
    <comment ref="K120" authorId="0">
      <text>
        <r>
          <rPr>
            <b/>
          </rPr>
          <t xml:space="preserve">EDGAR Mapper:
</t>
        </r>
        <r>
          <t>Replaced a balance-sheet formula with the EDGAR period-end balance so instant values are not derived from prior quarters.</t>
        </r>
      </text>
    </comment>
    <comment ref="L120" authorId="0">
      <text>
        <r>
          <rPr>
            <b/>
          </rPr>
          <t xml:space="preserve">EDGAR Mapper:
</t>
        </r>
        <r>
          <t>Replaced a balance-sheet formula with the EDGAR period-end balance so instant values are not derived from prior quarters.</t>
        </r>
      </text>
    </comment>
    <comment ref="M120" authorId="0">
      <text>
        <r>
          <rPr>
            <b/>
          </rPr>
          <t xml:space="preserve">EDGAR Mapper:
</t>
        </r>
        <r>
          <t>Replaced a balance-sheet formula with the EDGAR period-end balance so instant values are not derived from prior quarters.</t>
        </r>
      </text>
    </comment>
    <comment ref="N120" authorId="0">
      <text>
        <r>
          <rPr>
            <b/>
          </rPr>
          <t xml:space="preserve">EDGAR Mapper:
</t>
        </r>
        <r>
          <t>Replaced a balance-sheet formula with the EDGAR period-end balance so instant values are not derived from prior quarters.</t>
        </r>
      </text>
    </comment>
    <comment ref="P120" authorId="0">
      <text>
        <r>
          <rPr>
            <b/>
          </rPr>
          <t xml:space="preserve">EDGAR Mapper:
</t>
        </r>
        <r>
          <t xml:space="preserve">EDGAR mapping:
Source: 10-Q, accession #0000320193-25-000008, filed 2025-01-31
Period: 1Q25 / period ended 2024-12-28
Model row: Model!120 Cash &amp; Cash Equivalents
Mapping type: grouped
Concepts used: CashAndCashEquivalentsAtCarryingValue = 30299 mm
Units: USD
Unit conversion: raw USD to $mm
Sign: copied using model sign convention
Confidence: high
Value written: 30299
Notes: Grouped from EDGAR: Cash and Cash Equivalents, at Carrying Value.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20" authorId="0">
      <text>
        <r>
          <rPr>
            <b/>
          </rPr>
          <t xml:space="preserve">EDGAR Mapper:
</t>
        </r>
        <r>
          <t xml:space="preserve">EDGAR mapping:
Source: 10-Q, accession #0000320193-25-000057, filed 2025-05-02
Period: 2Q25 / period ended 2025-03-29
Model row: Model!120 Cash &amp; Cash Equivalents
Mapping type: grouped
Concepts used: CashAndCashEquivalentsAtCarryingValue = 28162 mm
Units: USD
Unit conversion: raw USD to $mm
Sign: copied using model sign convention
Confidence: high
Value written: 28162
Notes: Grouped from EDGAR: Cash and Cash Equivalents, at Carrying Value.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r>
      </text>
    </comment>
    <comment ref="R120" authorId="0">
      <text>
        <r>
          <rPr>
            <b/>
          </rPr>
          <t xml:space="preserve">EDGAR Mapper:
</t>
        </r>
        <r>
          <t xml:space="preserve">EDGAR mapping:
Source: 10-Q, accession #0000320193-25-000073, filed 2025-08-01
Period: 3Q25 / period ended 2025-06-28
Model row: Model!120 Cash &amp; Cash Equivalents
Mapping type: grouped
Concepts used: CashAndCashEquivalentsAtCarryingValue = 36269 mm
Units: USD
Unit conversion: raw USD to $mm
Sign: copied using model sign convention
Confidence: high
Value written: 36269
Notes: Grouped from EDGAR: Cash and Cash Equivalents, at Carrying Value.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r>
      </text>
    </comment>
    <comment ref="S120" authorId="0">
      <text>
        <r>
          <rPr>
            <b/>
          </rPr>
          <t xml:space="preserve">EDGAR Mapper:
</t>
        </r>
        <r>
          <t xml:space="preserve">EDGAR mapping:
Source: 10-Q, accession #0000320193-26-000013, filed 2026-05-01
Period: 4Q25 / period ended 2025-09-27
Model row: Model!120 Cash &amp; Cash Equivalents
Mapping type: grouped
Concepts used: CashAndCashEquivalentsAtCarryingValue = 35934 mm
Units: USD
Unit conversion: raw USD to $mm
Sign: copied using model sign convention
Confidence: high
Value written: 35934
Notes: Grouped from EDGAR: Cash and Cash Equivalents, at Carrying Value.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U120" authorId="0">
      <text>
        <r>
          <rPr>
            <b/>
          </rPr>
          <t xml:space="preserve">EDGAR Mapper:
</t>
        </r>
        <r>
          <t>Replaced a balance-sheet formula with the EDGAR period-end balance so instant values are not derived from prior quarters.</t>
        </r>
      </text>
    </comment>
    <comment ref="V120" authorId="0">
      <text>
        <r>
          <rPr>
            <b/>
          </rPr>
          <t xml:space="preserve">EDGAR Mapper:
</t>
        </r>
        <r>
          <t>Replaced a balance-sheet formula with the EDGAR period-end balance so instant values are not derived from prior quarters.</t>
        </r>
      </text>
    </comment>
    <comment ref="Y120" authorId="0">
      <text/>
    </comment>
    <comment ref="Z120" authorId="0">
      <text/>
    </comment>
    <comment ref="AD120" authorId="0">
      <text/>
    </comment>
    <comment ref="AE120" authorId="0">
      <text/>
    </comment>
    <comment ref="C121" authorId="0">
      <text>
        <r>
          <rPr>
            <b/>
          </rPr>
          <t xml:space="preserve">EDGAR Mapper:
</t>
        </r>
        <r>
          <t>Grouped from EDGAR: Accounts Receivable, after Allowance for Credit Loss,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Grouped from EDGAR: Accounts Receivable, after Allowance for Credit Loss,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Grouped from EDGAR: Accounts Receivable, after Allowance for Credit Loss,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Grouped from EDGAR: Accounts Receivable, after Allowance for Credit Loss, Current.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"ctions The Company has historically experienced higher net sales in its first quarter compared to other quarters in its fiscal year due in part to seasonal holiday demand. Additionally, new product and service introductions can significantly impact net sales, cost of sales and op..." Grouped from EDGAR: Accounts Receivable, after Allowance for Credit Loss,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Grouped from EDGAR: Accounts Receivable, after Allowance for Credit Loss,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Grouped from EDGAR: Accounts Receivable, after Allowance for Credit Loss,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Grouped from EDGAR: Accounts Receivable, after Allowance for Credit Loss, Current.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"ctions The Company has historically experienced higher net sales in its first quarter compared to other quarters in its fiscal year due in part to seasonal holiday demand. Additionally, new product and service introductions can significantly impact net sales, cost of sales and op..." Grouped from EDGAR: Accounts Receivable, after Allowance for Credit Loss,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Grouped from EDGAR: Accounts Receivable, after Allowance for Credit Loss,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Grouped from EDGAR: Accounts Receivable, after Allowance for Credit Loss,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Grouped from EDGAR: Accounts Receivable, after Allowance for Credit Loss, Current.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"ctions The Company has historically experienced higher net sales in its first quarter compared to other quarters in its fiscal year due in part to seasonal holiday demand. Additionally, new product and service introductions can significantly impact net sales, cost of sales and op..." Grouped from EDGAR: Accounts Receivable, after Allowance for Credit Loss,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Grouped from EDGAR: Accounts Receivable, after Allowance for Credit Loss,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t>
        </r>
      </text>
    </comment>
    <comment ref="F121" authorId="0">
      <text>
        <r>
          <rPr>
            <b/>
          </rPr>
          <t xml:space="preserve">EDGAR Mapper:
</t>
        </r>
        <r>
          <t xml:space="preserve">EDGAR mapping:
Source: 10-Q, accession #0000320193-23-000006, filed 2023-02-03
Period: 1Q23 / period ended 2022-12-31
Model row: Model!121 Accounts Receivable
Mapping type: grouped
Concepts used: AccountsReceivableNetCurrent = 23752 mm
Units: USD
Unit conversion: raw USD to $mm
Sign: copied using model sign convention
Confidence: high
Value written: 23752
Notes: Grouped from EDGAR: Accounts Receivable, after Allowance for Credit Loss,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t>
        </r>
      </text>
    </comment>
    <comment ref="G121" authorId="0">
      <text>
        <r>
          <rPr>
            <b/>
          </rPr>
          <t xml:space="preserve">EDGAR Mapper:
</t>
        </r>
        <r>
          <t xml:space="preserve">EDGAR mapping:
Source: 10-Q, accession #0000320193-23-000064, filed 2023-05-05
Period: 2Q23 / period ended 2023-04-01
Model row: Model!121 Accounts Receivable
Mapping type: grouped
Concepts used: AccountsReceivableNetCurrent = 17936 mm
Units: USD
Unit conversion: raw USD to $mm
Sign: copied using model sign convention
Confidence: high
Value written: 17936
Notes: Grouped from EDGAR: Accounts Receivable, after Allowance for Credit Loss,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t>
        </r>
      </text>
    </comment>
    <comment ref="H121" authorId="0">
      <text>
        <r>
          <rPr>
            <b/>
          </rPr>
          <t xml:space="preserve">EDGAR Mapper:
</t>
        </r>
        <r>
          <t xml:space="preserve">EDGAR mapping:
Source: 10-Q, accession #0000320193-23-000077, filed 2023-08-04
Period: 3Q23 / period ended 2023-07-01
Model row: Model!121 Accounts Receivable
Mapping type: grouped
Concepts used: AccountsReceivableNetCurrent = 19549 mm
Units: USD
Unit conversion: raw USD to $mm
Sign: copied using model sign convention
Confidence: high
Value written: 19549
Notes: Grouped from EDGAR: Accounts Receivable, after Allowance for Credit Loss,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t>
        </r>
      </text>
    </comment>
    <comment ref="I121" authorId="0">
      <text>
        <r>
          <rPr>
            <b/>
          </rPr>
          <t xml:space="preserve">EDGAR Mapper:
</t>
        </r>
        <r>
          <t xml:space="preserve">EDGAR mapping:
Source: 10-K, accession #0000320193-24-000123, filed 2024-11-01
Period: 4Q23 / period ended 2023-09-30
Model row: Model!121 Accounts Receivable
Mapping type: grouped
Concepts used: AccountsReceivableNetCurrent = 29508 mm
Units: USD
Unit conversion: raw USD to $mm
Sign: copied using model sign convention
Confidence: high
Value written: 29508
Notes: Grouped from EDGAR: Accounts Receivable, after Allowance for Credit Loss, Current.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r>
      </text>
    </comment>
    <comment ref="K121" authorId="0">
      <text>
        <r>
          <rPr>
            <b/>
          </rPr>
          <t xml:space="preserve">EDGAR Mapper:
</t>
        </r>
        <r>
          <t xml:space="preserve">EDGAR mapping:
Source: 10-Q, accession #0000320193-24-000006, filed 2024-02-02
Period: 1Q24 / period ended 2023-12-30
Model row: Model!121 Accounts Receivable
Mapping type: grouped
Concepts used: AccountsReceivableNetCurrent = 23194 mm
Units: USD
Unit conversion: raw USD to $mm
Sign: copied using model sign convention
Confidence: high
Value written: 23194
Notes: Grouped from EDGAR: Accounts Receivable, after Allowance for Credit Loss,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t>
        </r>
      </text>
    </comment>
    <comment ref="L121" authorId="0">
      <text>
        <r>
          <rPr>
            <b/>
          </rPr>
          <t xml:space="preserve">EDGAR Mapper:
</t>
        </r>
        <r>
          <t xml:space="preserve">EDGAR mapping:
Source: 10-Q, accession #0000320193-24-000069, filed 2024-05-03
Period: 2Q24 / period ended 2024-03-30
Model row: Model!121 Accounts Receivable
Mapping type: grouped
Concepts used: AccountsReceivableNetCurrent = 21837 mm
Units: USD
Unit conversion: raw USD to $mm
Sign: copied using model sign convention
Confidence: high
Value written: 21837
Notes: Grouped from EDGAR: Accounts Receivable, after Allowance for Credit Loss,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t>
        </r>
      </text>
    </comment>
    <comment ref="M121" authorId="0">
      <text>
        <r>
          <rPr>
            <b/>
          </rPr>
          <t xml:space="preserve">EDGAR Mapper:
</t>
        </r>
        <r>
          <t xml:space="preserve">EDGAR mapping:
Source: 10-Q, accession #0000320193-24-000081, filed 2024-08-02
Period: 3Q24 / period ended 2024-06-29
Model row: Model!121 Accounts Receivable
Mapping type: grouped
Concepts used: AccountsReceivableNetCurrent = 22795 mm
Units: USD
Unit conversion: raw USD to $mm
Sign: copied using model sign convention
Confidence: high
Value written: 22795
Notes: Grouped from EDGAR: Accounts Receivable, after Allowance for Credit Loss,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t>
        </r>
      </text>
    </comment>
    <comment ref="N121" authorId="0">
      <text>
        <r>
          <rPr>
            <b/>
          </rPr>
          <t xml:space="preserve">EDGAR Mapper:
</t>
        </r>
        <r>
          <t xml:space="preserve">EDGAR mapping:
Source: 10-K, accession #0000320193-25-000079, filed 2025-10-31
Period: 4Q24 / period ended 2024-09-28
Model row: Model!121 Accounts Receivable
Mapping type: grouped
Concepts used: AccountsReceivableNetCurrent = 33410 mm
Units: USD
Unit conversion: raw USD to $mm
Sign: copied using model sign convention
Confidence: high
Value written: 33410
Notes: Grouped from EDGAR: Accounts Receivable, after Allowance for Credit Loss, Current.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r>
      </text>
    </comment>
    <comment ref="P121" authorId="0">
      <text>
        <r>
          <rPr>
            <b/>
          </rPr>
          <t xml:space="preserve">EDGAR Mapper:
</t>
        </r>
        <r>
          <t xml:space="preserve">EDGAR mapping:
Source: 10-Q, accession #0000320193-25-000008, filed 2025-01-31
Period: 1Q25 / period ended 2024-12-28
Model row: Model!121 Accounts Receivable
Mapping type: grouped
Concepts used: AccountsReceivableNetCurrent = 29639 mm
Units: USD
Unit conversion: raw USD to $mm
Sign: copied using model sign convention
Confidence: high
Value written: 29639
Notes: Grouped from EDGAR: Accounts Receivable, after Allowance for Credit Loss,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t>
        </r>
      </text>
    </comment>
    <comment ref="Q121" authorId="0">
      <text>
        <r>
          <rPr>
            <b/>
          </rPr>
          <t xml:space="preserve">EDGAR Mapper:
</t>
        </r>
        <r>
          <t xml:space="preserve">EDGAR mapping:
Source: 10-Q, accession #0000320193-25-000057, filed 2025-05-02
Period: 2Q25 / period ended 2025-03-29
Model row: Model!121 Accounts Receivable
Mapping type: grouped
Concepts used: AccountsReceivableNetCurrent = 26136 mm
Units: USD
Unit conversion: raw USD to $mm
Sign: copied using model sign convention
Confidence: high
Value written: 26136
Notes: Grouped from EDGAR: Accounts Receivable, after Allowance for Credit Loss,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t>
        </r>
      </text>
    </comment>
    <comment ref="R121" authorId="0">
      <text>
        <r>
          <rPr>
            <b/>
          </rPr>
          <t xml:space="preserve">EDGAR Mapper:
</t>
        </r>
        <r>
          <t xml:space="preserve">EDGAR mapping:
Source: 10-Q, accession #0000320193-25-000073, filed 2025-08-01
Period: 3Q25 / period ended 2025-06-28
Model row: Model!121 Accounts Receivable
Mapping type: grouped
Concepts used: AccountsReceivableNetCurrent = 27557 mm
Units: USD
Unit conversion: raw USD to $mm
Sign: copied using model sign convention
Confidence: high
Value written: 27557
Notes: Grouped from EDGAR: Accounts Receivable, after Allowance for Credit Loss,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t>
        </r>
      </text>
    </comment>
    <comment ref="S121" authorId="0">
      <text>
        <r>
          <rPr>
            <b/>
          </rPr>
          <t xml:space="preserve">EDGAR Mapper:
</t>
        </r>
        <r>
          <t xml:space="preserve">EDGAR mapping:
Source: 10-Q, accession #0000320193-26-000013, filed 2026-05-01
Period: 4Q25 / period ended 2025-09-27
Model row: Model!121 Accounts Receivable
Mapping type: grouped
Concepts used: AccountsReceivableNetCurrent = 39777 mm
Units: USD
Unit conversion: raw USD to $mm
Sign: copied using model sign convention
Confidence: high
Value written: 39777
Notes: Grouped from EDGAR: Accounts Receivable, after Allowance for Credit Loss, Current.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r>
      </text>
    </comment>
    <comment ref="U121" authorId="0">
      <text>
        <r>
          <rPr>
            <b/>
          </rPr>
          <t xml:space="preserve">EDGAR Mapper:
</t>
        </r>
        <r>
          <t xml:space="preserve">EDGAR mapping:
Source: 10-Q, accession #0000320193-26-000006, filed 2026-01-30
Period: 1Q26 / period ended 2025-12-27
Model row: Model!121 Accounts Receivable
Mapping type: grouped
Concepts used: AccountsReceivableNetCurrent = 39921 mm
Units: USD
Unit conversion: raw USD to $mm
Sign: copied using model sign convention
Confidence: high
Value written: 39921
Notes: Grouped from EDGAR: Accounts Receivable, after Allowance for Credit Loss,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t>
        </r>
      </text>
    </comment>
    <comment ref="V121" authorId="0">
      <text>
        <r>
          <rPr>
            <b/>
          </rPr>
          <t xml:space="preserve">EDGAR Mapper:
</t>
        </r>
        <r>
          <t xml:space="preserve">EDGAR mapping:
Source: 10-Q, accession #0000320193-26-000013, filed 2026-05-01
Period: 2Q26 / period ended 2026-03-28
Model row: Model!121 Accounts Receivable
Mapping type: grouped
Concepts used: AccountsReceivableNetCurrent = 30339 mm
Units: USD
Unit conversion: raw USD to $mm
Sign: copied using model sign convention
Confidence: high
Value written: 30339
Notes: Grouped from EDGAR: Accounts Receivable, after Allowance for Credit Loss,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t>
        </r>
      </text>
    </comment>
    <comment ref="F122" authorId="0">
      <text>
        <r>
          <rPr>
            <b/>
          </rPr>
          <t xml:space="preserve">EDGAR Mapper:
</t>
        </r>
        <r>
          <t xml:space="preserve">EDGAR mapping:
Source: 10-Q, accession #0000320193-23-000006, filed 2023-02-03
Period: 1Q23 / period ended 2022-12-31
Model row: Model!122 Inventory
Mapping type: direct
Concepts used: InventoryNet = 6820 mm
Units: USD
Unit conversion: raw USD to $mm
Sign: copied using model sign convention
Confidence: high
Value written: 6820</t>
        </r>
      </text>
    </comment>
    <comment ref="G122" authorId="0">
      <text>
        <r>
          <rPr>
            <b/>
          </rPr>
          <t xml:space="preserve">EDGAR Mapper:
</t>
        </r>
        <r>
          <t xml:space="preserve">EDGAR mapping:
Source: 10-Q, accession #0000320193-23-000064, filed 2023-05-05
Period: 2Q23 / period ended 2023-04-01
Model row: Model!122 Inventory
Mapping type: direct
Concepts used: InventoryNet = 7482 mm
Units: USD
Unit conversion: raw USD to $mm
Sign: copied using model sign convention
Confidence: high
Value written: 7482</t>
        </r>
      </text>
    </comment>
    <comment ref="H122" authorId="0">
      <text>
        <r>
          <rPr>
            <b/>
          </rPr>
          <t xml:space="preserve">EDGAR Mapper:
</t>
        </r>
        <r>
          <t xml:space="preserve">EDGAR mapping:
Source: 10-Q, accession #0000320193-23-000077, filed 2023-08-04
Period: 3Q23 / period ended 2023-07-01
Model row: Model!122 Inventory
Mapping type: direct
Concepts used: InventoryNet = 7351 mm
Units: USD
Unit conversion: raw USD to $mm
Sign: copied using model sign convention
Confidence: high
Value written: 7351</t>
        </r>
      </text>
    </comment>
    <comment ref="I122" authorId="0">
      <text>
        <r>
          <rPr>
            <b/>
          </rPr>
          <t xml:space="preserve">EDGAR Mapper:
</t>
        </r>
        <r>
          <t xml:space="preserve">EDGAR mapping:
Source: 10-K, accession #0000320193-24-000123, filed 2024-11-01
Period: 4Q23 / period ended 2023-09-30
Model row: Model!122 Inventory
Mapping type: direct
Concepts used: InventoryNet = 6331 mm
Units: USD
Unit conversion: raw USD to $mm
Sign: copied using model sign convention
Confidence: high
Value written: 6331</t>
        </r>
      </text>
    </comment>
    <comment ref="K122" authorId="0">
      <text>
        <r>
          <rPr>
            <b/>
          </rPr>
          <t xml:space="preserve">EDGAR Mapper:
</t>
        </r>
        <r>
          <t xml:space="preserve">EDGAR mapping:
Source: 10-Q, accession #0000320193-24-000006, filed 2024-02-02
Period: 1Q24 / period ended 2023-12-30
Model row: Model!122 Inventory
Mapping type: direct
Concepts used: InventoryNet = 6511 mm
Units: USD
Unit conversion: raw USD to $mm
Sign: copied using model sign convention
Confidence: high
Value written: 6511</t>
        </r>
      </text>
    </comment>
    <comment ref="L122" authorId="0">
      <text>
        <r>
          <rPr>
            <b/>
          </rPr>
          <t xml:space="preserve">EDGAR Mapper:
</t>
        </r>
        <r>
          <t xml:space="preserve">EDGAR mapping:
Source: 10-Q, accession #0000320193-24-000069, filed 2024-05-03
Period: 2Q24 / period ended 2024-03-30
Model row: Model!122 Inventory
Mapping type: direct
Concepts used: InventoryNet = 6232 mm
Units: USD
Unit conversion: raw USD to $mm
Sign: copied using model sign convention
Confidence: high
Value written: 6232</t>
        </r>
      </text>
    </comment>
    <comment ref="M122" authorId="0">
      <text>
        <r>
          <rPr>
            <b/>
          </rPr>
          <t xml:space="preserve">EDGAR Mapper:
</t>
        </r>
        <r>
          <t xml:space="preserve">EDGAR mapping:
Source: 10-Q, accession #0000320193-24-000081, filed 2024-08-02
Period: 3Q24 / period ended 2024-06-29
Model row: Model!122 Inventory
Mapping type: direct
Concepts used: InventoryNet = 6165 mm
Units: USD
Unit conversion: raw USD to $mm
Sign: copied using model sign convention
Confidence: high
Value written: 6165</t>
        </r>
      </text>
    </comment>
    <comment ref="N122" authorId="0">
      <text>
        <r>
          <rPr>
            <b/>
          </rPr>
          <t xml:space="preserve">EDGAR Mapper:
</t>
        </r>
        <r>
          <t xml:space="preserve">EDGAR mapping:
Source: 10-K, accession #0000320193-25-000079, filed 2025-10-31
Period: 4Q24 / period ended 2024-09-28
Model row: Model!122 Inventory
Mapping type: direct
Concepts used: InventoryNet = 7286 mm
Units: USD
Unit conversion: raw USD to $mm
Sign: copied using model sign convention
Confidence: high
Value written: 7286</t>
        </r>
      </text>
    </comment>
    <comment ref="P122" authorId="0">
      <text>
        <r>
          <rPr>
            <b/>
          </rPr>
          <t xml:space="preserve">EDGAR Mapper:
</t>
        </r>
        <r>
          <t xml:space="preserve">EDGAR mapping:
Source: 10-Q, accession #0000320193-25-000008, filed 2025-01-31
Period: 1Q25 / period ended 2024-12-28
Model row: Model!122 Inventory
Mapping type: direct
Concepts used: InventoryNet = 6911 mm
Units: USD
Unit conversion: raw USD to $mm
Sign: copied using model sign convention
Confidence: high
Value written: 6911</t>
        </r>
      </text>
    </comment>
    <comment ref="Q122" authorId="0">
      <text>
        <r>
          <rPr>
            <b/>
          </rPr>
          <t xml:space="preserve">EDGAR Mapper:
</t>
        </r>
        <r>
          <t xml:space="preserve">EDGAR mapping:
Source: 10-Q, accession #0000320193-25-000057, filed 2025-05-02
Period: 2Q25 / period ended 2025-03-29
Model row: Model!122 Inventory
Mapping type: direct
Concepts used: InventoryNet = 6269 mm
Units: USD
Unit conversion: raw USD to $mm
Sign: copied using model sign convention
Confidence: high
Value written: 6269</t>
        </r>
      </text>
    </comment>
    <comment ref="R122" authorId="0">
      <text>
        <r>
          <rPr>
            <b/>
          </rPr>
          <t xml:space="preserve">EDGAR Mapper:
</t>
        </r>
        <r>
          <t xml:space="preserve">EDGAR mapping:
Source: 10-Q, accession #0000320193-25-000073, filed 2025-08-01
Period: 3Q25 / period ended 2025-06-28
Model row: Model!122 Inventory
Mapping type: direct
Concepts used: InventoryNet = 5925 mm
Units: USD
Unit conversion: raw USD to $mm
Sign: copied using model sign convention
Confidence: high
Value written: 5925</t>
        </r>
      </text>
    </comment>
    <comment ref="S122" authorId="0">
      <text>
        <r>
          <rPr>
            <b/>
          </rPr>
          <t xml:space="preserve">EDGAR Mapper:
</t>
        </r>
        <r>
          <t xml:space="preserve">EDGAR mapping:
Source: 10-Q, accession #0000320193-26-000013, filed 2026-05-01
Period: 4Q25 / period ended 2025-09-27
Model row: Model!122 Inventory
Mapping type: direct
Concepts used: InventoryNet = 5718 mm
Units: USD
Unit conversion: raw USD to $mm
Sign: copied using model sign convention
Confidence: high
Value written: 5718</t>
        </r>
      </text>
    </comment>
    <comment ref="U122" authorId="0">
      <text>
        <r>
          <rPr>
            <b/>
          </rPr>
          <t xml:space="preserve">EDGAR Mapper:
</t>
        </r>
        <r>
          <t xml:space="preserve">EDGAR mapping:
Source: 10-Q, accession #0000320193-26-000006, filed 2026-01-30
Period: 1Q26 / period ended 2025-12-27
Model row: Model!122 Inventory
Mapping type: direct
Concepts used: InventoryNet = 5875 mm
Units: USD
Unit conversion: raw USD to $mm
Sign: copied using model sign convention
Confidence: high
Value written: 5875</t>
        </r>
      </text>
    </comment>
    <comment ref="V122" authorId="0">
      <text>
        <r>
          <rPr>
            <b/>
          </rPr>
          <t xml:space="preserve">EDGAR Mapper:
</t>
        </r>
        <r>
          <t xml:space="preserve">EDGAR mapping:
Source: 10-Q, accession #0000320193-26-000013, filed 2026-05-01
Period: 2Q26 / period ended 2026-03-28
Model row: Model!122 Inventory
Mapping type: direct
Concepts used: InventoryNet = 6747 mm
Units: USD
Unit conversion: raw USD to $mm
Sign: copied using model sign convention
Confidence: high
Value written: 6747</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"product and service introductions can significantly impact net sales, cost of sales and operating expenses. The timing of product introductions can also impact the Company’s net sales to its indirect distribution channels as these channels are filled with new inventory following ..."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"product and service introductions can significantly impact net sales, cost of sales and operating expenses. The timing of product introductions can also impact the Company’s net sales to its indirect distribution channels as these channels are filled with new inventory following ..."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"product and service introductions can significantly impact net sales, cost of sales and operating expenses. The timing of product introductions can also impact the Company’s net sales to its indirect distribution channels as these channels are filled with new inventory following ..."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t>
        </r>
      </text>
    </comment>
    <comment ref="F123" authorId="0">
      <text>
        <r>
          <rPr>
            <b/>
          </rPr>
          <t xml:space="preserve">EDGAR Mapper:
</t>
        </r>
        <r>
          <t xml:space="preserve">EDGAR mapping:
Source: 10-Q, accession #0000320193-23-000006, filed 2023-02-03
Period: 1Q23 / period ended 2022-12-31
Model row: Model!123 Prepaid &amp; Other Current Assets
Mapping type: grouped
Concepts used: AssetsCurrent = 128777 mm; CashAndCashEquivalentsAtCarryingValue = 20535 mm; AccountsReceivableNetCurrent = 23752 mm; InventoryNet = 6820 mm
Units: USD
Unit conversion: raw USD to $mm
Sign: copied using model sign convention
Confidence: high
Value written: 77670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t>
        </r>
      </text>
    </comment>
    <comment ref="G123" authorId="0">
      <text>
        <r>
          <rPr>
            <b/>
          </rPr>
          <t xml:space="preserve">EDGAR Mapper:
</t>
        </r>
        <r>
          <t xml:space="preserve">EDGAR mapping:
Source: 10-Q, accession #0000320193-23-000064, filed 2023-05-05
Period: 2Q23 / period ended 2023-04-01
Model row: Model!123 Prepaid &amp; Other Current Assets
Mapping type: grouped
Concepts used: AssetsCurrent = 112913 mm; CashAndCashEquivalentsAtCarryingValue = 24687 mm; AccountsReceivableNetCurrent = 17936 mm; InventoryNet = 7482 mm
Units: USD
Unit conversion: raw USD to $mm
Sign: copied using model sign convention
Confidence: high
Value written: 62808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t>
        </r>
      </text>
    </comment>
    <comment ref="H123" authorId="0">
      <text>
        <r>
          <rPr>
            <b/>
          </rPr>
          <t xml:space="preserve">EDGAR Mapper:
</t>
        </r>
        <r>
          <t xml:space="preserve">EDGAR mapping:
Source: 10-Q, accession #0000320193-23-000077, filed 2023-08-04
Period: 3Q23 / period ended 2023-07-01
Model row: Model!123 Prepaid &amp; Other Current Assets
Mapping type: grouped
Concepts used: AssetsCurrent = 122659 mm; CashAndCashEquivalentsAtCarryingValue = 28408 mm; AccountsReceivableNetCurrent = 19549 mm; InventoryNet = 7351 mm
Units: USD
Unit conversion: raw USD to $mm
Sign: copied using model sign convention
Confidence: high
Value written: 67351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t>
        </r>
      </text>
    </comment>
    <comment ref="I123" authorId="0">
      <text>
        <r>
          <rPr>
            <b/>
          </rPr>
          <t xml:space="preserve">EDGAR Mapper:
</t>
        </r>
        <r>
          <t xml:space="preserve">EDGAR mapping:
Source: 10-K, accession #0000320193-24-000123, filed 2024-11-01
Period: 4Q23 / period ended 2023-09-30
Model row: Model!123 Prepaid &amp; Other Current Assets
Mapping type: grouped
Concepts used: AssetsCurrent = 143566 mm; CashAndCashEquivalentsAtCarryingValue = 29965 mm; AccountsReceivableNetCurrent = 29508 mm; InventoryNet = 6331 mm
Units: USD
Unit conversion: raw USD to $mm
Sign: copied using model sign convention
Confidence: high
Value written: 77762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r>
      </text>
    </comment>
    <comment ref="K123" authorId="0">
      <text>
        <r>
          <rPr>
            <b/>
          </rPr>
          <t xml:space="preserve">EDGAR Mapper:
</t>
        </r>
        <r>
          <t xml:space="preserve">EDGAR mapping:
Source: 10-Q, accession #0000320193-24-000006, filed 2024-02-02
Period: 1Q24 / period ended 2023-12-30
Model row: Model!123 Prepaid &amp; Other Current Assets
Mapping type: grouped
Concepts used: AssetsCurrent = 143692 mm; CashAndCashEquivalentsAtCarryingValue = 40760 mm; AccountsReceivableNetCurrent = 23194 mm; InventoryNet = 6511 mm
Units: USD
Unit conversion: raw USD to $mm
Sign: copied using model sign convention
Confidence: high
Value written: 73227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t>
        </r>
      </text>
    </comment>
    <comment ref="L123" authorId="0">
      <text>
        <r>
          <rPr>
            <b/>
          </rPr>
          <t xml:space="preserve">EDGAR Mapper:
</t>
        </r>
        <r>
          <t xml:space="preserve">EDGAR mapping:
Source: 10-Q, accession #0000320193-24-000069, filed 2024-05-03
Period: 2Q24 / period ended 2024-03-30
Model row: Model!123 Prepaid &amp; Other Current Assets
Mapping type: grouped
Concepts used: AssetsCurrent = 128416 mm; CashAndCashEquivalentsAtCarryingValue = 32695 mm; AccountsReceivableNetCurrent = 21837 mm; InventoryNet = 6232 mm
Units: USD
Unit conversion: raw USD to $mm
Sign: copied using model sign convention
Confidence: high
Value written: 67652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t>
        </r>
      </text>
    </comment>
    <comment ref="M123" authorId="0">
      <text>
        <r>
          <rPr>
            <b/>
          </rPr>
          <t xml:space="preserve">EDGAR Mapper:
</t>
        </r>
        <r>
          <t xml:space="preserve">EDGAR mapping:
Source: 10-Q, accession #0000320193-24-000081, filed 2024-08-02
Period: 3Q24 / period ended 2024-06-29
Model row: Model!123 Prepaid &amp; Other Current Assets
Mapping type: grouped
Concepts used: AssetsCurrent = 125435 mm; CashAndCashEquivalentsAtCarryingValue = 25565 mm; AccountsReceivableNetCurrent = 22795 mm; InventoryNet = 6165 mm
Units: USD
Unit conversion: raw USD to $mm
Sign: copied using model sign convention
Confidence: high
Value written: 70910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t>
        </r>
      </text>
    </comment>
    <comment ref="N123" authorId="0">
      <text>
        <r>
          <rPr>
            <b/>
          </rPr>
          <t xml:space="preserve">EDGAR Mapper:
</t>
        </r>
        <r>
          <t xml:space="preserve">EDGAR mapping:
Source: 10-K, accession #0000320193-25-000079, filed 2025-10-31
Period: 4Q24 / period ended 2024-09-28
Model row: Model!123 Prepaid &amp; Other Current Assets
Mapping type: grouped
Concepts used: AssetsCurrent = 152987 mm; CashAndCashEquivalentsAtCarryingValue = 29943 mm; AccountsReceivableNetCurrent = 33410 mm; InventoryNet = 7286 mm
Units: USD
Unit conversion: raw USD to $mm
Sign: copied using model sign convention
Confidence: high
Value written: 82348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r>
      </text>
    </comment>
    <comment ref="P123" authorId="0">
      <text>
        <r>
          <rPr>
            <b/>
          </rPr>
          <t xml:space="preserve">EDGAR Mapper:
</t>
        </r>
        <r>
          <t xml:space="preserve">EDGAR mapping:
Source: 10-Q, accession #0000320193-25-000008, filed 2025-01-31
Period: 1Q25 / period ended 2024-12-28
Model row: Model!123 Prepaid &amp; Other Current Assets
Mapping type: grouped
Concepts used: AssetsCurrent = 133240 mm; CashAndCashEquivalentsAtCarryingValue = 30299 mm; AccountsReceivableNetCurrent = 29639 mm; InventoryNet = 6911 mm
Units: USD
Unit conversion: raw USD to $mm
Sign: copied using model sign convention
Confidence: high
Value written: 66391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23" authorId="0">
      <text>
        <r>
          <rPr>
            <b/>
          </rPr>
          <t xml:space="preserve">EDGAR Mapper:
</t>
        </r>
        <r>
          <t xml:space="preserve">EDGAR mapping:
Source: 10-Q, accession #0000320193-25-000057, filed 2025-05-02
Period: 2Q25 / period ended 2025-03-29
Model row: Model!123 Prepaid &amp; Other Current Assets
Mapping type: grouped
Concepts used: AssetsCurrent = 118674 mm; CashAndCashEquivalentsAtCarryingValue = 28162 mm; AccountsReceivableNetCurrent = 26136 mm; InventoryNet = 6269 mm
Units: USD
Unit conversion: raw USD to $mm
Sign: copied using model sign convention
Confidence: high
Value written: 58107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r>
      </text>
    </comment>
    <comment ref="R123" authorId="0">
      <text>
        <r>
          <rPr>
            <b/>
          </rPr>
          <t xml:space="preserve">EDGAR Mapper:
</t>
        </r>
        <r>
          <t xml:space="preserve">EDGAR mapping:
Source: 10-Q, accession #0000320193-25-000073, filed 2025-08-01
Period: 3Q25 / period ended 2025-06-28
Model row: Model!123 Prepaid &amp; Other Current Assets
Mapping type: grouped
Concepts used: AssetsCurrent = 122491 mm; CashAndCashEquivalentsAtCarryingValue = 36269 mm; AccountsReceivableNetCurrent = 27557 mm; InventoryNet = 5925 mm
Units: USD
Unit conversion: raw USD to $mm
Sign: copied using model sign convention
Confidence: high
Value written: 52740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r>
      </text>
    </comment>
    <comment ref="S123" authorId="0">
      <text>
        <r>
          <rPr>
            <b/>
          </rPr>
          <t xml:space="preserve">EDGAR Mapper:
</t>
        </r>
        <r>
          <t xml:space="preserve">EDGAR mapping:
Source: 10-Q, accession #0000320193-26-000013, filed 2026-05-01
Period: 4Q25 / period ended 2025-09-27
Model row: Model!123 Prepaid &amp; Other Current Assets
Mapping type: grouped
Concepts used: AssetsCurrent = 147957 mm; CashAndCashEquivalentsAtCarryingValue = 35934 mm; AccountsReceivableNetCurrent = 39777 mm; InventoryNet = 5718 mm
Units: USD
Unit conversion: raw USD to $mm
Sign: copied using model sign convention
Confidence: high
Value written: 66528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r>
      </text>
    </comment>
    <comment ref="U123" authorId="0">
      <text>
        <r>
          <rPr>
            <b/>
          </rPr>
          <t xml:space="preserve">EDGAR Mapper:
</t>
        </r>
        <r>
          <t xml:space="preserve">EDGAR mapping:
Source: 10-Q, accession #0000320193-26-000006, filed 2026-01-30
Period: 1Q26 / period ended 2025-12-27
Model row: Model!123 Prepaid &amp; Other Current Assets
Mapping type: grouped
Concepts used: AssetsCurrent = 158104 mm; CashAndCashEquivalentsAtCarryingValue = 45317 mm; AccountsReceivableNetCurrent = 39921 mm; InventoryNet = 5875 mm
Units: USD
Unit conversion: raw USD to $mm
Sign: copied using model sign convention
Confidence: high
Value written: 66991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t>
        </r>
      </text>
    </comment>
    <comment ref="V123" authorId="0">
      <text>
        <r>
          <rPr>
            <b/>
          </rPr>
          <t xml:space="preserve">EDGAR Mapper:
</t>
        </r>
        <r>
          <t xml:space="preserve">EDGAR mapping:
Source: 10-Q, accession #0000320193-26-000013, filed 2026-05-01
Period: 2Q26 / period ended 2026-03-28
Model row: Model!123 Prepaid &amp; Other Current Assets
Mapping type: grouped
Concepts used: AssetsCurrent = 144114 mm; CashAndCashEquivalentsAtCarryingValue = 45572 mm; AccountsReceivableNetCurrent = 30339 mm; InventoryNet = 6747 mm
Units: USD
Unit conversion: raw USD to $mm
Sign: copied using model sign convention
Confidence: high
Value written: 61456
Notes: 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t>
        </r>
      </text>
    </comment>
    <comment ref="Z124" authorId="0">
      <text/>
    </comment>
    <comment ref="AE124" authorId="0">
      <text/>
    </comment>
    <comment ref="C126" authorId="0">
      <text>
        <r>
          <rPr>
            <b/>
          </rPr>
          <t xml:space="preserve">EDGAR Mapper:
</t>
        </r>
        <r>
          <t>Grouped from EDGAR: Property, Plant and Equipment, Net.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Grouped from EDGAR: Property, Plant and Equipment, Net.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Grouped from EDGAR: Property, Plant and Equipment, Net.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Grouped from EDGAR: Property, Plant and Equipment, Net.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Grouped from EDGAR: Property, Plant and Equipment, Net.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Grouped from EDGAR: Property, Plant and Equipment, Net.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Grouped from EDGAR: Property, Plant and Equipment, Net.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Grouped from EDGAR: Property, Plant and Equipment, Net.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Grouped from EDGAR: Property, Plant and Equipment, Net.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Grouped from EDGAR: Property, Plant and Equipment, Net.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Property, Plant and Equipment, Net.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Property, Plant and Equipment, Net.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Grouped from EDGAR: Property, Plant and Equipment, Net.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Grouped from EDGAR: Property, Plant and Equipment, Net.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26" authorId="0">
      <text>
        <r>
          <rPr>
            <b/>
          </rPr>
          <t xml:space="preserve">EDGAR Mapper:
</t>
        </r>
        <r>
          <t xml:space="preserve">EDGAR mapping:
Source: 10-Q, accession #0000320193-23-000006, filed 2023-02-03
Period: 1Q23 / period ended 2022-12-31
Model row: Model!126 PP&amp;E, Net
Mapping type: grouped
Concepts used: PropertyPlantAndEquipmentNet = 42951 mm
Units: USD
Unit conversion: raw USD to $mm
Sign: copied using model sign convention
Confidence: high
Value written: 42951
Notes: Grouped from EDGAR: Property, Plant and Equipment, Net.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r>
      </text>
    </comment>
    <comment ref="G126" authorId="0">
      <text>
        <r>
          <rPr>
            <b/>
          </rPr>
          <t xml:space="preserve">EDGAR Mapper:
</t>
        </r>
        <r>
          <t xml:space="preserve">EDGAR mapping:
Source: 10-Q, accession #0000320193-23-000064, filed 2023-05-05
Period: 2Q23 / period ended 2023-04-01
Model row: Model!126 PP&amp;E, Net
Mapping type: grouped
Concepts used: PropertyPlantAndEquipmentNet = 43398 mm
Units: USD
Unit conversion: raw USD to $mm
Sign: copied using model sign convention
Confidence: high
Value written: 43398
Notes: Grouped from EDGAR: Property, Plant and Equipment, Net.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r>
      </text>
    </comment>
    <comment ref="H126" authorId="0">
      <text>
        <r>
          <rPr>
            <b/>
          </rPr>
          <t xml:space="preserve">EDGAR Mapper:
</t>
        </r>
        <r>
          <t xml:space="preserve">EDGAR mapping:
Source: 10-Q, accession #0000320193-23-000077, filed 2023-08-04
Period: 3Q23 / period ended 2023-07-01
Model row: Model!126 PP&amp;E, Net
Mapping type: grouped
Concepts used: PropertyPlantAndEquipmentNet = 43550 mm
Units: USD
Unit conversion: raw USD to $mm
Sign: copied using model sign convention
Confidence: high
Value written: 43550
Notes: Grouped from EDGAR: Property, Plant and Equipment, Net.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r>
      </text>
    </comment>
    <comment ref="I126" authorId="0">
      <text>
        <r>
          <rPr>
            <b/>
          </rPr>
          <t xml:space="preserve">EDGAR Mapper:
</t>
        </r>
        <r>
          <t xml:space="preserve">EDGAR mapping:
Source: 10-K, accession #0000320193-24-000123, filed 2024-11-01
Period: 4Q23 / period ended 2023-09-30
Model row: Model!126 PP&amp;E, Net
Mapping type: grouped
Concepts used: PropertyPlantAndEquipmentNet = 43715 mm
Units: USD
Unit conversion: raw USD to $mm
Sign: copied using model sign convention
Confidence: high
Value written: 43715
Notes: Grouped from EDGAR: Property, Plant and Equipment, Net.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t>
        </r>
      </text>
    </comment>
    <comment ref="K126" authorId="0">
      <text>
        <r>
          <rPr>
            <b/>
          </rPr>
          <t xml:space="preserve">EDGAR Mapper:
</t>
        </r>
        <r>
          <t xml:space="preserve">EDGAR mapping:
Source: 10-Q, accession #0000320193-24-000006, filed 2024-02-02
Period: 1Q24 / period ended 2023-12-30
Model row: Model!126 PP&amp;E, Net
Mapping type: grouped
Concepts used: PropertyPlantAndEquipmentNet = 43666 mm
Units: USD
Unit conversion: raw USD to $mm
Sign: copied using model sign convention
Confidence: high
Value written: 43666
Notes: Grouped from EDGAR: Property, Plant and Equipment, Net.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r>
      </text>
    </comment>
    <comment ref="L126" authorId="0">
      <text>
        <r>
          <rPr>
            <b/>
          </rPr>
          <t xml:space="preserve">EDGAR Mapper:
</t>
        </r>
        <r>
          <t xml:space="preserve">EDGAR mapping:
Source: 10-Q, accession #0000320193-24-000069, filed 2024-05-03
Period: 2Q24 / period ended 2024-03-30
Model row: Model!126 PP&amp;E, Net
Mapping type: grouped
Concepts used: PropertyPlantAndEquipmentNet = 43546 mm
Units: USD
Unit conversion: raw USD to $mm
Sign: copied using model sign convention
Confidence: high
Value written: 43546
Notes: Grouped from EDGAR: Property, Plant and Equipment, Net.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r>
      </text>
    </comment>
    <comment ref="M126" authorId="0">
      <text>
        <r>
          <rPr>
            <b/>
          </rPr>
          <t xml:space="preserve">EDGAR Mapper:
</t>
        </r>
        <r>
          <t xml:space="preserve">EDGAR mapping:
Source: 10-Q, accession #0000320193-24-000081, filed 2024-08-02
Period: 3Q24 / period ended 2024-06-29
Model row: Model!126 PP&amp;E, Net
Mapping type: grouped
Concepts used: PropertyPlantAndEquipmentNet = 44502 mm
Units: USD
Unit conversion: raw USD to $mm
Sign: copied using model sign convention
Confidence: high
Value written: 44502
Notes: Grouped from EDGAR: Property, Plant and Equipment, Net.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r>
      </text>
    </comment>
    <comment ref="N126" authorId="0">
      <text>
        <r>
          <rPr>
            <b/>
          </rPr>
          <t xml:space="preserve">EDGAR Mapper:
</t>
        </r>
        <r>
          <t xml:space="preserve">EDGAR mapping:
Source: 10-K, accession #0000320193-25-000079, filed 2025-10-31
Period: 4Q24 / period ended 2024-09-28
Model row: Model!126 PP&amp;E, Net
Mapping type: grouped
Concepts used: PropertyPlantAndEquipmentNet = 45680 mm
Units: USD
Unit conversion: raw USD to $mm
Sign: copied using model sign convention
Confidence: high
Value written: 45680
Notes: Grouped from EDGAR: Property, Plant and Equipment, Net.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t>
        </r>
      </text>
    </comment>
    <comment ref="P126" authorId="0">
      <text>
        <r>
          <rPr>
            <b/>
          </rPr>
          <t xml:space="preserve">EDGAR Mapper:
</t>
        </r>
        <r>
          <t xml:space="preserve">EDGAR mapping:
Source: 10-Q, accession #0000320193-25-000008, filed 2025-01-31
Period: 1Q25 / period ended 2024-12-28
Model row: Model!126 PP&amp;E, Net
Mapping type: grouped
Concepts used: PropertyPlantAndEquipmentNet = 46069 mm
Units: USD
Unit conversion: raw USD to $mm
Sign: copied using model sign convention
Confidence: high
Value written: 46069
Notes: Grouped from EDGAR: Property, Plant and Equipment, Net.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r>
      </text>
    </comment>
    <comment ref="Q126" authorId="0">
      <text>
        <r>
          <rPr>
            <b/>
          </rPr>
          <t xml:space="preserve">EDGAR Mapper:
</t>
        </r>
        <r>
          <t xml:space="preserve">EDGAR mapping:
Source: 10-Q, accession #0000320193-25-000057, filed 2025-05-02
Period: 2Q25 / period ended 2025-03-29
Model row: Model!126 PP&amp;E, Net
Mapping type: grouped
Concepts used: PropertyPlantAndEquipmentNet = 46876 mm
Units: USD
Unit conversion: raw USD to $mm
Sign: copied using model sign convention
Confidence: high
Value written: 46876
Notes: Grouped from EDGAR: Property, Plant and Equipment, Net.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26" authorId="0">
      <text>
        <r>
          <rPr>
            <b/>
          </rPr>
          <t xml:space="preserve">EDGAR Mapper:
</t>
        </r>
        <r>
          <t xml:space="preserve">EDGAR mapping:
Source: 10-Q, accession #0000320193-25-000073, filed 2025-08-01
Period: 3Q25 / period ended 2025-06-28
Model row: Model!126 PP&amp;E, Net
Mapping type: grouped
Concepts used: PropertyPlantAndEquipmentNet = 48508 mm
Units: USD
Unit conversion: raw USD to $mm
Sign: copied using model sign convention
Confidence: high
Value written: 48508
Notes: Grouped from EDGAR: Property, Plant and Equipment, Net.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26" authorId="0">
      <text>
        <r>
          <rPr>
            <b/>
          </rPr>
          <t xml:space="preserve">EDGAR Mapper:
</t>
        </r>
        <r>
          <t xml:space="preserve">EDGAR mapping:
Source: 10-Q, accession #0000320193-26-000013, filed 2026-05-01
Period: 4Q25 / period ended 2025-09-27
Model row: Model!126 PP&amp;E, Net
Mapping type: grouped
Concepts used: PropertyPlantAndEquipmentNet = 49834 mm
Units: USD
Unit conversion: raw USD to $mm
Sign: copied using model sign convention
Confidence: high
Value written: 49834
Notes: Grouped from EDGAR: Property, Plant and Equipment, Net.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U126" authorId="0">
      <text>
        <r>
          <rPr>
            <b/>
          </rPr>
          <t xml:space="preserve">EDGAR Mapper:
</t>
        </r>
        <r>
          <t xml:space="preserve">EDGAR mapping:
Source: 10-Q, accession #0000320193-26-000006, filed 2026-01-30
Period: 1Q26 / period ended 2025-12-27
Model row: Model!126 PP&amp;E, Net
Mapping type: grouped
Concepts used: PropertyPlantAndEquipmentNet = 50159 mm
Units: USD
Unit conversion: raw USD to $mm
Sign: copied using model sign convention
Confidence: high
Value written: 50159
Notes: Grouped from EDGAR: Property, Plant and Equipment, Net.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r>
      </text>
    </comment>
    <comment ref="V126" authorId="0">
      <text>
        <r>
          <rPr>
            <b/>
          </rPr>
          <t xml:space="preserve">EDGAR Mapper:
</t>
        </r>
        <r>
          <t xml:space="preserve">EDGAR mapping:
Source: 10-Q, accession #0000320193-26-000013, filed 2026-05-01
Period: 2Q26 / period ended 2026-03-28
Model row: Model!126 PP&amp;E, Net
Mapping type: grouped
Concepts used: PropertyPlantAndEquipmentNet = 50116 mm
Units: USD
Unit conversion: raw USD to $mm
Sign: copied using model sign convention
Confidence: high
Value written: 50116
Notes: Grouped from EDGAR: Property, Plant and Equipment, Net.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C127" authorId="0">
      <text>
        <r>
          <rPr>
            <b/>
          </rPr>
          <t xml:space="preserve">EDGAR Mapper:
</t>
        </r>
        <r>
          <t>Grouped from EDGAR: Finite Lived Intangible Assets net. No separate intangible assets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Grouped from EDGAR: Finite Lived Intangible Assets net. No separate intangible assets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Grouped from EDGAR: Finite Lived Intangible Assets net. No separate intangible assets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Grouped from EDGAR: Finite Lived Intangible Assets net. No separate intangible assets line item was reported in the SEC balance sheet for this period, so stale template values were cleared. Grouped from EDGAR: Finite Lived Intangible Assets net. No separate intangible assets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Grouped from EDGAR: Finite Lived Intangible Assets net. No separate intangible assets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Grouped from EDGAR: Finite Lived Intangible Assets net. No separate intangible assets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Grouped from EDGAR: Finite Lived Intangible Assets net. No separate intangible assets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Grouped from EDGAR: Finite Lived Intangible Assets net. No separate intangible assets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Grouped from EDGAR: Finite Lived Intangible Assets net. No separate intangible assets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Grouped from EDGAR: Intangible Assets, Net (Excluding Goodwill). Grouped from EDGAR: Finite Lived Intangible Assets net. No separate intangible assets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Grouped from EDGAR: Intangible Assets, Net (Excluding Goodwill).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27" authorId="0">
      <text>
        <r>
          <rPr>
            <b/>
          </rPr>
          <t xml:space="preserve">EDGAR Mapper:
</t>
        </r>
        <r>
          <t xml:space="preserve">EDGAR mapping:
Source: SEC filing
Period: 1Q23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SEC validation: Value is a zero/derived model support value with no direct SEC fact.</t>
        </r>
      </text>
    </comment>
    <comment ref="G127" authorId="0">
      <text>
        <r>
          <rPr>
            <b/>
          </rPr>
          <t xml:space="preserve">EDGAR Mapper:
</t>
        </r>
        <r>
          <t xml:space="preserve">EDGAR mapping:
Source: SEC filing
Period: 2Q23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SEC validation: Value is a zero/derived model support value with no direct SEC fact.</t>
        </r>
      </text>
    </comment>
    <comment ref="H127" authorId="0">
      <text>
        <r>
          <rPr>
            <b/>
          </rPr>
          <t xml:space="preserve">EDGAR Mapper:
</t>
        </r>
        <r>
          <t xml:space="preserve">EDGAR mapping:
Source: SEC filing
Period: 3Q23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SEC validation: Value is a zero/derived model support value with no direct SEC fact.</t>
        </r>
      </text>
    </comment>
    <comment ref="I127" authorId="0">
      <text>
        <r>
          <rPr>
            <b/>
          </rPr>
          <t xml:space="preserve">EDGAR Mapper:
</t>
        </r>
        <r>
          <t xml:space="preserve">EDGAR mapping:
Source: SEC filing
Period: 4Q23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K127" authorId="0">
      <text>
        <r>
          <rPr>
            <b/>
          </rPr>
          <t xml:space="preserve">EDGAR Mapper:
</t>
        </r>
        <r>
          <t xml:space="preserve">EDGAR mapping:
Source: SEC filing
Period: 1Q24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SEC validation: Value is a zero/derived model support value with no direct SEC fact.</t>
        </r>
      </text>
    </comment>
    <comment ref="L127" authorId="0">
      <text>
        <r>
          <rPr>
            <b/>
          </rPr>
          <t xml:space="preserve">EDGAR Mapper:
</t>
        </r>
        <r>
          <t xml:space="preserve">EDGAR mapping:
Source: SEC filing
Period: 2Q24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SEC validation: Value is a zero/derived model support value with no direct SEC fact.</t>
        </r>
      </text>
    </comment>
    <comment ref="M127" authorId="0">
      <text>
        <r>
          <rPr>
            <b/>
          </rPr>
          <t xml:space="preserve">EDGAR Mapper:
</t>
        </r>
        <r>
          <t xml:space="preserve">EDGAR mapping:
Source: SEC filing
Period: 3Q24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SEC validation: Value is a zero/derived model support value with no direct SEC fact.</t>
        </r>
      </text>
    </comment>
    <comment ref="N127" authorId="0">
      <text>
        <r>
          <rPr>
            <b/>
          </rPr>
          <t xml:space="preserve">EDGAR Mapper:
</t>
        </r>
        <r>
          <t xml:space="preserve">EDGAR mapping:
Source: SEC filing
Period: 4Q24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SEC validation: Value is a zero/derived model support value with no direct SEC fact.</t>
        </r>
      </text>
    </comment>
    <comment ref="P127" authorId="0">
      <text>
        <r>
          <rPr>
            <b/>
          </rPr>
          <t xml:space="preserve">EDGAR Mapper:
</t>
        </r>
        <r>
          <t xml:space="preserve">EDGAR mapping:
Source: SEC filing
Period: 1Q25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SEC validation: Value is a zero/derived model support value with no direct SEC fact.</t>
        </r>
      </text>
    </comment>
    <comment ref="Q127" authorId="0">
      <text>
        <r>
          <rPr>
            <b/>
          </rPr>
          <t xml:space="preserve">EDGAR Mapper:
</t>
        </r>
        <r>
          <t xml:space="preserve">EDGAR mapping:
Source: SEC filing
Period: 2Q25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SEC validation: Value is a zero/derived model support value with no direct SEC fact.</t>
        </r>
      </text>
    </comment>
    <comment ref="R127" authorId="0">
      <text>
        <r>
          <rPr>
            <b/>
          </rPr>
          <t xml:space="preserve">EDGAR Mapper:
</t>
        </r>
        <r>
          <t xml:space="preserve">EDGAR mapping:
Source: SEC filing
Period: 3Q25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SEC validation: Value is a zero/derived model support value with no direct SEC fact.</t>
        </r>
      </text>
    </comment>
    <comment ref="S127" authorId="0">
      <text>
        <r>
          <rPr>
            <b/>
          </rPr>
          <t xml:space="preserve">EDGAR Mapper:
</t>
        </r>
        <r>
          <t xml:space="preserve">EDGAR mapping:
Source: 10-Q, accession #0000320193-26-000013, filed 2026-05-01
Period: 4Q25 / period ended 2025-09-27
Model row: Model!127 Intangible Assets, Net
Mapping type: grouped
Concepts used: IntangibleAssetsNetExcludingGoodwill = 13301 mm
Units: USD
Unit conversion: raw USD to $mm
Sign: copied using model sign convention
Confidence: high
Value written: 13301
Notes: Grouped from EDGAR: Intangible Assets, Net (Excluding Goodwill).</t>
        </r>
      </text>
    </comment>
    <comment ref="U127" authorId="0">
      <text>
        <r>
          <rPr>
            <b/>
          </rPr>
          <t xml:space="preserve">EDGAR Mapper:
</t>
        </r>
        <r>
          <t xml:space="preserve">EDGAR mapping:
Source: SEC filing
Period: 1Q26
Model row: Model!127 Intangible Assets, Net
Mapping type: grouped
Concepts used: FiniteLivedIntangibleAssetsNet = 0 mm
Units: not specified
Unit conversion: raw USD to $mm
Sign: copied using model sign convention
Confidence: medium
Value written: 0
Notes: Grouped from EDGAR: Finite Lived Intangible Assets net. No separate intangible assets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SEC validation: Value is a zero/derived model support value with no direct SEC fact.</t>
        </r>
      </text>
    </comment>
    <comment ref="V127" authorId="0">
      <text>
        <r>
          <rPr>
            <b/>
          </rPr>
          <t xml:space="preserve">EDGAR Mapper:
</t>
        </r>
        <r>
          <t xml:space="preserve">EDGAR mapping:
Source: 10-Q, accession #0000320193-26-000013, filed 2026-05-01
Period: 2Q26 / period ended 2026-03-28
Model row: Model!127 Intangible Assets, Net
Mapping type: grouped
Concepts used: IntangibleAssetsNetExcludingGoodwill = 25797 mm
Units: USD
Unit conversion: raw USD to $mm
Sign: copied using model sign convention
Confidence: high
Value written: 25797
Notes: Grouped from EDGAR: Intangible Assets, Net (Excluding Goodwill).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C128" authorId="0">
      <text>
        <r>
          <rPr>
            <b/>
          </rPr>
          <t xml:space="preserve">EDGAR Mapper:
</t>
        </r>
        <r>
          <t>Grouped from EDGAR: Goodwill. No separate goodwill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Grouped from EDGAR: Goodwill. No separate goodwill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Grouped from EDGAR: Goodwill. No separate goodwill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Grouped from EDGAR: Goodwill. No separate goodwill line item was reported in the SEC balance sheet for this period, so stale template values were cleared.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Grouped from EDGAR: Goodwill. No separate goodwill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Grouped from EDGAR: Goodwill. No separate goodwill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Grouped from EDGAR: Goodwill. No separate goodwill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Grouped from EDGAR: Goodwill. No separate goodwill line item was reported in the SEC balance sheet for this period, so stale template values were cleared.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Grouped from EDGAR: Goodwill. No separate goodwill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Grouped from EDGAR: Goodwill. No separate goodwill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Grouped from EDGAR: Goodwill. No separate goodwill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Grouped from EDGAR: Goodwill. No separate goodwill line item was reported in the SEC balance sheet for this period, so stale template values were cleared.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Grouped from EDGAR: Goodwill. No separate goodwill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Grouped from EDGAR: Goodwill. No separate goodwill line item was reported in the SEC balance sheet for this period, so stale template values were cleared.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28" authorId="0">
      <text>
        <r>
          <rPr>
            <b/>
          </rPr>
          <t xml:space="preserve">EDGAR Mapper:
</t>
        </r>
        <r>
          <t xml:space="preserve">EDGAR mapping:
Source: SEC filing
Period: 1Q23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SEC validation: Value is a zero/derived model support value with no direct SEC fact.</t>
        </r>
      </text>
    </comment>
    <comment ref="G128" authorId="0">
      <text>
        <r>
          <rPr>
            <b/>
          </rPr>
          <t xml:space="preserve">EDGAR Mapper:
</t>
        </r>
        <r>
          <t xml:space="preserve">EDGAR mapping:
Source: SEC filing
Period: 2Q23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SEC validation: Value is a zero/derived model support value with no direct SEC fact.</t>
        </r>
      </text>
    </comment>
    <comment ref="H128" authorId="0">
      <text>
        <r>
          <rPr>
            <b/>
          </rPr>
          <t xml:space="preserve">EDGAR Mapper:
</t>
        </r>
        <r>
          <t xml:space="preserve">EDGAR mapping:
Source: SEC filing
Period: 3Q23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SEC validation: Value is a zero/derived model support value with no direct SEC fact.</t>
        </r>
      </text>
    </comment>
    <comment ref="I128" authorId="0">
      <text>
        <r>
          <rPr>
            <b/>
          </rPr>
          <t xml:space="preserve">EDGAR Mapper:
</t>
        </r>
        <r>
          <t xml:space="preserve">EDGAR mapping:
Source: SEC filing
Period: 4Q23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SEC validation: Value is a zero/derived model support value with no direct SEC fact.</t>
        </r>
      </text>
    </comment>
    <comment ref="K128" authorId="0">
      <text>
        <r>
          <rPr>
            <b/>
          </rPr>
          <t xml:space="preserve">EDGAR Mapper:
</t>
        </r>
        <r>
          <t xml:space="preserve">EDGAR mapping:
Source: SEC filing
Period: 1Q24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SEC validation: Value is a zero/derived model support value with no direct SEC fact.</t>
        </r>
      </text>
    </comment>
    <comment ref="L128" authorId="0">
      <text>
        <r>
          <rPr>
            <b/>
          </rPr>
          <t xml:space="preserve">EDGAR Mapper:
</t>
        </r>
        <r>
          <t xml:space="preserve">EDGAR mapping:
Source: SEC filing
Period: 2Q24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SEC validation: Value is a zero/derived model support value with no direct SEC fact.</t>
        </r>
      </text>
    </comment>
    <comment ref="M128" authorId="0">
      <text>
        <r>
          <rPr>
            <b/>
          </rPr>
          <t xml:space="preserve">EDGAR Mapper:
</t>
        </r>
        <r>
          <t xml:space="preserve">EDGAR mapping:
Source: SEC filing
Period: 3Q24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SEC validation: Value is a zero/derived model support value with no direct SEC fact.</t>
        </r>
      </text>
    </comment>
    <comment ref="N128" authorId="0">
      <text>
        <r>
          <rPr>
            <b/>
          </rPr>
          <t xml:space="preserve">EDGAR Mapper:
</t>
        </r>
        <r>
          <t xml:space="preserve">EDGAR mapping:
Source: SEC filing
Period: 4Q24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SEC validation: Value is a zero/derived model support value with no direct SEC fact.</t>
        </r>
      </text>
    </comment>
    <comment ref="P128" authorId="0">
      <text>
        <r>
          <rPr>
            <b/>
          </rPr>
          <t xml:space="preserve">EDGAR Mapper:
</t>
        </r>
        <r>
          <t xml:space="preserve">EDGAR mapping:
Source: SEC filing
Period: 1Q25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SEC validation: Value is a zero/derived model support value with no direct SEC fact.</t>
        </r>
      </text>
    </comment>
    <comment ref="Q128" authorId="0">
      <text>
        <r>
          <rPr>
            <b/>
          </rPr>
          <t xml:space="preserve">EDGAR Mapper:
</t>
        </r>
        <r>
          <t xml:space="preserve">EDGAR mapping:
Source: SEC filing
Period: 2Q25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SEC validation: Value is a zero/derived model support value with no direct SEC fact.</t>
        </r>
      </text>
    </comment>
    <comment ref="R128" authorId="0">
      <text>
        <r>
          <rPr>
            <b/>
          </rPr>
          <t xml:space="preserve">EDGAR Mapper:
</t>
        </r>
        <r>
          <t xml:space="preserve">EDGAR mapping:
Source: SEC filing
Period: 3Q25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SEC validation: Value is a zero/derived model support value with no direct SEC fact.</t>
        </r>
      </text>
    </comment>
    <comment ref="S128" authorId="0">
      <text>
        <r>
          <rPr>
            <b/>
          </rPr>
          <t xml:space="preserve">EDGAR Mapper:
</t>
        </r>
        <r>
          <t xml:space="preserve">EDGAR mapping:
Source: SEC filing
Period: 4Q25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SEC validation: Value is a zero/derived model support value with no direct SEC fact.</t>
        </r>
      </text>
    </comment>
    <comment ref="U128" authorId="0">
      <text>
        <r>
          <rPr>
            <b/>
          </rPr>
          <t xml:space="preserve">EDGAR Mapper:
</t>
        </r>
        <r>
          <t xml:space="preserve">EDGAR mapping:
Source: SEC filing
Period: 1Q26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SEC validation: Value is a zero/derived model support value with no direct SEC fact.</t>
        </r>
      </text>
    </comment>
    <comment ref="V128" authorId="0">
      <text>
        <r>
          <rPr>
            <b/>
          </rPr>
          <t xml:space="preserve">EDGAR Mapper:
</t>
        </r>
        <r>
          <t xml:space="preserve">EDGAR mapping:
Source: SEC filing
Period: 2Q26
Model row: Model!128 Goodwill
Mapping type: grouped
Concepts used: Goodwill = 0 mm
Units: not specified
Unit conversion: raw USD to $mm
Sign: copied using model sign convention
Confidence: medium
Value written: 0
Notes: Grouped from EDGAR: Goodwill. No separate goodwill line item was reported in the SEC balance sheet for this period, so stale template values were cleared.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 SEC validation: Value is a zero/derived model support value with no direct SEC fact.</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Assets, Current, Property, Plant and Equipment, Net, Finite Lived Intangible Assets net, Goodwill. Calculated from SEC total assets less current assets and separately modeled PP&amp;E, intangible assets, and goodwill.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Grouped from EDGAR: Assets, Assets, Current, Property, Plant and Equipment, Net, Finite Lived Intangible Assets net, Goodwill. Calculated from SEC total assets less current assets and separately modeled PP&amp;E, intangible assets, and goodwill.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Assets, Assets, Current, Property, Plant and Equipment, Net, Finite Lived Intangible Assets net, Goodwill. Calculated from SEC total assets less current assets and separately modeled PP&amp;E, intangible assets, and goodwill.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Assets, Assets, Current, Property, Plant and Equipment, Net, Intangible Assets, Net (Excluding Goodwill), Goodwill. Calculated from SEC total assets less current assets and separately modeled PP&amp;E, intangible assets, and goodwill.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F129" authorId="0">
      <text>
        <r>
          <rPr>
            <b/>
          </rPr>
          <t xml:space="preserve">EDGAR Mapper:
</t>
        </r>
        <r>
          <t>Replaced a balance-sheet formula with the EDGAR period-end balance so instant values are not derived from prior quarters.</t>
        </r>
      </text>
    </comment>
    <comment ref="G129" authorId="0">
      <text>
        <r>
          <rPr>
            <b/>
          </rPr>
          <t xml:space="preserve">EDGAR Mapper:
</t>
        </r>
        <r>
          <t>Replaced a balance-sheet formula with the EDGAR period-end balance so instant values are not derived from prior quarters.</t>
        </r>
      </text>
    </comment>
    <comment ref="H129" authorId="0">
      <text>
        <r>
          <rPr>
            <b/>
          </rPr>
          <t xml:space="preserve">EDGAR Mapper:
</t>
        </r>
        <r>
          <t>Replaced a balance-sheet formula with the EDGAR period-end balance so instant values are not derived from prior quarters.</t>
        </r>
      </text>
    </comment>
    <comment ref="I129" authorId="0">
      <text>
        <r>
          <rPr>
            <b/>
          </rPr>
          <t xml:space="preserve">EDGAR Mapper:
</t>
        </r>
        <r>
          <t>Replaced a balance-sheet formula with the EDGAR period-end balance so instant values are not derived from prior quarters.</t>
        </r>
      </text>
    </comment>
    <comment ref="K129" authorId="0">
      <text>
        <r>
          <rPr>
            <b/>
          </rPr>
          <t xml:space="preserve">EDGAR Mapper:
</t>
        </r>
        <r>
          <t xml:space="preserve">======
ID#AAABbnJBVzw
Lilianna Ruby    (2025-01-14 21:09:38)
operating lease right of use assets, long term investments, deferred income taxes, other assets
EDGAR Mapper:
Replaced a balance-sheet formula with the EDGAR period-end balance so instant values are not derived from prior quarters.</t>
        </r>
      </text>
    </comment>
    <comment ref="L129" authorId="0">
      <text>
        <r>
          <rPr>
            <b/>
          </rPr>
          <t xml:space="preserve">EDGAR Mapper:
</t>
        </r>
        <r>
          <t>Replaced a balance-sheet formula with the EDGAR period-end balance so instant values are not derived from prior quarters.</t>
        </r>
      </text>
    </comment>
    <comment ref="M129" authorId="0">
      <text>
        <r>
          <rPr>
            <b/>
          </rPr>
          <t xml:space="preserve">EDGAR Mapper:
</t>
        </r>
        <r>
          <t>Replaced a balance-sheet formula with the EDGAR period-end balance so instant values are not derived from prior quarters.</t>
        </r>
      </text>
    </comment>
    <comment ref="N129" authorId="0">
      <text>
        <r>
          <rPr>
            <b/>
          </rPr>
          <t xml:space="preserve">EDGAR Mapper:
</t>
        </r>
        <r>
          <t>Replaced a balance-sheet formula with the EDGAR period-end balance so instant values are not derived from prior quarters.</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#0000320193-25-000008, filed 2025-01-31
Period: 1Q25 / period ended 2024-12-28
Model row: Model!129 Other Non-Current Assets
Mapping type: grouped
Concepts used: Assets = 344085 mm; AssetsCurrent = 133240 mm; PropertyPlantAndEquipmentNet = 46069 mm; FiniteLivedIntangibleAssetsNet = 0 mm; Goodwill = 0 mm
Units: USD
Unit conversion: raw USD to $mm
Sign: copied using model sign convention
Confidence: high
Value written: 164776
Notes: Grouped from EDGAR: Assets, Assets, Current, Property, Plant and Equipment, Net, Finite Lived Intangible Assets net, Goodwill. Calculated from SEC total assets less current assets and separately modeled PP&amp;E, intangible assets, and goodwill.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r>
      </text>
    </comment>
    <comment ref="Q129" authorId="0">
      <text>
        <r>
          <rPr>
            <b/>
          </rPr>
          <t xml:space="preserve">EDGAR Mapper:
</t>
        </r>
        <r>
          <t xml:space="preserve">EDGAR mapping:
Source: 10-Q, accession #0000320193-25-000057, filed 2025-05-02
Period: 2Q25 / period ended 2025-03-29
Model row: Model!129 Other Non-Current Assets
Mapping type: grouped
Concepts used: Assets = 331233 mm; AssetsCurrent = 118674 mm; PropertyPlantAndEquipmentNet = 46876 mm; FiniteLivedIntangibleAssetsNet = 0 mm; Goodwill = 0 mm
Units: USD
Unit conversion: raw USD to $mm
Sign: copied using model sign convention
Confidence: high
Value written: 165683
Notes: Grouped from EDGAR: Assets, Assets, Current, Property, Plant and Equipment, Net, Finite Lived Intangible Assets net, Goodwill. Calculated from SEC total assets less current assets and separately modeled PP&amp;E, intangible assets, and goodwill.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29" authorId="0">
      <text>
        <r>
          <rPr>
            <b/>
          </rPr>
          <t xml:space="preserve">EDGAR Mapper:
</t>
        </r>
        <r>
          <t xml:space="preserve">EDGAR mapping:
Source: 10-Q, accession #0000320193-25-000073, filed 2025-08-01
Period: 3Q25 / period ended 2025-06-28
Model row: Model!129 Other Non-Current Assets
Mapping type: grouped
Concepts used: Assets = 331495 mm; AssetsCurrent = 122491 mm; PropertyPlantAndEquipmentNet = 48508 mm; FiniteLivedIntangibleAssetsNet = 0 mm; Goodwill = 0 mm
Units: USD
Unit conversion: raw USD to $mm
Sign: copied using model sign convention
Confidence: high
Value written: 160496
Notes: Grouped from EDGAR: Assets, Assets, Current, Property, Plant and Equipment, Net, Finite Lived Intangible Assets net, Goodwill. Calculated from SEC total assets less current assets and separately modeled PP&amp;E, intangible assets, and goodwill.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29" authorId="0">
      <text>
        <r>
          <rPr>
            <b/>
          </rPr>
          <t xml:space="preserve">EDGAR Mapper:
</t>
        </r>
        <r>
          <t xml:space="preserve">EDGAR mapping:
Source: 10-Q, accession #0000320193-26-000013, filed 2026-05-01
Period: 4Q25 / period ended 2025-09-27
Model row: Model!129 Other Non-Current Assets
Mapping type: grouped
Concepts used: Assets = 359241 mm; AssetsCurrent = 147957 mm; PropertyPlantAndEquipmentNet = 49834 mm; IntangibleAssetsNetExcludingGoodwill = 13301 mm; Goodwill = 0 mm
Units: USD
Unit conversion: raw USD to $mm
Sign: copied using model sign convention
Confidence: high
Value written: 148149
Notes: Grouped from EDGAR: Assets, Assets, Current, Property, Plant and Equipment, Net, Intangible Assets, Net (Excluding Goodwill), Goodwill. Calculated from SEC total assets less current assets and separately modeled PP&amp;E, intangible assets, and goodwill.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U129" authorId="0">
      <text>
        <r>
          <rPr>
            <b/>
          </rPr>
          <t xml:space="preserve">EDGAR Mapper:
</t>
        </r>
        <r>
          <t xml:space="preserve">======
ID#AAABbnJBVy4
Lilianna Ruby    (2025-01-14 21:09:38)
Includes operating lease right-of-use assets, long-term investments, deferred income taxes, and other
EDGAR Mapper:
Replaced a balance-sheet formula with the EDGAR period-end balance so instant values are not derived from prior quarters.</t>
        </r>
      </text>
    </comment>
    <comment ref="V129" authorId="0">
      <text>
        <r>
          <rPr>
            <b/>
          </rPr>
          <t xml:space="preserve">EDGAR Mapper:
</t>
        </r>
        <r>
          <t>Replaced a balance-sheet formula with the EDGAR period-end balance so instant values are not derived from prior quarters.</t>
        </r>
      </text>
    </comment>
    <comment ref="C134" authorId="0">
      <text>
        <r>
          <rPr>
            <b/>
          </rPr>
          <t xml:space="preserve">EDGAR Mapper:
</t>
        </r>
        <r>
          <t>Grouped from EDGAR: Accounts Payable,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Grouped from EDGAR: Accounts Payable,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Grouped from EDGAR: Accounts Payable,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Grouped from EDGAR: Accounts Payable, Current.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Accounts Payable,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Grouped from EDGAR: Accounts Payable,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Grouped from EDGAR: Accounts Payable,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Grouped from EDGAR: Accounts Payable, Current.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Accounts Payable,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Grouped from EDGAR: Accounts Payable,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Accounts Payable,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Accounts Payable, Current.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Accounts Payable,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Grouped from EDGAR: Accounts Payable,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34" authorId="0">
      <text>
        <r>
          <rPr>
            <b/>
          </rPr>
          <t xml:space="preserve">EDGAR Mapper:
</t>
        </r>
        <r>
          <t xml:space="preserve">EDGAR mapping:
Source: 10-Q, accession #0000320193-23-000006, filed 2023-02-03
Period: 1Q23 / period ended 2022-12-31
Model row: Model!134 Accounts Payable
Mapping type: grouped
Concepts used: AccountsPayableCurrent = 57918 mm
Units: USD
Unit conversion: raw USD to $mm
Sign: copied using model sign convention
Confidence: high
Value written: 57918
Notes: Grouped from EDGAR: Accounts Payable,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r>
      </text>
    </comment>
    <comment ref="G134" authorId="0">
      <text>
        <r>
          <rPr>
            <b/>
          </rPr>
          <t xml:space="preserve">EDGAR Mapper:
</t>
        </r>
        <r>
          <t xml:space="preserve">EDGAR mapping:
Source: 10-Q, accession #0000320193-23-000064, filed 2023-05-05
Period: 2Q23 / period ended 2023-04-01
Model row: Model!134 Accounts Payable
Mapping type: grouped
Concepts used: AccountsPayableCurrent = 42945 mm
Units: USD
Unit conversion: raw USD to $mm
Sign: copied using model sign convention
Confidence: high
Value written: 42945
Notes: Grouped from EDGAR: Accounts Payable,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r>
      </text>
    </comment>
    <comment ref="H134" authorId="0">
      <text>
        <r>
          <rPr>
            <b/>
          </rPr>
          <t xml:space="preserve">EDGAR Mapper:
</t>
        </r>
        <r>
          <t xml:space="preserve">EDGAR mapping:
Source: 10-Q, accession #0000320193-23-000077, filed 2023-08-04
Period: 3Q23 / period ended 2023-07-01
Model row: Model!134 Accounts Payable
Mapping type: grouped
Concepts used: AccountsPayableCurrent = 46699 mm
Units: USD
Unit conversion: raw USD to $mm
Sign: copied using model sign convention
Confidence: high
Value written: 46699
Notes: Grouped from EDGAR: Accounts Payable,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r>
      </text>
    </comment>
    <comment ref="I134" authorId="0">
      <text>
        <r>
          <rPr>
            <b/>
          </rPr>
          <t xml:space="preserve">EDGAR Mapper:
</t>
        </r>
        <r>
          <t xml:space="preserve">EDGAR mapping:
Source: 10-K, accession #0000320193-24-000123, filed 2024-11-01
Period: 4Q23 / period ended 2023-09-30
Model row: Model!134 Accounts Payable
Mapping type: grouped
Concepts used: AccountsPayableCurrent = 62611 mm
Units: USD
Unit conversion: raw USD to $mm
Sign: copied using model sign convention
Confidence: high
Value written: 62611
Notes: Grouped from EDGAR: Accounts Payable, Current.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r>
      </text>
    </comment>
    <comment ref="K134" authorId="0">
      <text>
        <r>
          <rPr>
            <b/>
          </rPr>
          <t xml:space="preserve">EDGAR Mapper:
</t>
        </r>
        <r>
          <t xml:space="preserve">EDGAR mapping:
Source: 10-Q, accession #0000320193-24-000006, filed 2024-02-02
Period: 1Q24 / period ended 2023-12-30
Model row: Model!134 Accounts Payable
Mapping type: grouped
Concepts used: AccountsPayableCurrent = 58146 mm
Units: USD
Unit conversion: raw USD to $mm
Sign: copied using model sign convention
Confidence: high
Value written: 58146
Notes: Grouped from EDGAR: Accounts Payable,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r>
      </text>
    </comment>
    <comment ref="L134" authorId="0">
      <text>
        <r>
          <rPr>
            <b/>
          </rPr>
          <t xml:space="preserve">EDGAR Mapper:
</t>
        </r>
        <r>
          <t xml:space="preserve">EDGAR mapping:
Source: 10-Q, accession #0000320193-24-000069, filed 2024-05-03
Period: 2Q24 / period ended 2024-03-30
Model row: Model!134 Accounts Payable
Mapping type: grouped
Concepts used: AccountsPayableCurrent = 45753 mm
Units: USD
Unit conversion: raw USD to $mm
Sign: copied using model sign convention
Confidence: high
Value written: 45753
Notes: Grouped from EDGAR: Accounts Payable,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r>
      </text>
    </comment>
    <comment ref="M134" authorId="0">
      <text>
        <r>
          <rPr>
            <b/>
          </rPr>
          <t xml:space="preserve">EDGAR Mapper:
</t>
        </r>
        <r>
          <t xml:space="preserve">EDGAR mapping:
Source: 10-Q, accession #0000320193-24-000081, filed 2024-08-02
Period: 3Q24 / period ended 2024-06-29
Model row: Model!134 Accounts Payable
Mapping type: grouped
Concepts used: AccountsPayableCurrent = 47574 mm
Units: USD
Unit conversion: raw USD to $mm
Sign: copied using model sign convention
Confidence: high
Value written: 47574
Notes: Grouped from EDGAR: Accounts Payable,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r>
      </text>
    </comment>
    <comment ref="N134" authorId="0">
      <text>
        <r>
          <rPr>
            <b/>
          </rPr>
          <t xml:space="preserve">EDGAR Mapper:
</t>
        </r>
        <r>
          <t xml:space="preserve">EDGAR mapping:
Source: 10-K, accession #0000320193-25-000079, filed 2025-10-31
Period: 4Q24 / period ended 2024-09-28
Model row: Model!134 Accounts Payable
Mapping type: grouped
Concepts used: AccountsPayableCurrent = 68960 mm
Units: USD
Unit conversion: raw USD to $mm
Sign: copied using model sign convention
Confidence: high
Value written: 68960
Notes: Grouped from EDGAR: Accounts Payable, Current.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134" authorId="0">
      <text>
        <r>
          <rPr>
            <b/>
          </rPr>
          <t xml:space="preserve">EDGAR Mapper:
</t>
        </r>
        <r>
          <t xml:space="preserve">EDGAR mapping:
Source: 10-Q, accession #0000320193-25-000008, filed 2025-01-31
Period: 1Q25 / period ended 2024-12-28
Model row: Model!134 Accounts Payable
Mapping type: grouped
Concepts used: AccountsPayableCurrent = 61910 mm
Units: USD
Unit conversion: raw USD to $mm
Sign: copied using model sign convention
Confidence: high
Value written: 61910
Notes: Grouped from EDGAR: Accounts Payable,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r>
      </text>
    </comment>
    <comment ref="Q134" authorId="0">
      <text>
        <r>
          <rPr>
            <b/>
          </rPr>
          <t xml:space="preserve">EDGAR Mapper:
</t>
        </r>
        <r>
          <t xml:space="preserve">EDGAR mapping:
Source: 10-Q, accession #0000320193-25-000057, filed 2025-05-02
Period: 2Q25 / period ended 2025-03-29
Model row: Model!134 Accounts Payable
Mapping type: grouped
Concepts used: AccountsPayableCurrent = 54126 mm
Units: USD
Unit conversion: raw USD to $mm
Sign: copied using model sign convention
Confidence: high
Value written: 54126
Notes: Grouped from EDGAR: Accounts Payable,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34" authorId="0">
      <text>
        <r>
          <rPr>
            <b/>
          </rPr>
          <t xml:space="preserve">EDGAR Mapper:
</t>
        </r>
        <r>
          <t xml:space="preserve">EDGAR mapping:
Source: 10-Q, accession #0000320193-25-000073, filed 2025-08-01
Period: 3Q25 / period ended 2025-06-28
Model row: Model!134 Accounts Payable
Mapping type: grouped
Concepts used: AccountsPayableCurrent = 50374 mm
Units: USD
Unit conversion: raw USD to $mm
Sign: copied using model sign convention
Confidence: high
Value written: 50374
Notes: Grouped from EDGAR: Accounts Payable,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34" authorId="0">
      <text>
        <r>
          <rPr>
            <b/>
          </rPr>
          <t xml:space="preserve">EDGAR Mapper:
</t>
        </r>
        <r>
          <t xml:space="preserve">EDGAR mapping:
Source: 10-Q, accession #0000320193-26-000013, filed 2026-05-01
Period: 4Q25 / period ended 2025-09-27
Model row: Model!134 Accounts Payable
Mapping type: grouped
Concepts used: AccountsPayableCurrent = 69860 mm
Units: USD
Unit conversion: raw USD to $mm
Sign: copied using model sign convention
Confidence: high
Value written: 69860
Notes: Grouped from EDGAR: Accounts Payable, Current.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134" authorId="0">
      <text>
        <r>
          <rPr>
            <b/>
          </rPr>
          <t xml:space="preserve">EDGAR Mapper:
</t>
        </r>
        <r>
          <t xml:space="preserve">EDGAR mapping:
Source: 10-Q, accession #0000320193-26-000006, filed 2026-01-30
Period: 1Q26 / period ended 2025-12-27
Model row: Model!134 Accounts Payable
Mapping type: grouped
Concepts used: AccountsPayableCurrent = 70587 mm
Units: USD
Unit conversion: raw USD to $mm
Sign: copied using model sign convention
Confidence: high
Value written: 70587
Notes: Grouped from EDGAR: Accounts Payable,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r>
      </text>
    </comment>
    <comment ref="V134" authorId="0">
      <text>
        <r>
          <rPr>
            <b/>
          </rPr>
          <t xml:space="preserve">EDGAR Mapper:
</t>
        </r>
        <r>
          <t xml:space="preserve">EDGAR mapping:
Source: 10-Q, accession #0000320193-26-000013, filed 2026-05-01
Period: 2Q26 / period ended 2026-03-28
Model row: Model!134 Accounts Payable
Mapping type: grouped
Concepts used: AccountsPayableCurrent = 57349 mm
Units: USD
Unit conversion: raw USD to $mm
Sign: copied using model sign convention
Confidence: high
Value written: 57349
Notes: Grouped from EDGAR: Accounts Payable,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C135" authorId="0">
      <text>
        <r>
          <rPr>
            <b/>
          </rPr>
          <t xml:space="preserve">EDGAR Mapper:
</t>
        </r>
        <r>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35" authorId="0">
      <text>
        <r>
          <rPr>
            <b/>
          </rPr>
          <t xml:space="preserve">EDGAR Mapper:
</t>
        </r>
        <r>
          <t xml:space="preserve">EDGAR mapping:
Source: 10-Q, accession #0000320193-23-000006, filed 2023-02-03
Period: 1Q23 / period ended 2022-12-31
Model row: Model!135 Accrued Liabilities
Mapping type: grouped
Concepts used: LiabilitiesCurrent = 137286 mm; AccountsPayableCurrent = 57918 mm; ContractWithCustomerLiabilityCurrent = 7992 mm; DebtCurrent = 0 mm
Units: USD
Unit conversion: raw USD to $mm
Sign: copied using model sign convention
Confidence: high
Value written: 71376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r>
      </text>
    </comment>
    <comment ref="G135" authorId="0">
      <text>
        <r>
          <rPr>
            <b/>
          </rPr>
          <t xml:space="preserve">EDGAR Mapper:
</t>
        </r>
        <r>
          <t xml:space="preserve">EDGAR mapping:
Source: 10-Q, accession #0000320193-23-000064, filed 2023-05-05
Period: 2Q23 / period ended 2023-04-01
Model row: Model!135 Accrued Liabilities
Mapping type: grouped
Concepts used: LiabilitiesCurrent = 120075 mm; AccountsPayableCurrent = 42945 mm; ContractWithCustomerLiabilityCurrent = 8131 mm; DebtCurrent = 0 mm
Units: USD
Unit conversion: raw USD to $mm
Sign: copied using model sign convention
Confidence: high
Value written: 68999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r>
      </text>
    </comment>
    <comment ref="H135" authorId="0">
      <text>
        <r>
          <rPr>
            <b/>
          </rPr>
          <t xml:space="preserve">EDGAR Mapper:
</t>
        </r>
        <r>
          <t xml:space="preserve">EDGAR mapping:
Source: 10-Q, accession #0000320193-23-000077, filed 2023-08-04
Period: 3Q23 / period ended 2023-07-01
Model row: Model!135 Accrued Liabilities
Mapping type: grouped
Concepts used: LiabilitiesCurrent = 124963 mm; AccountsPayableCurrent = 46699 mm; ContractWithCustomerLiabilityCurrent = 8158 mm; DebtCurrent = 0 mm
Units: USD
Unit conversion: raw USD to $mm
Sign: copied using model sign convention
Confidence: high
Value written: 70106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r>
      </text>
    </comment>
    <comment ref="I135" authorId="0">
      <text>
        <r>
          <rPr>
            <b/>
          </rPr>
          <t xml:space="preserve">EDGAR Mapper:
</t>
        </r>
        <r>
          <t xml:space="preserve">EDGAR mapping:
Source: 10-K, accession #0000320193-24-000123, filed 2024-11-01
Period: 4Q23 / period ended 2023-09-30
Model row: Model!135 Accrued Liabilities
Mapping type: grouped
Concepts used: LiabilitiesCurrent = 145308 mm; AccountsPayableCurrent = 62611 mm; ContractWithCustomerLiabilityCurrent = 8061 mm; DebtCurrent = 0 mm
Units: USD
Unit conversion: raw USD to $mm
Sign: copied using model sign convention
Confidence: high
Value written: 74636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r>
      </text>
    </comment>
    <comment ref="K135" authorId="0">
      <text>
        <r>
          <rPr>
            <b/>
          </rPr>
          <t xml:space="preserve">EDGAR Mapper:
</t>
        </r>
        <r>
          <t xml:space="preserve">EDGAR mapping:
Source: 10-Q, accession #0000320193-24-000006, filed 2024-02-02
Period: 1Q24 / period ended 2023-12-30
Model row: Model!135 Accrued Liabilities
Mapping type: grouped
Concepts used: LiabilitiesCurrent = 133973 mm; AccountsPayableCurrent = 58146 mm; ContractWithCustomerLiabilityCurrent = 8264 mm; DebtCurrent = 0 mm
Units: USD
Unit conversion: raw USD to $mm
Sign: copied using model sign convention
Confidence: high
Value written: 67563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r>
      </text>
    </comment>
    <comment ref="L135" authorId="0">
      <text>
        <r>
          <rPr>
            <b/>
          </rPr>
          <t xml:space="preserve">EDGAR Mapper:
</t>
        </r>
        <r>
          <t>Replaced a balance-sheet formula with the EDGAR period-end balance so instant values are not derived from prior quarters.</t>
        </r>
      </text>
    </comment>
    <comment ref="M135" authorId="0">
      <text>
        <r>
          <rPr>
            <b/>
          </rPr>
          <t xml:space="preserve">EDGAR Mapper:
</t>
        </r>
        <r>
          <t xml:space="preserve">EDGAR mapping:
Source: 10-Q, accession #0000320193-24-000081, filed 2024-08-02
Period: 3Q24 / period ended 2024-06-29
Model row: Model!135 Accrued Liabilities
Mapping type: grouped
Concepts used: LiabilitiesCurrent = 131624 mm; AccountsPayableCurrent = 47574 mm; ContractWithCustomerLiabilityCurrent = 8053 mm; DebtCurrent = 0 mm
Units: USD
Unit conversion: raw USD to $mm
Sign: copied using model sign convention
Confidence: high
Value written: 75997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r>
      </text>
    </comment>
    <comment ref="N135" authorId="0">
      <text>
        <r>
          <rPr>
            <b/>
          </rPr>
          <t xml:space="preserve">EDGAR Mapper:
</t>
        </r>
        <r>
          <t xml:space="preserve">EDGAR mapping:
Source: 10-K, accession #0000320193-25-000079, filed 2025-10-31
Period: 4Q24 / period ended 2024-09-28
Model row: Model!135 Accrued Liabilities
Mapping type: grouped
Concepts used: LiabilitiesCurrent = 176392 mm; AccountsPayableCurrent = 68960 mm; ContractWithCustomerLiabilityCurrent = 8249 mm; DebtCurrent = 0 mm
Units: USD
Unit conversion: raw USD to $mm
Sign: copied using model sign convention
Confidence: high
Value written: 99183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135" authorId="0">
      <text>
        <r>
          <rPr>
            <b/>
          </rPr>
          <t xml:space="preserve">EDGAR Mapper:
</t>
        </r>
        <r>
          <t xml:space="preserve">EDGAR mapping:
Source: 10-Q, accession #0000320193-25-000008, filed 2025-01-31
Period: 1Q25 / period ended 2024-12-28
Model row: Model!135 Accrued Liabilities
Mapping type: grouped
Concepts used: LiabilitiesCurrent = 144365 mm; AccountsPayableCurrent = 61910 mm; ContractWithCustomerLiabilityCurrent = 8461 mm; DebtCurrent = 0 mm
Units: USD
Unit conversion: raw USD to $mm
Sign: copied using model sign convention
Confidence: high
Value written: 73994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r>
      </text>
    </comment>
    <comment ref="Q135" authorId="0">
      <text>
        <r>
          <rPr>
            <b/>
          </rPr>
          <t xml:space="preserve">EDGAR Mapper:
</t>
        </r>
        <r>
          <t xml:space="preserve">EDGAR mapping:
Source: 10-Q, accession #0000320193-25-000057, filed 2025-05-02
Period: 2Q25 / period ended 2025-03-29
Model row: Model!135 Accrued Liabilities
Mapping type: grouped
Concepts used: LiabilitiesCurrent = 144571 mm; AccountsPayableCurrent = 54126 mm; ContractWithCustomerLiabilityCurrent = 8976 mm; DebtCurrent = 0 mm
Units: USD
Unit conversion: raw USD to $mm
Sign: copied using model sign convention
Confidence: high
Value written: 81469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35" authorId="0">
      <text>
        <r>
          <rPr>
            <b/>
          </rPr>
          <t xml:space="preserve">EDGAR Mapper:
</t>
        </r>
        <r>
          <t xml:space="preserve">EDGAR mapping:
Source: 10-Q, accession #0000320193-25-000073, filed 2025-08-01
Period: 3Q25 / period ended 2025-06-28
Model row: Model!135 Accrued Liabilities
Mapping type: grouped
Concepts used: LiabilitiesCurrent = 141120 mm; AccountsPayableCurrent = 50374 mm; ContractWithCustomerLiabilityCurrent = 8979 mm; DebtCurrent = 0 mm
Units: USD
Unit conversion: raw USD to $mm
Sign: copied using model sign convention
Confidence: high
Value written: 81767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35" authorId="0">
      <text>
        <r>
          <rPr>
            <b/>
          </rPr>
          <t xml:space="preserve">EDGAR Mapper:
</t>
        </r>
        <r>
          <t xml:space="preserve">EDGAR mapping:
Source: 10-Q, accession #0000320193-26-000013, filed 2026-05-01
Period: 4Q25 / period ended 2025-09-27
Model row: Model!135 Accrued Liabilities
Mapping type: grouped
Concepts used: LiabilitiesCurrent = 165631 mm; AccountsPayableCurrent = 69860 mm; ContractWithCustomerLiabilityCurrent = 9055 mm; DebtCurrent = 0 mm
Units: USD
Unit conversion: raw USD to $mm
Sign: copied using model sign convention
Confidence: high
Value written: 86716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135" authorId="0">
      <text>
        <r>
          <rPr>
            <b/>
          </rPr>
          <t xml:space="preserve">EDGAR Mapper:
</t>
        </r>
        <r>
          <t xml:space="preserve">EDGAR mapping:
Source: 10-Q, accession #0000320193-26-000006, filed 2026-01-30
Period: 1Q26 / period ended 2025-12-27
Model row: Model!135 Accrued Liabilities
Mapping type: grouped
Concepts used: LiabilitiesCurrent = 162367 mm; AccountsPayableCurrent = 70587 mm; ContractWithCustomerLiabilityCurrent = 9413 mm; DebtCurrent = 0 mm
Units: USD
Unit conversion: raw USD to $mm
Sign: copied using model sign convention
Confidence: high
Value written: 82367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r>
      </text>
    </comment>
    <comment ref="V135" authorId="0">
      <text>
        <r>
          <rPr>
            <b/>
          </rPr>
          <t xml:space="preserve">EDGAR Mapper:
</t>
        </r>
        <r>
          <t xml:space="preserve">EDGAR mapping:
Source: 10-Q, accession #0000320193-26-000013, filed 2026-05-01
Period: 2Q26 / period ended 2026-03-28
Model row: Model!135 Accrued Liabilities
Mapping type: grouped
Concepts used: LiabilitiesCurrent = 134641 mm; AccountsPayableCurrent = 57349 mm; ContractWithCustomerLiabilityCurrent = 9331 mm; DebtCurrent = 0 mm
Units: USD
Unit conversion: raw USD to $mm
Sign: copied using model sign convention
Confidence: high
Value written: 67961
Notes: 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C136" authorId="0">
      <text>
        <r>
          <rPr>
            <b/>
          </rPr>
          <t xml:space="preserve">EDGAR Mapper:
</t>
        </r>
        <r>
          <t xml:space="preserve">======
ID#AAABbnJBV0M
Luke Brennan    (2025-01-14 21:09:38)
Advances and Billings in Excess of Related Costs
EDGAR Mapper:
Grouped from EDGAR: Contract with Customer, Liability, Current. Mapped to a direct SEC other current liability / current contract liability concept when reported.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Contract with Customer, Liability, Current. Mapped to a direct SEC other current liability / current contract liability concept when reported.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Grouped from EDGAR: Contract with Customer, Liability, Current. Mapped to a direct SEC other current liability / current contract liability concept when reported.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Grouped from EDGAR: Contract with Customer, Liability, Current. Mapped to a direct SEC other current liability / current contract liability concept when reported.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F136" authorId="0">
      <text>
        <r>
          <rPr>
            <b/>
          </rPr>
          <t xml:space="preserve">EDGAR Mapper:
</t>
        </r>
        <r>
          <t>Replaced a balance-sheet formula with the EDGAR period-end balance so instant values are not derived from prior quarters.</t>
        </r>
      </text>
    </comment>
    <comment ref="G136" authorId="0">
      <text>
        <r>
          <rPr>
            <b/>
          </rPr>
          <t xml:space="preserve">EDGAR Mapper:
</t>
        </r>
        <r>
          <t>Replaced a balance-sheet formula with the EDGAR period-end balance so instant values are not derived from prior quarters.</t>
        </r>
      </text>
    </comment>
    <comment ref="H136" authorId="0">
      <text>
        <r>
          <rPr>
            <b/>
          </rPr>
          <t xml:space="preserve">EDGAR Mapper:
</t>
        </r>
        <r>
          <t>Replaced a balance-sheet formula with the EDGAR period-end balance so instant values are not derived from prior quarters.</t>
        </r>
      </text>
    </comment>
    <comment ref="I136" authorId="0">
      <text>
        <r>
          <rPr>
            <b/>
          </rPr>
          <t xml:space="preserve">EDGAR Mapper:
</t>
        </r>
        <r>
          <t>Replaced a balance-sheet formula with the EDGAR period-end balance so instant values are not derived from prior quarters.</t>
        </r>
      </text>
    </comment>
    <comment ref="K136" authorId="0">
      <text>
        <r>
          <rPr>
            <b/>
          </rPr>
          <t xml:space="preserve">EDGAR Mapper:
</t>
        </r>
        <r>
          <t xml:space="preserve">======
ID#AAABbnJBVxA
Lilianna Ruby    (2025-01-14 21:09:38)
Current operating lease liabilities, deferred revenue, other
EDGAR Mapper:
Replaced a balance-sheet formula with the EDGAR period-end balance so instant values are not derived from prior quarters.</t>
        </r>
      </text>
    </comment>
    <comment ref="L136" authorId="0">
      <text>
        <r>
          <rPr>
            <b/>
          </rPr>
          <t xml:space="preserve">EDGAR Mapper:
</t>
        </r>
        <r>
          <t>Replaced a balance-sheet formula with the EDGAR period-end balance so instant values are not derived from prior quarters.</t>
        </r>
      </text>
    </comment>
    <comment ref="M136" authorId="0">
      <text>
        <r>
          <rPr>
            <b/>
          </rPr>
          <t xml:space="preserve">EDGAR Mapper:
</t>
        </r>
        <r>
          <t>Replaced a balance-sheet formula with the EDGAR period-end balance so instant values are not derived from prior quarters.</t>
        </r>
      </text>
    </comment>
    <comment ref="N136" authorId="0">
      <text>
        <r>
          <rPr>
            <b/>
          </rPr>
          <t xml:space="preserve">EDGAR Mapper:
</t>
        </r>
        <r>
          <t>Replaced a balance-sheet formula with the EDGAR period-end balance so instant values are not derived from prior quarters.</t>
        </r>
      </text>
    </comment>
    <comment ref="P136" authorId="0">
      <text>
        <r>
          <rPr>
            <b/>
          </rPr>
          <t xml:space="preserve">EDGAR Mapper:
</t>
        </r>
        <r>
          <t xml:space="preserve">======
ID#AAABbnJBV00
Lilianna Ruby    (2025-01-14 21:09:38)
Current operating lease liabilities, deferred revenue, other
EDGAR Mapper:
EDGAR mapping:
Source: 10-Q, accession #0000320193-25-000008, filed 2025-01-31
Period: 1Q25 / period ended 2024-12-28
Model row: Model!136 Other Current Liabilities
Mapping type: grouped
Concepts used: ContractWithCustomerLiabilityCurrent = 8461 mm
Units: USD
Unit conversion: raw USD to $mm
Sign: copied using model sign convention
Confidence: high
Value written: 8461
Notes: Grouped from EDGAR: Contract with Customer, Liability, Current. Mapped to a direct SEC other current liability / current contract liability concept when reported.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36" authorId="0">
      <text>
        <r>
          <rPr>
            <b/>
          </rPr>
          <t xml:space="preserve">EDGAR Mapper:
</t>
        </r>
        <r>
          <t xml:space="preserve">EDGAR mapping:
Source: 10-Q, accession #0000320193-25-000057, filed 2025-05-02
Period: 2Q25 / period ended 2025-03-29
Model row: Model!136 Other Current Liabilities
Mapping type: grouped
Concepts used: ContractWithCustomerLiabilityCurrent = 8976 mm
Units: USD
Unit conversion: raw USD to $mm
Sign: copied using model sign convention
Confidence: high
Value written: 8976
Notes: Grouped from EDGAR: Contract with Customer, Liability, Current. Mapped to a direct SEC other current liability / current contract liability concept when reported.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r>
      </text>
    </comment>
    <comment ref="R136" authorId="0">
      <text>
        <r>
          <rPr>
            <b/>
          </rPr>
          <t xml:space="preserve">EDGAR Mapper:
</t>
        </r>
        <r>
          <t xml:space="preserve">EDGAR mapping:
Source: 10-Q, accession #0000320193-25-000073, filed 2025-08-01
Period: 3Q25 / period ended 2025-06-28
Model row: Model!136 Other Current Liabilities
Mapping type: grouped
Concepts used: ContractWithCustomerLiabilityCurrent = 8979 mm
Units: USD
Unit conversion: raw USD to $mm
Sign: copied using model sign convention
Confidence: high
Value written: 8979
Notes: Grouped from EDGAR: Contract with Customer, Liability, Current. Mapped to a direct SEC other current liability / current contract liability concept when reported.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r>
      </text>
    </comment>
    <comment ref="S136" authorId="0">
      <text>
        <r>
          <rPr>
            <b/>
          </rPr>
          <t xml:space="preserve">EDGAR Mapper:
</t>
        </r>
        <r>
          <t xml:space="preserve">EDGAR mapping:
Source: 10-Q, accession #0000320193-26-000013, filed 2026-05-01
Period: 4Q25 / period ended 2025-09-27
Model row: Model!136 Other Current Liabilities
Mapping type: grouped
Concepts used: ContractWithCustomerLiabilityCurrent = 9055 mm
Units: USD
Unit conversion: raw USD to $mm
Sign: copied using model sign convention
Confidence: high
Value written: 9055
Notes: Grouped from EDGAR: Contract with Customer, Liability, Current. Mapped to a direct SEC other current liability / current contract liability concept when reported.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r>
      </text>
    </comment>
    <comment ref="U136" authorId="0">
      <text>
        <r>
          <rPr>
            <b/>
          </rPr>
          <t xml:space="preserve">EDGAR Mapper:
</t>
        </r>
        <r>
          <t xml:space="preserve">======
ID#AAABbnJBV1E
Lilianna Ruby    (2025-01-14 21:09:38)
Current operating lease liabilities, deferred revenue, other
EDGAR Mapper:
Replaced a balance-sheet formula with the EDGAR period-end balance so instant values are not derived from prior quarters.</t>
        </r>
      </text>
    </comment>
    <comment ref="V136" authorId="0">
      <text>
        <r>
          <rPr>
            <b/>
          </rPr>
          <t xml:space="preserve">EDGAR Mapper:
</t>
        </r>
        <r>
          <t>Replaced a balance-sheet formula with the EDGAR period-end balance so instant values are not derived from prior quarters.</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EDGAR: Long-term Debt, Excluding Current Maturities.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"8, 2024 and $ 3.5 billion of revenue recognized in the three months ended December 30, 2023 that was included in deferred revenue as of September 30, 2023. The Company’s proportion of net sales by disaggregated revenue source was generally consistent for each reportable segment i..." Grouped from EDGAR: Long-term Debt, Excluding Current Maturities. Filing commentary support: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Long-term Debt, Excluding Current Maturities. Filing commentary support: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Long-term Debt, Excluding Current Maturities.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F140" authorId="0">
      <text>
        <r>
          <rPr>
            <b/>
          </rPr>
          <t xml:space="preserve">EDGAR Mapper:
</t>
        </r>
        <r>
          <t>Replaced a balance-sheet formula with the EDGAR period-end balance so instant values are not derived from prior quarters.</t>
        </r>
      </text>
    </comment>
    <comment ref="G140" authorId="0">
      <text>
        <r>
          <rPr>
            <b/>
          </rPr>
          <t xml:space="preserve">EDGAR Mapper:
</t>
        </r>
        <r>
          <t>Replaced a balance-sheet formula with the EDGAR period-end balance so instant values are not derived from prior quarters.</t>
        </r>
      </text>
    </comment>
    <comment ref="H140" authorId="0">
      <text>
        <r>
          <rPr>
            <b/>
          </rPr>
          <t xml:space="preserve">EDGAR Mapper:
</t>
        </r>
        <r>
          <t>Replaced a balance-sheet formula with the EDGAR period-end balance so instant values are not derived from prior quarters.</t>
        </r>
      </text>
    </comment>
    <comment ref="I140" authorId="0">
      <text>
        <r>
          <rPr>
            <b/>
          </rPr>
          <t xml:space="preserve">EDGAR Mapper:
</t>
        </r>
        <r>
          <t>Replaced a balance-sheet formula with the EDGAR period-end balance so instant values are not derived from prior quarters.</t>
        </r>
      </text>
    </comment>
    <comment ref="K140" authorId="0">
      <text>
        <r>
          <rPr>
            <b/>
          </rPr>
          <t xml:space="preserve">EDGAR Mapper:
</t>
        </r>
        <r>
          <t>Replaced a balance-sheet formula with the EDGAR period-end balance so instant values are not derived from prior quarters.</t>
        </r>
      </text>
    </comment>
    <comment ref="L140" authorId="0">
      <text>
        <r>
          <rPr>
            <b/>
          </rPr>
          <t xml:space="preserve">EDGAR Mapper:
</t>
        </r>
        <r>
          <t>Replaced a balance-sheet formula with the EDGAR period-end balance so instant values are not derived from prior quarters.</t>
        </r>
      </text>
    </comment>
    <comment ref="M140" authorId="0">
      <text>
        <r>
          <rPr>
            <b/>
          </rPr>
          <t xml:space="preserve">EDGAR Mapper:
</t>
        </r>
        <r>
          <t>Replaced a balance-sheet formula with the EDGAR period-end balance so instant values are not derived from prior quarters.</t>
        </r>
      </text>
    </comment>
    <comment ref="N140" authorId="0">
      <text>
        <r>
          <rPr>
            <b/>
          </rPr>
          <t xml:space="preserve">EDGAR Mapper:
</t>
        </r>
        <r>
          <t>Replaced a balance-sheet formula with the EDGAR period-end balance so instant values are not derived from prior quarters.</t>
        </r>
      </text>
    </comment>
    <comment ref="P140" authorId="0">
      <text>
        <r>
          <rPr>
            <b/>
          </rPr>
          <t xml:space="preserve">EDGAR Mapper:
</t>
        </r>
        <r>
          <t xml:space="preserve">EDGAR mapping:
Source: 10-Q, accession #0000320193-25-000008, filed 2025-01-31
Period: 1Q25 / period ended 2024-12-28
Model row: Model!140 LT Debt (Incl. Current Portion)
Mapping type: grouped
Concepts used: LongTermDebtNoncurrent = 83956 mm
Units: USD
Unit conversion: raw USD to $mm
Sign: copied using model sign convention
Confidence: high
Value written: 83956
Notes: Grouped from EDGAR: Long-term Debt, Excluding Current Maturities.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"8, 2024 and $ 3.5 billion of revenue recognized in the three months ended December 30, 2023 that was included in deferred revenue as of September 30, 2023. The Company’s proportion of net sales by disaggregated revenue source was generally consistent for each reportable segment i..."</t>
        </r>
      </text>
    </comment>
    <comment ref="Q140" authorId="0">
      <text>
        <r>
          <rPr>
            <b/>
          </rPr>
          <t xml:space="preserve">EDGAR Mapper:
</t>
        </r>
        <r>
          <t xml:space="preserve">EDGAR mapping:
Source: 10-Q, accession #0000320193-25-000057, filed 2025-05-02
Period: 2Q25 / period ended 2025-03-29
Model row: Model!140 LT Debt (Incl. Current Portion)
Mapping type: grouped
Concepts used: LongTermDebtNoncurrent = 78566 mm
Units: USD
Unit conversion: raw USD to $mm
Sign: copied using model sign convention
Confidence: high
Value written: 78566
Notes: Grouped from EDGAR: Long-term Debt, Excluding Current Maturities. Filing commentary support: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40" authorId="0">
      <text>
        <r>
          <rPr>
            <b/>
          </rPr>
          <t xml:space="preserve">EDGAR Mapper:
</t>
        </r>
        <r>
          <t xml:space="preserve">EDGAR mapping:
Source: 10-Q, accession #0000320193-25-000073, filed 2025-08-01
Period: 3Q25 / period ended 2025-06-28
Model row: Model!140 LT Debt (Incl. Current Portion)
Mapping type: grouped
Concepts used: LongTermDebtNoncurrent = 82430 mm
Units: USD
Unit conversion: raw USD to $mm
Sign: copied using model sign convention
Confidence: high
Value written: 82430
Notes: Grouped from EDGAR: Long-term Debt, Excluding Current Maturities. Filing commentary support: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40" authorId="0">
      <text>
        <r>
          <rPr>
            <b/>
          </rPr>
          <t xml:space="preserve">EDGAR Mapper:
</t>
        </r>
        <r>
          <t xml:space="preserve">EDGAR mapping:
Source: 10-Q, accession #0000320193-26-000013, filed 2026-05-01
Period: 4Q25 / period ended 2025-09-27
Model row: Model!140 LT Debt (Incl. Current Portion)
Mapping type: grouped
Concepts used: LongTermDebtNoncurrent = 78328 mm
Units: USD
Unit conversion: raw USD to $mm
Sign: copied using model sign convention
Confidence: high
Value written: 78328
Notes: Grouped from EDGAR: Long-term Debt, Excluding Current Maturities.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140" authorId="0">
      <text>
        <r>
          <rPr>
            <b/>
          </rPr>
          <t xml:space="preserve">EDGAR Mapper:
</t>
        </r>
        <r>
          <t>Replaced a balance-sheet formula with the EDGAR period-end balance so instant values are not derived from prior quarters.</t>
        </r>
      </text>
    </comment>
    <comment ref="V140" authorId="0">
      <text>
        <r>
          <rPr>
            <b/>
          </rPr>
          <t xml:space="preserve">EDGAR Mapper:
</t>
        </r>
        <r>
          <t>Replaced a balance-sheet formula with the EDGAR period-end balance so instant values are not derived from prior quarters.</t>
        </r>
      </text>
    </comment>
    <comment ref="C141" authorId="0">
      <text>
        <r>
          <rPr>
            <b/>
          </rPr>
          <t xml:space="preserve">EDGAR Mapper:
</t>
        </r>
        <r>
          <t>Grouped from EDGAR: Deferred Tax Liabilities Noncurrent. No separate deferred tax liability was reported in the SEC balance sheet for this period.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Grouped from EDGAR: Deferred Tax Liabilities Noncurrent. No separate deferred tax liability was reported in the SEC balance sheet for this period. Filing commentary support: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Grouped from EDGAR: Deferred Tax Liabilities Noncurrent. No separate deferred tax liability was reported in the SEC balance sheet for this period. Filing commentary support: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Grouped from EDGAR: Deferred Tax Liabilities Noncurrent. No separate deferred tax liability was reported in the SEC balance sheet for this period.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Deferred Tax Liabilities Noncurrent. No separate deferred tax liability was reported in the SEC balance sheet for this period. Filing commentary support: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Grouped from EDGAR: Deferred Tax Liabilities Noncurrent. No separate deferred tax liability was reported in the SEC balance sheet for this period. Filing commentary support: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Grouped from EDGAR: Deferred Tax Liabilities Noncurrent. No separate deferred tax liability was reported in the SEC balance sheet for this period. Filing commentary support: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Grouped from EDGAR: Deferred Tax Liabilities Noncurrent. No separate deferred tax liability was reported in the SEC balance sheet for this period.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Deferred Tax Liabilities Noncurrent. No separate deferred tax liability was reported in the SEC balance sheet for this period.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Deferred Tax Liabilities Noncurrent. No separate deferred tax liability was reported in the SEC balance sheet for this period.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Grouped from EDGAR: Deferred Tax Liabilities Noncurrent. No separate deferred tax liability was reported in the SEC balance sheet for this period.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Grouped from EDGAR: Deferred Tax Liabilities Noncurrent. No separate deferred tax liability was reported in the SEC balance sheet for this period.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Deferred Tax Liabilities Noncurrent. No separate deferred tax liability was reported in the SEC balance sheet for this period. Filing commentary support: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10-Q filed 2026-01-30: ",340 Total net sales $ 143,756 $ 124,300 Portion of total net sales that was included in deferred revenue as of the beginning of the period $ 4,050 $ 3,690 The Company’s proportion of net sales by disaggregated revenue source was generally consistent for each reportable segment i..." Grouped from EDGAR: Deferred Tax Liabilities Noncurrent. No separate deferred tax liability was reported in the SEC balance sheet for this period. Filing commentary support: 10-Q filed 2026-05-01: "curities 78,088 77,723 Property, plant and equipment, net 50,116 49,834 Intangible assets, net 21,334 11,093 Other non-current assets 77,430 72,634 Total non-current assets 226,968 211,284 Total assets $ 371,082 $ 359,241 LIABILITIES AND SHAREHOLDERS’ EQUITY: Current liabilities:..." 10-Q filed 2026-05-01: ",359 $ 254,940 $ 219,659 Portion of total net sales that was included in deferred revenue as of the beginning of the period $ 3,987 $ 3,672 $ 5,834 $ 5,440 The Company’s proportion of net sales by disaggregated revenue source was generally consistent for each reportable segment i..."</t>
        </r>
      </text>
    </comment>
    <comment ref="F141" authorId="0">
      <text>
        <r>
          <rPr>
            <b/>
          </rPr>
          <t xml:space="preserve">EDGAR Mapper:
</t>
        </r>
        <r>
          <t xml:space="preserve">EDGAR mapping:
Source: SEC filing
Period: 1Q23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SEC validation: Value is a zero/derived model support value with no direct SEC fact.</t>
        </r>
      </text>
    </comment>
    <comment ref="G141" authorId="0">
      <text>
        <r>
          <rPr>
            <b/>
          </rPr>
          <t xml:space="preserve">EDGAR Mapper:
</t>
        </r>
        <r>
          <t xml:space="preserve">EDGAR mapping:
Source: SEC filing
Period: 2Q23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r>
      </text>
    </comment>
    <comment ref="H141" authorId="0">
      <text>
        <r>
          <rPr>
            <b/>
          </rPr>
          <t xml:space="preserve">EDGAR Mapper:
</t>
        </r>
        <r>
          <t xml:space="preserve">EDGAR mapping:
Source: SEC filing
Period: 3Q23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r>
      </text>
    </comment>
    <comment ref="I141" authorId="0">
      <text>
        <r>
          <rPr>
            <b/>
          </rPr>
          <t xml:space="preserve">EDGAR Mapper:
</t>
        </r>
        <r>
          <t xml:space="preserve">EDGAR mapping:
Source: SEC filing
Period: 4Q23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SEC validation: Value is a zero/derived model support value with no direct SEC fact.</t>
        </r>
      </text>
    </comment>
    <comment ref="K141" authorId="0">
      <text>
        <r>
          <rPr>
            <b/>
          </rPr>
          <t xml:space="preserve">EDGAR Mapper:
</t>
        </r>
        <r>
          <t xml:space="preserve">EDGAR mapping:
Source: SEC filing
Period: 1Q24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SEC validation: Value is a zero/derived model support value with no direct SEC fact.</t>
        </r>
      </text>
    </comment>
    <comment ref="L141" authorId="0">
      <text>
        <r>
          <rPr>
            <b/>
          </rPr>
          <t xml:space="preserve">EDGAR Mapper:
</t>
        </r>
        <r>
          <t xml:space="preserve">EDGAR mapping:
Source: SEC filing
Period: 2Q24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r>
      </text>
    </comment>
    <comment ref="M141" authorId="0">
      <text>
        <r>
          <rPr>
            <b/>
          </rPr>
          <t xml:space="preserve">EDGAR Mapper:
</t>
        </r>
        <r>
          <t xml:space="preserve">EDGAR mapping:
Source: SEC filing
Period: 3Q24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r>
      </text>
    </comment>
    <comment ref="N141" authorId="0">
      <text>
        <r>
          <rPr>
            <b/>
          </rPr>
          <t xml:space="preserve">EDGAR Mapper:
</t>
        </r>
        <r>
          <t xml:space="preserve">EDGAR mapping:
Source: SEC filing
Period: 4Q24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SEC validation: Value is a zero/derived model support value with no direct SEC fact.</t>
        </r>
      </text>
    </comment>
    <comment ref="P141" authorId="0">
      <text>
        <r>
          <rPr>
            <b/>
          </rPr>
          <t xml:space="preserve">EDGAR Mapper:
</t>
        </r>
        <r>
          <t xml:space="preserve">EDGAR mapping:
Source: SEC filing
Period: 1Q25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SEC validation: Value is a zero/derived model support value with no direct SEC fact.</t>
        </r>
      </text>
    </comment>
    <comment ref="Q141" authorId="0">
      <text>
        <r>
          <rPr>
            <b/>
          </rPr>
          <t xml:space="preserve">EDGAR Mapper:
</t>
        </r>
        <r>
          <t xml:space="preserve">EDGAR mapping:
Source: SEC filing
Period: 2Q25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SEC validation: Value is a zero/derived model support value with no direct SEC fact.</t>
        </r>
      </text>
    </comment>
    <comment ref="R141" authorId="0">
      <text>
        <r>
          <rPr>
            <b/>
          </rPr>
          <t xml:space="preserve">EDGAR Mapper:
</t>
        </r>
        <r>
          <t xml:space="preserve">EDGAR mapping:
Source: SEC filing
Period: 3Q25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SEC validation: Value is a zero/derived model support value with no direct SEC fact.</t>
        </r>
      </text>
    </comment>
    <comment ref="S141" authorId="0">
      <text>
        <r>
          <rPr>
            <b/>
          </rPr>
          <t xml:space="preserve">EDGAR Mapper:
</t>
        </r>
        <r>
          <t xml:space="preserve">EDGAR mapping:
Source: SEC filing
Period: 4Q25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SEC validation: Value is a zero/derived model support value with no direct SEC fact.</t>
        </r>
      </text>
    </comment>
    <comment ref="U141" authorId="0">
      <text>
        <r>
          <rPr>
            <b/>
          </rPr>
          <t xml:space="preserve">EDGAR Mapper:
</t>
        </r>
        <r>
          <t xml:space="preserve">EDGAR mapping:
Source: SEC filing
Period: 1Q26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10-Q filed 2026-01-30: ",340 Total net sales $ 143,756 $ 124,300 Portion of total net sales that was included in deferred revenue as of the beginning of the period $ 4,050 $ 3,690 The Company’s proportion of net sales by disaggregated revenue source was generally consistent for each reportable segment i..." SEC validation: Value is a zero/derived model support value with no direct SEC fact.</t>
        </r>
      </text>
    </comment>
    <comment ref="V141" authorId="0">
      <text>
        <r>
          <rPr>
            <b/>
          </rPr>
          <t xml:space="preserve">EDGAR Mapper:
</t>
        </r>
        <r>
          <t xml:space="preserve">EDGAR mapping:
Source: SEC filing
Period: 2Q26
Model row: Model!141 Deferred Income Taxes
Mapping type: grouped
Concepts used: DeferredTaxLiabilitiesNoncurrent = 0 mm
Units: not specified
Unit conversion: raw USD to $mm
Sign: copied using model sign convention
Confidence: medium
Value written: 0
Notes: Grouped from EDGAR: Deferred Tax Liabilities Noncurrent. No separate deferred tax liability was reported in the SEC balance sheet for this period. Filing commentary support: 10-Q filed 2026-05-01: "curities 78,088 77,723 Property, plant and equipment, net 50,116 49,834 Intangible assets, net 21,334 11,093 Other non-current assets 77,430 72,634 Total non-current assets 226,968 211,284 Total assets $ 371,082 $ 359,241 LIABILITIES AND SHAREHOLDERS’ EQUITY: Current liabilities:..." 10-Q filed 2026-05-01: ",359 $ 254,940 $ 219,659 Portion of total net sales that was included in deferred revenue as of the beginning of the period $ 3,987 $ 3,672 $ 5,834 $ 5,440 The Company’s proportion of net sales by disaggregated revenue source was generally consistent for each reportable segment i..." SEC validation: Value is a zero/derived model support value with no direct SEC fact.</t>
        </r>
      </text>
    </comment>
    <comment ref="C142" authorId="0">
      <text>
        <r>
          <rPr>
            <b/>
          </rPr>
          <t xml:space="preserve">EDGAR Mapper:
</t>
        </r>
        <r>
          <t xml:space="preserve">======
ID#AAABbnJBVw8
Luke Brennan    (2025-01-14 21:09:38)
Accrued Retiree Healthcare
Accrued Pension Plan Liability, net
and Other LT Liabilities
EDGAR Mapper: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F142" authorId="0">
      <text>
        <r>
          <rPr>
            <b/>
          </rPr>
          <t xml:space="preserve">EDGAR Mapper:
</t>
        </r>
        <r>
          <t>Replaced a balance-sheet formula with the EDGAR period-end balance so instant values are not derived from prior quarters.</t>
        </r>
      </text>
    </comment>
    <comment ref="G142" authorId="0">
      <text>
        <r>
          <rPr>
            <b/>
          </rPr>
          <t xml:space="preserve">EDGAR Mapper:
</t>
        </r>
        <r>
          <t>Replaced a balance-sheet formula with the EDGAR period-end balance so instant values are not derived from prior quarters.</t>
        </r>
      </text>
    </comment>
    <comment ref="H142" authorId="0">
      <text>
        <r>
          <rPr>
            <b/>
          </rPr>
          <t xml:space="preserve">EDGAR Mapper:
</t>
        </r>
        <r>
          <t>Replaced a balance-sheet formula with the EDGAR period-end balance so instant values are not derived from prior quarters.</t>
        </r>
      </text>
    </comment>
    <comment ref="I142" authorId="0">
      <text>
        <r>
          <rPr>
            <b/>
          </rPr>
          <t xml:space="preserve">EDGAR Mapper:
</t>
        </r>
        <r>
          <t>Replaced a balance-sheet formula with the EDGAR period-end balance so instant values are not derived from prior quarters.</t>
        </r>
      </text>
    </comment>
    <comment ref="K142" authorId="0">
      <text>
        <r>
          <rPr>
            <b/>
          </rPr>
          <t xml:space="preserve">EDGAR Mapper:
</t>
        </r>
        <r>
          <t>Replaced a balance-sheet formula with the EDGAR period-end balance so instant values are not derived from prior quarters.</t>
        </r>
      </text>
    </comment>
    <comment ref="L142" authorId="0">
      <text>
        <r>
          <rPr>
            <b/>
          </rPr>
          <t xml:space="preserve">EDGAR Mapper:
</t>
        </r>
        <r>
          <t>Replaced a balance-sheet formula with the EDGAR period-end balance so instant values are not derived from prior quarters.</t>
        </r>
      </text>
    </comment>
    <comment ref="M142" authorId="0">
      <text>
        <r>
          <rPr>
            <b/>
          </rPr>
          <t xml:space="preserve">EDGAR Mapper:
</t>
        </r>
        <r>
          <t>Replaced a balance-sheet formula with the EDGAR period-end balance so instant values are not derived from prior quarters.</t>
        </r>
      </text>
    </comment>
    <comment ref="N142" authorId="0">
      <text>
        <r>
          <rPr>
            <b/>
          </rPr>
          <t xml:space="preserve">EDGAR Mapper:
</t>
        </r>
        <r>
          <t>Replaced a balance-sheet formula with the EDGAR period-end balance so instant values are not derived from prior quarters.</t>
        </r>
      </text>
    </comment>
    <comment ref="P142" authorId="0">
      <text>
        <r>
          <rPr>
            <b/>
          </rPr>
          <t xml:space="preserve">EDGAR Mapper:
</t>
        </r>
        <r>
          <t xml:space="preserve">EDGAR mapping:
Source: 10-Q, accession #0000320193-25-000008, filed 2025-01-31
Period: 1Q25 / period ended 2024-12-28
Model row: Model!142 Other Non-Current Liabilities
Mapping type: grouped
Concepts used: Liabilities = 277327 mm; LiabilitiesCurrent = 144365 mm; DebtCurrent = 0 mm; LongTermDebtNoncurrent = 83956 mm; DeferredTaxLiabilitiesNoncurrent = 0 mm; OperatingLeaseLiabilityNoncurrent = 0 mm; PensionAndOtherPostretirementDefinedBenefitPlansLiabilityNoncurrent = 0 mm
Units: USD
Unit conversion: raw USD to $mm
Sign: copied using model sign convention
Confidence: high
Value written: 49006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42" authorId="0">
      <text>
        <r>
          <rPr>
            <b/>
          </rPr>
          <t xml:space="preserve">EDGAR Mapper:
</t>
        </r>
        <r>
          <t xml:space="preserve">EDGAR mapping:
Source: 10-Q, accession #0000320193-25-000057, filed 2025-05-02
Period: 2Q25 / period ended 2025-03-29
Model row: Model!142 Other Non-Current Liabilities
Mapping type: grouped
Concepts used: Liabilities = 264437 mm; LiabilitiesCurrent = 144571 mm; DebtCurrent = 0 mm; LongTermDebtNoncurrent = 78566 mm; DeferredTaxLiabilitiesNoncurrent = 0 mm; OperatingLeaseLiabilityNoncurrent = 0 mm; PensionAndOtherPostretirementDefinedBenefitPlansLiabilityNoncurrent = 0 mm
Units: USD
Unit conversion: raw USD to $mm
Sign: copied using model sign convention
Confidence: high
Value written: 41300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r>
      </text>
    </comment>
    <comment ref="R142" authorId="0">
      <text>
        <r>
          <rPr>
            <b/>
          </rPr>
          <t xml:space="preserve">EDGAR Mapper:
</t>
        </r>
        <r>
          <t xml:space="preserve">EDGAR mapping:
Source: 10-Q, accession #0000320193-25-000073, filed 2025-08-01
Period: 3Q25 / period ended 2025-06-28
Model row: Model!142 Other Non-Current Liabilities
Mapping type: grouped
Concepts used: Liabilities = 265665 mm; LiabilitiesCurrent = 141120 mm; DebtCurrent = 0 mm; LongTermDebtNoncurrent = 82430 mm; DeferredTaxLiabilitiesNoncurrent = 0 mm; OperatingLeaseLiabilityNoncurrent = 0 mm; PensionAndOtherPostretirementDefinedBenefitPlansLiabilityNoncurrent = 0 mm
Units: USD
Unit conversion: raw USD to $mm
Sign: copied using model sign convention
Confidence: high
Value written: 42115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r>
      </text>
    </comment>
    <comment ref="S142" authorId="0">
      <text>
        <r>
          <rPr>
            <b/>
          </rPr>
          <t xml:space="preserve">EDGAR Mapper:
</t>
        </r>
        <r>
          <t xml:space="preserve">EDGAR mapping:
Source: 10-Q, accession #0000320193-26-000013, filed 2026-05-01
Period: 4Q25 / period ended 2025-09-27
Model row: Model!142 Other Non-Current Liabilities
Mapping type: grouped
Concepts used: Liabilities = 285508 mm; LiabilitiesCurrent = 165631 mm; DebtCurrent = 0 mm; LongTermDebtNoncurrent = 78328 mm; DeferredTaxLiabilitiesNoncurrent = 0 mm; OperatingLeaseLiabilityNoncurrent = 0 mm; PensionAndOtherPostretirementDefinedBenefitPlansLiabilityNoncurrent = 0 mm
Units: USD
Unit conversion: raw USD to $mm
Sign: copied using model sign convention
Confidence: high
Value written: 41549
Notes: 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142" authorId="0">
      <text>
        <r>
          <rPr>
            <b/>
          </rPr>
          <t xml:space="preserve">EDGAR Mapper:
</t>
        </r>
        <r>
          <t>Replaced a balance-sheet formula with the EDGAR period-end balance so instant values are not derived from prior quarters.</t>
        </r>
      </text>
    </comment>
    <comment ref="V142" authorId="0">
      <text>
        <r>
          <rPr>
            <b/>
          </rPr>
          <t xml:space="preserve">EDGAR Mapper:
</t>
        </r>
        <r>
          <t>Replaced a balance-sheet formula with the EDGAR period-end balance so instant values are not derived from prior quarters.</t>
        </r>
      </text>
    </comment>
    <comment ref="Z143" authorId="0">
      <text/>
    </comment>
    <comment ref="AE143" authorId="0">
      <text/>
    </comment>
    <comment ref="C147" authorId="0">
      <text>
        <r>
          <rPr>
            <b/>
          </rPr>
          <t xml:space="preserve">EDGAR Mapper:
</t>
        </r>
        <r>
          <t>Grouped from EDGAR: Common Stock Value, Common Stocks, Including Additional Paid in Capital. Included common stock value plus additional paid-in capital.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Grouped from EDGAR: Common Stock Value, Common Stocks, Including Additional Paid in Capital. Included common stock value plus additional paid-in capital.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Grouped from EDGAR: Common Stock Value, Common Stocks, Including Additional Paid in Capital. Included common stock value plus additional paid-in capital.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Grouped from EDGAR: Common Stock Value, Common Stocks, Including Additional Paid in Capital. Included common stock value plus additional paid-in capital.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"offers exclusive original content and live sports. Payment Services The Company offers payment services, including Apple Card ® , a co-branded credit card, and Apple Pay ® , a cashless payment service. Segments The Company manages its business primarily on a geographic basis. The..." Grouped from EDGAR: Common Stock Value, Common Stocks, Including Additional Paid in Capital. Included common stock value plus additional paid-in capital.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Grouped from EDGAR: Common Stock Value, Common Stocks, Including Additional Paid in Capital. Included common stock value plus additional paid-in capital.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Grouped from EDGAR: Common Stock Value, Common Stocks, Including Additional Paid in Capital. Included common stock value plus additional paid-in capital.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Grouped from EDGAR: Common Stock Value, Common Stocks, Including Additional Paid in Capital. Included common stock value plus additional paid-in capital.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 Grouped from EDGAR: Common Stock Value, Common Stocks, Including Additional Paid in Capital. Included common stock value plus additional paid-in capital.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Grouped from EDGAR: Common Stock Value, Common Stocks, Including Additional Paid in Capital. Included common stock value plus additional paid-in capital.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Grouped from EDGAR: Common Stock Value, Common Stocks, Including Additional Paid in Capital. Included common stock value plus additional paid-in capital.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Grouped from EDGAR: Common Stock Value, Common Stocks, Including Additional Paid in Capital. Included common stock value plus additional paid-in capital.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 Grouped from EDGAR: Common Stock Value, Common Stocks, Including Additional Paid in Capital. Included common stock value plus additional paid-in capital.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Grouped from EDGAR: Common Stock Value, Common Stocks, Including Additional Paid in Capital. Included common stock value plus additional paid-in capital.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47" authorId="0">
      <text>
        <r>
          <rPr>
            <b/>
          </rPr>
          <t xml:space="preserve">EDGAR Mapper:
</t>
        </r>
        <r>
          <t xml:space="preserve">EDGAR mapping:
Source: SEC filing
Period: 1Q23
Model row: Model!147 Common Stock &amp; APIC
Mapping type: grouped
Concepts used: CommonStockValue = 0 mm; CommonStocksIncludingAdditionalPaidInCapital = 66399 mm
Units: USD
Unit conversion: raw USD to $mm
Sign: copied using model sign convention
Confidence: high
Value written: 66399
Notes: Grouped from EDGAR: Common Stock Value, Common Stocks, Including Additional Paid in Capital. Included common stock value plus additional paid-in capital.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t>
        </r>
      </text>
    </comment>
    <comment ref="G147" authorId="0">
      <text>
        <r>
          <rPr>
            <b/>
          </rPr>
          <t xml:space="preserve">EDGAR Mapper:
</t>
        </r>
        <r>
          <t xml:space="preserve">EDGAR mapping:
Source: SEC filing
Period: 2Q23
Model row: Model!147 Common Stock &amp; APIC
Mapping type: grouped
Concepts used: CommonStockValue = 0 mm; CommonStocksIncludingAdditionalPaidInCapital = 69568 mm
Units: USD
Unit conversion: raw USD to $mm
Sign: copied using model sign convention
Confidence: high
Value written: 69568
Notes: Grouped from EDGAR: Common Stock Value, Common Stocks, Including Additional Paid in Capital. Included common stock value plus additional paid-in capital.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r>
      </text>
    </comment>
    <comment ref="H147" authorId="0">
      <text>
        <r>
          <rPr>
            <b/>
          </rPr>
          <t xml:space="preserve">EDGAR Mapper:
</t>
        </r>
        <r>
          <t xml:space="preserve">EDGAR mapping:
Source: SEC filing
Period: 3Q23
Model row: Model!147 Common Stock &amp; APIC
Mapping type: grouped
Concepts used: CommonStockValue = 0 mm; CommonStocksIncludingAdditionalPaidInCapital = 70667 mm
Units: USD
Unit conversion: raw USD to $mm
Sign: copied using model sign convention
Confidence: high
Value written: 70667
Notes: Grouped from EDGAR: Common Stock Value, Common Stocks, Including Additional Paid in Capital. Included common stock value plus additional paid-in capital.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r>
      </text>
    </comment>
    <comment ref="I147" authorId="0">
      <text>
        <r>
          <rPr>
            <b/>
          </rPr>
          <t xml:space="preserve">EDGAR Mapper:
</t>
        </r>
        <r>
          <t xml:space="preserve">EDGAR mapping:
Source: SEC filing
Period: 4Q23
Model row: Model!147 Common Stock &amp; APIC
Mapping type: grouped
Concepts used: CommonStockValue = 0 mm; CommonStocksIncludingAdditionalPaidInCapital = 73812 mm
Units: USD
Unit conversion: raw USD to $mm
Sign: copied using model sign convention
Confidence: high
Value written: 73812
Notes: Grouped from EDGAR: Common Stock Value, Common Stocks, Including Additional Paid in Capital. Included common stock value plus additional paid-in capital.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K147" authorId="0">
      <text>
        <r>
          <rPr>
            <b/>
          </rPr>
          <t xml:space="preserve">EDGAR Mapper:
</t>
        </r>
        <r>
          <t xml:space="preserve">EDGAR mapping:
Source: SEC filing
Period: 1Q24
Model row: Model!147 Common Stock &amp; APIC
Mapping type: grouped
Concepts used: CommonStockValue = 0 mm; CommonStocksIncludingAdditionalPaidInCapital = 75236 mm
Units: USD
Unit conversion: raw USD to $mm
Sign: copied using model sign convention
Confidence: high
Value written: 75236
Notes: Grouped from EDGAR: Common Stock Value, Common Stocks, Including Additional Paid in Capital. Included common stock value plus additional paid-in capital.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t>
        </r>
      </text>
    </comment>
    <comment ref="L147" authorId="0">
      <text>
        <r>
          <rPr>
            <b/>
          </rPr>
          <t xml:space="preserve">EDGAR Mapper:
</t>
        </r>
        <r>
          <t xml:space="preserve">EDGAR mapping:
Source: SEC filing
Period: 2Q24
Model row: Model!147 Common Stock &amp; APIC
Mapping type: grouped
Concepts used: CommonStockValue = 0 mm; CommonStocksIncludingAdditionalPaidInCapital = 78815 mm
Units: USD
Unit conversion: raw USD to $mm
Sign: copied using model sign convention
Confidence: high
Value written: 78815
Notes: Grouped from EDGAR: Common Stock Value, Common Stocks, Including Additional Paid in Capital. Included common stock value plus additional paid-in capital.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r>
      </text>
    </comment>
    <comment ref="M147" authorId="0">
      <text>
        <r>
          <rPr>
            <b/>
          </rPr>
          <t xml:space="preserve">EDGAR Mapper:
</t>
        </r>
        <r>
          <t xml:space="preserve">EDGAR mapping:
Source: SEC filing
Period: 3Q24
Model row: Model!147 Common Stock &amp; APIC
Mapping type: grouped
Concepts used: CommonStockValue = 0 mm; CommonStocksIncludingAdditionalPaidInCapital = 79850 mm
Units: USD
Unit conversion: raw USD to $mm
Sign: copied using model sign convention
Confidence: high
Value written: 79850
Notes: Grouped from EDGAR: Common Stock Value, Common Stocks, Including Additional Paid in Capital. Included common stock value plus additional paid-in capital.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r>
      </text>
    </comment>
    <comment ref="N147" authorId="0">
      <text>
        <r>
          <rPr>
            <b/>
          </rPr>
          <t xml:space="preserve">EDGAR Mapper:
</t>
        </r>
        <r>
          <t xml:space="preserve">EDGAR mapping:
Source: SEC filing
Period: 4Q24
Model row: Model!147 Common Stock &amp; APIC
Mapping type: grouped
Concepts used: CommonStockValue = 0 mm; CommonStocksIncludingAdditionalPaidInCapital = 83276 mm
Units: USD
Unit conversion: raw USD to $mm
Sign: copied using model sign convention
Confidence: high
Value written: 83276
Notes: Grouped from EDGAR: Common Stock Value, Common Stocks, Including Additional Paid in Capital. Included common stock value plus additional paid-in capital.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P147" authorId="0">
      <text>
        <r>
          <rPr>
            <b/>
          </rPr>
          <t xml:space="preserve">EDGAR Mapper:
</t>
        </r>
        <r>
          <t xml:space="preserve">EDGAR mapping:
Source: SEC filing
Period: 1Q25
Model row: Model!147 Common Stock &amp; APIC
Mapping type: grouped
Concepts used: CommonStockValue = 0 mm; CommonStocksIncludingAdditionalPaidInCapital = 84768 mm
Units: USD
Unit conversion: raw USD to $mm
Sign: copied using model sign convention
Confidence: high
Value written: 84768
Notes: Grouped from EDGAR: Common Stock Value, Common Stocks, Including Additional Paid in Capital. Included common stock value plus additional paid-in capital.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r>
      </text>
    </comment>
    <comment ref="Q147" authorId="0">
      <text>
        <r>
          <rPr>
            <b/>
          </rPr>
          <t xml:space="preserve">EDGAR Mapper:
</t>
        </r>
        <r>
          <t xml:space="preserve">EDGAR mapping:
Source: SEC filing
Period: 2Q25
Model row: Model!147 Common Stock &amp; APIC
Mapping type: grouped
Concepts used: CommonStockValue = 0 mm; CommonStocksIncludingAdditionalPaidInCapital = 88711 mm
Units: USD
Unit conversion: raw USD to $mm
Sign: copied using model sign convention
Confidence: high
Value written: 88711
Notes: Grouped from EDGAR: Common Stock Value, Common Stocks, Including Additional Paid in Capital. Included common stock value plus additional paid-in capital.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r>
      </text>
    </comment>
    <comment ref="R147" authorId="0">
      <text>
        <r>
          <rPr>
            <b/>
          </rPr>
          <t xml:space="preserve">EDGAR Mapper:
</t>
        </r>
        <r>
          <t xml:space="preserve">EDGAR mapping:
Source: SEC filing
Period: 3Q25
Model row: Model!147 Common Stock &amp; APIC
Mapping type: grouped
Concepts used: CommonStockValue = 0 mm; CommonStocksIncludingAdditionalPaidInCapital = 89806 mm
Units: USD
Unit conversion: raw USD to $mm
Sign: copied using model sign convention
Confidence: high
Value written: 89806
Notes: Grouped from EDGAR: Common Stock Value, Common Stocks, Including Additional Paid in Capital. Included common stock value plus additional paid-in capital.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r>
      </text>
    </comment>
    <comment ref="S147" authorId="0">
      <text>
        <r>
          <rPr>
            <b/>
          </rPr>
          <t xml:space="preserve">EDGAR Mapper:
</t>
        </r>
        <r>
          <t xml:space="preserve">EDGAR mapping:
Source: SEC filing
Period: 4Q25
Model row: Model!147 Common Stock &amp; APIC
Mapping type: grouped
Concepts used: CommonStockValue = 0 mm; CommonStocksIncludingAdditionalPaidInCapital = 93568 mm
Units: USD
Unit conversion: raw USD to $mm
Sign: copied using model sign convention
Confidence: high
Value written: 93568
Notes: Grouped from EDGAR: Common Stock Value, Common Stocks, Including Additional Paid in Capital. Included common stock value plus additional paid-in capital.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t>
        </r>
      </text>
    </comment>
    <comment ref="U147" authorId="0">
      <text>
        <r>
          <rPr>
            <b/>
          </rPr>
          <t xml:space="preserve">EDGAR Mapper:
</t>
        </r>
        <r>
          <t xml:space="preserve">EDGAR mapping:
Source: SEC filing
Period: 1Q26
Model row: Model!147 Common Stock &amp; APIC
Mapping type: grouped
Concepts used: CommonStockValue = 0 mm; CommonStocksIncludingAdditionalPaidInCapital = 95221 mm
Units: USD
Unit conversion: raw USD to $mm
Sign: copied using model sign convention
Confidence: high
Value written: 95221
Notes: Grouped from EDGAR: Common Stock Value, Common Stocks, Including Additional Paid in Capital. Included common stock value plus additional paid-in capital.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t>
        </r>
      </text>
    </comment>
    <comment ref="V147" authorId="0">
      <text>
        <r>
          <rPr>
            <b/>
          </rPr>
          <t xml:space="preserve">EDGAR Mapper:
</t>
        </r>
        <r>
          <t xml:space="preserve">EDGAR mapping:
Source: SEC filing
Period: 2Q26
Model row: Model!147 Common Stock &amp; APIC
Mapping type: grouped
Concepts used: CommonStockValue = 0 mm; CommonStocksIncludingAdditionalPaidInCapital = 99507 mm
Units: USD
Unit conversion: raw USD to $mm
Sign: copied using model sign convention
Confidence: high
Value written: 99507
Notes: Grouped from EDGAR: Common Stock Value, Common Stocks, Including Additional Paid in Capital. Included common stock value plus additional paid-in capital.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r>
      </text>
    </comment>
    <comment ref="F148" authorId="0">
      <text>
        <r>
          <rPr>
            <b/>
          </rPr>
          <t xml:space="preserve">EDGAR Mapper:
</t>
        </r>
        <r>
          <t xml:space="preserve">EDGAR mapping:
Source: 10-Q, accession #0000320193-23-000006, filed 2023-02-03
Period: 1Q23 / period ended 2022-12-31
Model row: Model!148 Retained Earnings
Mapping type: direct
Concepts used: RetainedEarningsAccumulatedDeficit = 3240 mm
Units: USD
Unit conversion: raw USD to $mm
Sign: copied using model sign convention
Confidence: high
Value written: 3240</t>
        </r>
      </text>
    </comment>
    <comment ref="G148" authorId="0">
      <text>
        <r>
          <rPr>
            <b/>
          </rPr>
          <t xml:space="preserve">EDGAR Mapper:
</t>
        </r>
        <r>
          <t xml:space="preserve">EDGAR mapping:
Source: 10-Q, accession #0000320193-23-000064, filed 2023-05-05
Period: 2Q23 / period ended 2023-04-01
Model row: Model!148 Retained Earnings
Mapping type: direct
Concepts used: RetainedEarningsAccumulatedDeficit = 4336 mm
Units: USD
Unit conversion: raw USD to $mm
Sign: copied using model sign convention
Confidence: high
Value written: 4336</t>
        </r>
      </text>
    </comment>
    <comment ref="H148" authorId="0">
      <text>
        <r>
          <rPr>
            <b/>
          </rPr>
          <t xml:space="preserve">EDGAR Mapper:
</t>
        </r>
        <r>
          <t xml:space="preserve">EDGAR mapping:
Source: 10-Q, accession #0000320193-23-000077, filed 2023-08-04
Period: 3Q23 / period ended 2023-07-01
Model row: Model!148 Retained Earnings
Mapping type: direct
Concepts used: RetainedEarningsAccumulatedDeficit = 1408 mm
Units: USD
Unit conversion: raw USD to $mm
Sign: copied using model sign convention
Confidence: high
Value written: 1408</t>
        </r>
      </text>
    </comment>
    <comment ref="I148" authorId="0">
      <text>
        <r>
          <rPr>
            <b/>
          </rPr>
          <t xml:space="preserve">EDGAR Mapper:
</t>
        </r>
        <r>
          <t xml:space="preserve">EDGAR mapping:
Source: 10-K, accession #0000320193-24-000123, filed 2024-11-01
Period: 4Q23 / period ended 2023-09-30
Model row: Model!148 Retained Earnings
Mapping type: direct
Concepts used: RetainedEarningsAccumulatedDeficit = -214 mm
Units: USD
Unit conversion: raw USD to $mm
Sign: copied using model sign convention
Confidence: high
Value written: -214</t>
        </r>
      </text>
    </comment>
    <comment ref="K148" authorId="0">
      <text>
        <r>
          <rPr>
            <b/>
          </rPr>
          <t xml:space="preserve">EDGAR Mapper:
</t>
        </r>
        <r>
          <t xml:space="preserve">EDGAR mapping:
Source: 10-Q, accession #0000320193-24-000006, filed 2024-02-02
Period: 1Q24 / period ended 2023-12-30
Model row: Model!148 Retained Earnings
Mapping type: direct
Concepts used: RetainedEarningsAccumulatedDeficit = 8242 mm
Units: USD
Unit conversion: raw USD to $mm
Sign: copied using model sign convention
Confidence: high
Value written: 8242</t>
        </r>
      </text>
    </comment>
    <comment ref="L148" authorId="0">
      <text>
        <r>
          <rPr>
            <b/>
          </rPr>
          <t xml:space="preserve">EDGAR Mapper:
</t>
        </r>
        <r>
          <t xml:space="preserve">EDGAR mapping:
Source: 10-Q, accession #0000320193-24-000069, filed 2024-05-03
Period: 2Q24 / period ended 2024-03-30
Model row: Model!148 Retained Earnings
Mapping type: direct
Concepts used: RetainedEarningsAccumulatedDeficit = 4339 mm
Units: USD
Unit conversion: raw USD to $mm
Sign: copied using model sign convention
Confidence: high
Value written: 4339</t>
        </r>
      </text>
    </comment>
    <comment ref="M148" authorId="0">
      <text>
        <r>
          <rPr>
            <b/>
          </rPr>
          <t xml:space="preserve">EDGAR Mapper:
</t>
        </r>
        <r>
          <t xml:space="preserve">EDGAR mapping:
Source: 10-Q, accession #0000320193-24-000081, filed 2024-08-02
Period: 3Q24 / period ended 2024-06-29
Model row: Model!148 Retained Earnings
Mapping type: direct
Concepts used: RetainedEarningsAccumulatedDeficit = -4726 mm
Units: USD
Unit conversion: raw USD to $mm
Sign: copied using model sign convention
Confidence: high
Value written: -4726</t>
        </r>
      </text>
    </comment>
    <comment ref="N148" authorId="0">
      <text>
        <r>
          <rPr>
            <b/>
          </rPr>
          <t xml:space="preserve">EDGAR Mapper:
</t>
        </r>
        <r>
          <t xml:space="preserve">EDGAR mapping:
Source: 10-K, accession #0000320193-25-000079, filed 2025-10-31
Period: 4Q24 / period ended 2024-09-28
Model row: Model!148 Retained Earnings
Mapping type: direct
Concepts used: RetainedEarningsAccumulatedDeficit = -19154 mm
Units: USD
Unit conversion: raw USD to $mm
Sign: copied using model sign convention
Confidence: high
Value written: -19154</t>
        </r>
      </text>
    </comment>
    <comment ref="P148" authorId="0">
      <text>
        <r>
          <rPr>
            <b/>
          </rPr>
          <t xml:space="preserve">EDGAR Mapper:
</t>
        </r>
        <r>
          <t xml:space="preserve">EDGAR mapping:
Source: 10-Q, accession #0000320193-25-000008, filed 2025-01-31
Period: 1Q25 / period ended 2024-12-28
Model row: Model!148 Retained Earnings
Mapping type: direct
Concepts used: RetainedEarningsAccumulatedDeficit = -11221 mm
Units: USD
Unit conversion: raw USD to $mm
Sign: copied using model sign convention
Confidence: high
Value written: -11221</t>
        </r>
      </text>
    </comment>
    <comment ref="Q148" authorId="0">
      <text>
        <r>
          <rPr>
            <b/>
          </rPr>
          <t xml:space="preserve">EDGAR Mapper:
</t>
        </r>
        <r>
          <t xml:space="preserve">EDGAR mapping:
Source: 10-Q, accession #0000320193-25-000057, filed 2025-05-02
Period: 2Q25 / period ended 2025-03-29
Model row: Model!148 Retained Earnings
Mapping type: direct
Concepts used: RetainedEarningsAccumulatedDeficit = -15552 mm
Units: USD
Unit conversion: raw USD to $mm
Sign: copied using model sign convention
Confidence: high
Value written: -15552</t>
        </r>
      </text>
    </comment>
    <comment ref="R148" authorId="0">
      <text>
        <r>
          <rPr>
            <b/>
          </rPr>
          <t xml:space="preserve">EDGAR Mapper:
</t>
        </r>
        <r>
          <t xml:space="preserve">EDGAR mapping:
Source: 10-Q, accession #0000320193-25-000073, filed 2025-08-01
Period: 3Q25 / period ended 2025-06-28
Model row: Model!148 Retained Earnings
Mapping type: direct
Concepts used: RetainedEarningsAccumulatedDeficit = -17607 mm
Units: USD
Unit conversion: raw USD to $mm
Sign: copied using model sign convention
Confidence: high
Value written: -17607</t>
        </r>
      </text>
    </comment>
    <comment ref="S148" authorId="0">
      <text>
        <r>
          <rPr>
            <b/>
          </rPr>
          <t xml:space="preserve">EDGAR Mapper:
</t>
        </r>
        <r>
          <t xml:space="preserve">EDGAR mapping:
Source: 10-Q, accession #0000320193-26-000013, filed 2026-05-01
Period: 4Q25 / period ended 2025-09-27
Model row: Model!148 Retained Earnings
Mapping type: direct
Concepts used: RetainedEarningsAccumulatedDeficit = -14264 mm
Units: USD
Unit conversion: raw USD to $mm
Sign: copied using model sign convention
Confidence: high
Value written: -14264</t>
        </r>
      </text>
    </comment>
    <comment ref="U148" authorId="0">
      <text>
        <r>
          <rPr>
            <b/>
          </rPr>
          <t xml:space="preserve">EDGAR Mapper:
</t>
        </r>
        <r>
          <t xml:space="preserve">EDGAR mapping:
Source: 10-Q, accession #0000320193-26-000006, filed 2026-01-30
Period: 1Q26 / period ended 2025-12-27
Model row: Model!148 Retained Earnings
Mapping type: direct
Concepts used: RetainedEarningsAccumulatedDeficit = -2177 mm
Units: USD
Unit conversion: raw USD to $mm
Sign: copied using model sign convention
Confidence: high
Value written: -2177</t>
        </r>
      </text>
    </comment>
    <comment ref="V148" authorId="0">
      <text>
        <r>
          <rPr>
            <b/>
          </rPr>
          <t xml:space="preserve">EDGAR Mapper:
</t>
        </r>
        <r>
          <t>Replaced a balance-sheet formula with the EDGAR period-end balance so instant values are not derived from prior quarters.</t>
        </r>
      </text>
    </comment>
    <comment ref="Z148" authorId="0">
      <text/>
    </comment>
    <comment ref="AE148" authorId="0">
      <text/>
    </comment>
    <comment ref="C149" authorId="0">
      <text>
        <r>
          <rPr>
            <b/>
          </rPr>
          <t xml:space="preserve">EDGAR Mapper:
</t>
        </r>
        <r>
          <t>Grouped from EDGAR: Treasury Stock Value.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Grouped from EDGAR: Treasury Stock Value.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Grouped from EDGAR: Treasury Stock Value.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Grouped from EDGAR: Treasury Stock Value.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Treasury Stock Value.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Grouped from EDGAR: Treasury Stock Value.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Grouped from EDGAR: Treasury Stock Value.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Grouped from EDGAR: Treasury Stock Value.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Treasury Stock Value.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Grouped from EDGAR: Treasury Stock Value. Filing commentary support: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Grouped from EDGAR: Treasury Stock Value. Filing commentary support: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Grouped from EDGAR: Treasury Stock Value.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Grouped from EDGAR: Treasury Stock Value.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Grouped from EDGAR: Treasury Stock Value.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t>
        </r>
      </text>
    </comment>
    <comment ref="F149" authorId="0">
      <text>
        <r>
          <rPr>
            <b/>
          </rPr>
          <t xml:space="preserve">EDGAR Mapper:
</t>
        </r>
        <r>
          <t xml:space="preserve">EDGAR mapping:
Source: SEC filing
Period: 1Q23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SEC validation: Value is a zero/derived model support value with no direct SEC fact.</t>
        </r>
      </text>
    </comment>
    <comment ref="G149" authorId="0">
      <text>
        <r>
          <rPr>
            <b/>
          </rPr>
          <t xml:space="preserve">EDGAR Mapper:
</t>
        </r>
        <r>
          <t xml:space="preserve">EDGAR mapping:
Source: SEC filing
Period: 2Q23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SEC validation: Value is a zero/derived model support value with no direct SEC fact.</t>
        </r>
      </text>
    </comment>
    <comment ref="H149" authorId="0">
      <text>
        <r>
          <rPr>
            <b/>
          </rPr>
          <t xml:space="preserve">EDGAR Mapper:
</t>
        </r>
        <r>
          <t xml:space="preserve">EDGAR mapping:
Source: SEC filing
Period: 3Q23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SEC validation: Value is a zero/derived model support value with no direct SEC fact.</t>
        </r>
      </text>
    </comment>
    <comment ref="I149" authorId="0">
      <text>
        <r>
          <rPr>
            <b/>
          </rPr>
          <t xml:space="preserve">EDGAR Mapper:
</t>
        </r>
        <r>
          <t xml:space="preserve">EDGAR mapping:
Source: SEC filing
Period: 4Q23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SEC validation: Value is a zero/derived model support value with no direct SEC fact.</t>
        </r>
      </text>
    </comment>
    <comment ref="K149" authorId="0">
      <text>
        <r>
          <rPr>
            <b/>
          </rPr>
          <t xml:space="preserve">EDGAR Mapper:
</t>
        </r>
        <r>
          <t xml:space="preserve">EDGAR mapping:
Source: SEC filing
Period: 1Q24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SEC validation: Value is a zero/derived model support value with no direct SEC fact.</t>
        </r>
      </text>
    </comment>
    <comment ref="L149" authorId="0">
      <text>
        <r>
          <rPr>
            <b/>
          </rPr>
          <t xml:space="preserve">EDGAR Mapper:
</t>
        </r>
        <r>
          <t xml:space="preserve">EDGAR mapping:
Source: SEC filing
Period: 2Q24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SEC validation: Value is a zero/derived model support value with no direct SEC fact.</t>
        </r>
      </text>
    </comment>
    <comment ref="M149" authorId="0">
      <text>
        <r>
          <rPr>
            <b/>
          </rPr>
          <t xml:space="preserve">EDGAR Mapper:
</t>
        </r>
        <r>
          <t xml:space="preserve">EDGAR mapping:
Source: SEC filing
Period: 3Q24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SEC validation: Value is a zero/derived model support value with no direct SEC fact.</t>
        </r>
      </text>
    </comment>
    <comment ref="N149" authorId="0">
      <text>
        <r>
          <rPr>
            <b/>
          </rPr>
          <t xml:space="preserve">EDGAR Mapper:
</t>
        </r>
        <r>
          <t xml:space="preserve">EDGAR mapping:
Source: SEC filing
Period: 4Q24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SEC validation: Value is a zero/derived model support value with no direct SEC fact.</t>
        </r>
      </text>
    </comment>
    <comment ref="P149" authorId="0">
      <text>
        <r>
          <rPr>
            <b/>
          </rPr>
          <t xml:space="preserve">EDGAR Mapper:
</t>
        </r>
        <r>
          <t xml:space="preserve">EDGAR mapping:
Source: SEC filing
Period: 1Q25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SEC validation: Value is a zero/derived model support value with no direct SEC fact.</t>
        </r>
      </text>
    </comment>
    <comment ref="Q149" authorId="0">
      <text>
        <r>
          <rPr>
            <b/>
          </rPr>
          <t xml:space="preserve">EDGAR Mapper:
</t>
        </r>
        <r>
          <t xml:space="preserve">EDGAR mapping:
Source: SEC filing
Period: 2Q25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SEC validation: Value is a zero/derived model support value with no direct SEC fact.</t>
        </r>
      </text>
    </comment>
    <comment ref="R149" authorId="0">
      <text>
        <r>
          <rPr>
            <b/>
          </rPr>
          <t xml:space="preserve">EDGAR Mapper:
</t>
        </r>
        <r>
          <t xml:space="preserve">EDGAR mapping:
Source: SEC filing
Period: 3Q25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SEC validation: Value is a zero/derived model support value with no direct SEC fact.</t>
        </r>
      </text>
    </comment>
    <comment ref="S149" authorId="0">
      <text>
        <r>
          <rPr>
            <b/>
          </rPr>
          <t xml:space="preserve">EDGAR Mapper:
</t>
        </r>
        <r>
          <t xml:space="preserve">EDGAR mapping:
Source: SEC filing
Period: 4Q25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SEC validation: Value is a zero/derived model support value with no direct SEC fact.</t>
        </r>
      </text>
    </comment>
    <comment ref="U149" authorId="0">
      <text>
        <r>
          <rPr>
            <b/>
          </rPr>
          <t xml:space="preserve">EDGAR Mapper:
</t>
        </r>
        <r>
          <t xml:space="preserve">EDGAR mapping:
Source: SEC filing
Period: 1Q26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r>
      </text>
    </comment>
    <comment ref="V149" authorId="0">
      <text>
        <r>
          <rPr>
            <b/>
          </rPr>
          <t xml:space="preserve">EDGAR Mapper:
</t>
        </r>
        <r>
          <t xml:space="preserve">EDGAR mapping:
Source: SEC filing
Period: 2Q26
Model row: Model!149 Treasury Stock
Mapping type: grouped
Concepts used: TreasuryStockValue = 0 mm
Units: not specified
Unit conversion: raw USD to $mm
Sign: copied using model sign convention
Confidence: medium
Value written: 0
Notes: Grouped from EDGAR: Treasury Stock Value.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SEC validation: Value is a zero/derived model support value with no direct SEC fact.</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#0000320193-23-000006, filed 2023-02-03
Period: 1Q23 / period ended 2022-12-31
Model row: Model!150 Accumulated Other Comprehensive Income (AOCI)
Mapping type: direct
Concepts used: AccumulatedOtherComprehensiveIncomeLossNetOfTax = -12912 mm
Units: USD
Unit conversion: raw USD to $mm
Sign: copied using model sign convention
Confidence: high
Value written: -12912</t>
        </r>
      </text>
    </comment>
    <comment ref="G150" authorId="0">
      <text>
        <r>
          <rPr>
            <b/>
          </rPr>
          <t xml:space="preserve">EDGAR Mapper:
</t>
        </r>
        <r>
          <t xml:space="preserve">EDGAR mapping:
Source: 10-Q, accession #0000320193-23-000064, filed 2023-05-05
Period: 2Q23 / period ended 2023-04-01
Model row: Model!150 Accumulated Other Comprehensive Income (AOCI)
Mapping type: direct
Concepts used: AccumulatedOtherComprehensiveIncomeLossNetOfTax = -11746 mm
Units: USD
Unit conversion: raw USD to $mm
Sign: copied using model sign convention
Confidence: high
Value written: -11746</t>
        </r>
      </text>
    </comment>
    <comment ref="H150" authorId="0">
      <text>
        <r>
          <rPr>
            <b/>
          </rPr>
          <t xml:space="preserve">EDGAR Mapper:
</t>
        </r>
        <r>
          <t xml:space="preserve">EDGAR mapping:
Source: 10-Q, accession #0000320193-23-000077, filed 2023-08-04
Period: 3Q23 / period ended 2023-07-01
Model row: Model!150 Accumulated Other Comprehensive Income (AOCI)
Mapping type: direct
Concepts used: AccumulatedOtherComprehensiveIncomeLossNetOfTax = -11801 mm
Units: USD
Unit conversion: raw USD to $mm
Sign: copied using model sign convention
Confidence: high
Value written: -11801</t>
        </r>
      </text>
    </comment>
    <comment ref="I150" authorId="0">
      <text>
        <r>
          <rPr>
            <b/>
          </rPr>
          <t xml:space="preserve">EDGAR Mapper:
</t>
        </r>
        <r>
          <t xml:space="preserve">EDGAR mapping:
Source: 10-K, accession #0000320193-24-000123, filed 2024-11-01
Period: 4Q23 / period ended 2023-09-30
Model row: Model!150 Accumulated Other Comprehensive Income (AOCI)
Mapping type: direct
Concepts used: AccumulatedOtherComprehensiveIncomeLossNetOfTax = -11452 mm
Units: USD
Unit conversion: raw USD to $mm
Sign: copied using model sign convention
Confidence: high
Value written: -11452</t>
        </r>
      </text>
    </comment>
    <comment ref="K150" authorId="0">
      <text>
        <r>
          <rPr>
            <b/>
          </rPr>
          <t xml:space="preserve">EDGAR Mapper:
</t>
        </r>
        <r>
          <t xml:space="preserve">EDGAR mapping:
Source: 10-Q, accession #0000320193-24-000006, filed 2024-02-02
Period: 1Q24 / period ended 2023-12-30
Model row: Model!150 Accumulated Other Comprehensive Income (AOCI)
Mapping type: direct
Concepts used: AccumulatedOtherComprehensiveIncomeLossNetOfTax = -9378 mm
Units: USD
Unit conversion: raw USD to $mm
Sign: copied using model sign convention
Confidence: high
Value written: -9378</t>
        </r>
      </text>
    </comment>
    <comment ref="L150" authorId="0">
      <text>
        <r>
          <rPr>
            <b/>
          </rPr>
          <t xml:space="preserve">EDGAR Mapper:
</t>
        </r>
        <r>
          <t xml:space="preserve">EDGAR mapping:
Source: 10-Q, accession #0000320193-24-000069, filed 2024-05-03
Period: 2Q24 / period ended 2024-03-30
Model row: Model!150 Accumulated Other Comprehensive Income (AOCI)
Mapping type: direct
Concepts used: AccumulatedOtherComprehensiveIncomeLossNetOfTax = -8960 mm
Units: USD
Unit conversion: raw USD to $mm
Sign: copied using model sign convention
Confidence: high
Value written: -8960</t>
        </r>
      </text>
    </comment>
    <comment ref="M150" authorId="0">
      <text>
        <r>
          <rPr>
            <b/>
          </rPr>
          <t xml:space="preserve">EDGAR Mapper:
</t>
        </r>
        <r>
          <t xml:space="preserve">EDGAR mapping:
Source: 10-Q, accession #0000320193-24-000081, filed 2024-08-02
Period: 3Q24 / period ended 2024-06-29
Model row: Model!150 Accumulated Other Comprehensive Income (AOCI)
Mapping type: direct
Concepts used: AccumulatedOtherComprehensiveIncomeLossNetOfTax = -8416 mm
Units: USD
Unit conversion: raw USD to $mm
Sign: copied using model sign convention
Confidence: high
Value written: -8416</t>
        </r>
      </text>
    </comment>
    <comment ref="N150" authorId="0">
      <text>
        <r>
          <rPr>
            <b/>
          </rPr>
          <t xml:space="preserve">EDGAR Mapper:
</t>
        </r>
        <r>
          <t xml:space="preserve">EDGAR mapping:
Source: 10-K, accession #0000320193-25-000079, filed 2025-10-31
Period: 4Q24 / period ended 2024-09-28
Model row: Model!150 Accumulated Other Comprehensive Income (AOCI)
Mapping type: direct
Concepts used: AccumulatedOtherComprehensiveIncomeLossNetOfTax = -7172 mm
Units: USD
Unit conversion: raw USD to $mm
Sign: copied using model sign convention
Confidence: high
Value written: -7172</t>
        </r>
      </text>
    </comment>
    <comment ref="P150" authorId="0">
      <text>
        <r>
          <rPr>
            <b/>
          </rPr>
          <t xml:space="preserve">EDGAR Mapper:
</t>
        </r>
        <r>
          <t xml:space="preserve">EDGAR mapping:
Source: 10-Q, accession #0000320193-25-000008, filed 2025-01-31
Period: 1Q25 / period ended 2024-12-28
Model row: Model!150 Accumulated Other Comprehensive Income (AOCI)
Mapping type: direct
Concepts used: AccumulatedOtherComprehensiveIncomeLossNetOfTax = -6789 mm
Units: USD
Unit conversion: raw USD to $mm
Sign: copied using model sign convention
Confidence: high
Value written: -6789</t>
        </r>
      </text>
    </comment>
    <comment ref="Q150" authorId="0">
      <text>
        <r>
          <rPr>
            <b/>
          </rPr>
          <t xml:space="preserve">EDGAR Mapper:
</t>
        </r>
        <r>
          <t xml:space="preserve">EDGAR mapping:
Source: 10-Q, accession #0000320193-25-000057, filed 2025-05-02
Period: 2Q25 / period ended 2025-03-29
Model row: Model!150 Accumulated Other Comprehensive Income (AOCI)
Mapping type: direct
Concepts used: AccumulatedOtherComprehensiveIncomeLossNetOfTax = -6363 mm
Units: USD
Unit conversion: raw USD to $mm
Sign: copied using model sign convention
Confidence: high
Value written: -6363</t>
        </r>
      </text>
    </comment>
    <comment ref="R150" authorId="0">
      <text>
        <r>
          <rPr>
            <b/>
          </rPr>
          <t xml:space="preserve">EDGAR Mapper:
</t>
        </r>
        <r>
          <t xml:space="preserve">EDGAR mapping:
Source: 10-Q, accession #0000320193-25-000073, filed 2025-08-01
Period: 3Q25 / period ended 2025-06-28
Model row: Model!150 Accumulated Other Comprehensive Income (AOCI)
Mapping type: direct
Concepts used: AccumulatedOtherComprehensiveIncomeLossNetOfTax = -6369 mm
Units: USD
Unit conversion: raw USD to $mm
Sign: copied using model sign convention
Confidence: high
Value written: -6369</t>
        </r>
      </text>
    </comment>
    <comment ref="S150" authorId="0">
      <text>
        <r>
          <rPr>
            <b/>
          </rPr>
          <t xml:space="preserve">EDGAR Mapper:
</t>
        </r>
        <r>
          <t xml:space="preserve">EDGAR mapping:
Source: 10-Q, accession #0000320193-26-000013, filed 2026-05-01
Period: 4Q25 / period ended 2025-09-27
Model row: Model!150 Accumulated Other Comprehensive Income (AOCI)
Mapping type: direct
Concepts used: AccumulatedOtherComprehensiveIncomeLossNetOfTax = -5571 mm
Units: USD
Unit conversion: raw USD to $mm
Sign: copied using model sign convention
Confidence: high
Value written: -5571</t>
        </r>
      </text>
    </comment>
    <comment ref="U150" authorId="0">
      <text>
        <r>
          <rPr>
            <b/>
          </rPr>
          <t xml:space="preserve">EDGAR Mapper:
</t>
        </r>
        <r>
          <t>Replaced a balance-sheet formula with the EDGAR period-end balance so instant values are not derived from prior quarters.</t>
        </r>
      </text>
    </comment>
    <comment ref="V150" authorId="0">
      <text>
        <r>
          <rPr>
            <b/>
          </rPr>
          <t xml:space="preserve">EDGAR Mapper:
</t>
        </r>
        <r>
          <t>Replaced a balance-sheet formula with the EDGAR period-end balance so instant values are not derived from prior quarters.</t>
        </r>
      </text>
    </comment>
    <comment ref="Z151" authorId="0">
      <text/>
    </comment>
    <comment ref="AE151" authorId="0">
      <text/>
    </comment>
    <comment ref="C153" authorId="0">
      <text>
        <r>
          <rPr>
            <b/>
          </rPr>
          <t xml:space="preserve">EDGAR Mapper:
</t>
        </r>
        <r>
          <t>Needs review: one or more historical periods were left unchanged because no matching EDGAR fact was found.</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SEC validation blocked write: Unit mismatch: ShareBasedCompensation is reported in USD, expected shares. Needs review: one or more historical periods were left unchanged because no matching EDGAR fact was found.</t>
        </r>
      </text>
    </comment>
    <comment ref="F246" authorId="0">
      <text>
        <r>
          <rPr>
            <b/>
          </rPr>
          <t xml:space="preserve">EDGAR Mapper:
</t>
        </r>
        <r>
          <t>SEC validation blocked write: Unit mismatch: ShareBasedCompensation is reported in USD, expected shares.</t>
        </r>
      </text>
    </comment>
    <comment ref="G246" authorId="0">
      <text>
        <r>
          <rPr>
            <b/>
          </rPr>
          <t xml:space="preserve">EDGAR Mapper:
</t>
        </r>
        <r>
          <t>SEC validation blocked formula refresh: Unit mismatch: ShareBasedCompensation is reported in USD, expected shares.</t>
        </r>
      </text>
    </comment>
    <comment ref="H246" authorId="0">
      <text>
        <r>
          <rPr>
            <b/>
          </rPr>
          <t xml:space="preserve">EDGAR Mapper:
</t>
        </r>
        <r>
          <t>SEC validation blocked formula refresh: Unit mismatch: ShareBasedCompensation is reported in USD, expected shares.</t>
        </r>
      </text>
    </comment>
    <comment ref="I246" authorId="0">
      <text>
        <r>
          <rPr>
            <b/>
          </rPr>
          <t xml:space="preserve">EDGAR Mapper:
</t>
        </r>
        <r>
          <t>SEC validation blocked write: Unit mismatch: ShareBasedCompensation is reported in USD, expected shares.</t>
        </r>
      </text>
    </comment>
    <comment ref="K246" authorId="0">
      <text>
        <r>
          <rPr>
            <b/>
          </rPr>
          <t xml:space="preserve">EDGAR Mapper:
</t>
        </r>
        <r>
          <t>SEC validation blocked write: Unit mismatch: ShareBasedCompensation is reported in USD, expected shares.</t>
        </r>
      </text>
    </comment>
    <comment ref="L246" authorId="0">
      <text>
        <r>
          <rPr>
            <b/>
          </rPr>
          <t xml:space="preserve">EDGAR Mapper:
</t>
        </r>
        <r>
          <t>SEC validation blocked formula refresh: Unit mismatch: ShareBasedCompensation is reported in USD, expected shares.</t>
        </r>
      </text>
    </comment>
    <comment ref="M246" authorId="0">
      <text>
        <r>
          <rPr>
            <b/>
          </rPr>
          <t xml:space="preserve">EDGAR Mapper:
</t>
        </r>
        <r>
          <t>SEC validation blocked write: Unit mismatch: ShareBasedCompensation is reported in USD, expected shares.</t>
        </r>
      </text>
    </comment>
    <comment ref="N246" authorId="0">
      <text>
        <r>
          <rPr>
            <b/>
          </rPr>
          <t xml:space="preserve">EDGAR Mapper:
</t>
        </r>
        <r>
          <t>SEC validation blocked formula refresh: Unit mismatch: ShareBasedCompensation is reported in USD, expected shares.</t>
        </r>
      </text>
    </comment>
    <comment ref="P246" authorId="0">
      <text>
        <r>
          <rPr>
            <b/>
          </rPr>
          <t xml:space="preserve">EDGAR Mapper:
</t>
        </r>
        <r>
          <t>SEC validation blocked write: Unit mismatch: ShareBasedCompensation is reported in USD, expected shares.</t>
        </r>
      </text>
    </comment>
    <comment ref="Q246" authorId="0">
      <text>
        <r>
          <rPr>
            <b/>
          </rPr>
          <t xml:space="preserve">EDGAR Mapper:
</t>
        </r>
        <r>
          <t>SEC validation blocked write: Unit mismatch: ShareBasedCompensation is reported in USD, expected shares.</t>
        </r>
      </text>
    </comment>
    <comment ref="R246" authorId="0">
      <text>
        <r>
          <rPr>
            <b/>
          </rPr>
          <t xml:space="preserve">EDGAR Mapper:
</t>
        </r>
        <r>
          <t>SEC validation blocked write: Unit mismatch: ShareBasedCompensation is reported in USD, expected shares.</t>
        </r>
      </text>
    </comment>
    <comment ref="S246" authorId="0">
      <text>
        <r>
          <rPr>
            <b/>
          </rPr>
          <t xml:space="preserve">EDGAR Mapper:
</t>
        </r>
        <r>
          <t>SEC validation blocked formula refresh: Unit mismatch: ShareBasedCompensation is reported in USD, expected shares.</t>
        </r>
      </text>
    </comment>
    <comment ref="U246" authorId="0">
      <text>
        <r>
          <rPr>
            <b/>
          </rPr>
          <t xml:space="preserve">EDGAR Mapper:
</t>
        </r>
        <r>
          <t>SEC validation blocked write: Unit mismatch: ShareBasedCompensation is reported in USD, expected shares.</t>
        </r>
      </text>
    </comment>
    <comment ref="V246" authorId="0">
      <text>
        <r>
          <rPr>
            <b/>
          </rPr>
          <t xml:space="preserve">EDGAR Mapper:
</t>
        </r>
        <r>
          <t>SEC validation blocked formula refresh: Unit mismatch: ShareBasedCompensation is reported in USD, expected shares.</t>
        </r>
      </text>
    </comment>
    <comment ref="C254" authorId="0">
      <text>
        <r>
          <rPr>
            <b/>
          </rPr>
          <t xml:space="preserve">EDGAR Mapper:
</t>
        </r>
        <r>
          <t>Grouped from EDGAR: Payments of Dividends (derived Q2). Dividends normalized from EDGAR cash dividends paid concepts. Quarterly value was derived from Payments of Dividends less 1Q23. Grouped from EDGAR: Payments of Dividends (derived Q3). Dividends normalized from EDGAR cash dividends paid concepts. Quarterly value was derived from Payments of Dividends less 1Q23, 2Q23. Grouped from EDGAR: Payments of Dividends (derived Q4). Dividends normalized from EDGAR cash dividends paid concepts. Quarterly value was derived from Payments of Dividends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Grouped from EDGAR: Payments of Dividends (derived Q2). Dividends normalized from EDGAR cash dividends paid concepts. Quarterly value was derived from Payments of Dividends less 1Q24. Grouped from EDGAR: Payments of Dividends (derived Q3). Dividends normalized from EDGAR cash dividends paid concepts. Quarterly value was derived from Payments of Dividends less 1Q24, 2Q24. Grouped from EDGAR: Payments of Dividends (derived Q4). Dividends normalized from EDGAR cash dividends paid concepts. Quarterly value was derived from Payments of Dividends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Grouped from EDGAR: Payments of Dividends (derived Q2). Dividends normalized from EDGAR cash dividends paid concepts. Quarterly value was derived from Payments of Dividends less 1Q25. Grouped from EDGAR: Payments of Dividends (derived Q3). Dividends normalized from EDGAR cash dividends paid concepts. Quarterly value was derived from Payments of Dividends less 1Q25, 2Q25. Grouped from EDGAR: Payments of Dividends (derived Q4). Dividends normalized from EDGAR cash dividends paid concepts. Quarterly value was derived from Payments of Dividends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F254" authorId="0">
      <text>
        <r>
          <rPr>
            <b/>
          </rPr>
          <t xml:space="preserve">EDGAR Mapper:
</t>
        </r>
        <r>
          <t xml:space="preserve">EDGAR mapping:
Source: 10-Q, accession #0000320193-23-000006, filed 2023-02-03
Period: 1Q23 / period ended 2022-12-31
Model row: Model!254 Dividends
Mapping type: direct
Concepts used: PaymentsOfDividends = 3768 mm
Units: USD
Unit conversion: raw USD to $mm
Sign: inverted because model expects this row as negative
Confidence: high
Value written: -3768
Notes: Dividends normalized from EDGAR cash dividends paid concepts.</t>
        </r>
      </text>
    </comment>
    <comment ref="G254" authorId="0">
      <text>
        <r>
          <rPr>
            <b/>
          </rPr>
          <t xml:space="preserve">EDGAR Mapper:
</t>
        </r>
        <r>
          <t xml:space="preserve">EDGAR mapping:
Source: 10-Q, accession #0000320193-23-000064, filed 2023-05-05
Period: 2Q23 / period ended 2023-04-01
Model row: Model!254 Dividends
Mapping type: grouped
Concepts used: PaymentsOfDividends = 3650 mm
Units: USD
Unit conversion: raw USD to $mm
Sign: inverted because model expects this row as negative
Confidence: medium
Value written: -3650
Notes: Grouped from EDGAR: Payments of Dividends (derived Q2). Dividends normalized from EDGAR cash dividends paid concepts. Quarterly value was derived from Payments of Dividends less 1Q23.</t>
        </r>
      </text>
    </comment>
    <comment ref="H254" authorId="0">
      <text>
        <r>
          <rPr>
            <b/>
          </rPr>
          <t xml:space="preserve">EDGAR Mapper:
</t>
        </r>
        <r>
          <t xml:space="preserve">EDGAR mapping:
Source: 10-Q, accession #0000320193-23-000077, filed 2023-08-04
Period: 3Q23 / period ended 2023-07-01
Model row: Model!254 Dividends
Mapping type: grouped
Concepts used: PaymentsOfDividends = 3849 mm
Units: USD
Unit conversion: raw USD to $mm
Sign: inverted because model expects this row as negative
Confidence: medium
Value written: -3849
Notes: Grouped from EDGAR: Payments of Dividends (derived Q3). Dividends normalized from EDGAR cash dividends paid concepts. Quarterly value was derived from Payments of Dividends less 1Q23, 2Q23.</t>
        </r>
      </text>
    </comment>
    <comment ref="I254" authorId="0">
      <text>
        <r>
          <rPr>
            <b/>
          </rPr>
          <t xml:space="preserve">EDGAR Mapper:
</t>
        </r>
        <r>
          <t xml:space="preserve">EDGAR mapping:
Source: 10-K, accession #0000320193-23-000106, filed 2023-11-03
Period: 4Q23 / period ended 2023-09-30
Model row: Model!254 Dividends
Mapping type: grouped
Concepts used: PaymentsOfDividends = 3758 mm
Units: USD
Unit conversion: raw USD to $mm
Sign: inverted because model expects this row as negative
Confidence: medium
Value written: -3758
Notes: Grouped from EDGAR: Payments of Dividends (derived Q4). Dividends normalized from EDGAR cash dividends paid concepts. Quarterly value was derived from Payments of Dividends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r>
      </text>
    </comment>
    <comment ref="K254" authorId="0">
      <text>
        <r>
          <rPr>
            <b/>
          </rPr>
          <t xml:space="preserve">EDGAR Mapper:
</t>
        </r>
        <r>
          <t xml:space="preserve">EDGAR mapping:
Source: 10-Q, accession #0000320193-24-000006, filed 2024-02-02
Period: 1Q24 / period ended 2023-12-30
Model row: Model!254 Dividends
Mapping type: direct
Concepts used: PaymentsOfDividends = 3825 mm
Units: USD
Unit conversion: raw USD to $mm
Sign: inverted because model expects this row as negative
Confidence: high
Value written: -3825
Notes: Dividends normalized from EDGAR cash dividends paid concepts.</t>
        </r>
      </text>
    </comment>
    <comment ref="L254" authorId="0">
      <text>
        <r>
          <rPr>
            <b/>
          </rPr>
          <t xml:space="preserve">EDGAR Mapper:
</t>
        </r>
        <r>
          <t xml:space="preserve">EDGAR mapping:
Source: 10-Q, accession #0000320193-24-000069, filed 2024-05-03
Period: 2Q24 / period ended 2024-03-30
Model row: Model!254 Dividends
Mapping type: grouped
Concepts used: PaymentsOfDividends = 3710 mm
Units: USD
Unit conversion: raw USD to $mm
Sign: inverted because model expects this row as negative
Confidence: medium
Value written: -3710
Notes: Grouped from EDGAR: Payments of Dividends (derived Q2). Dividends normalized from EDGAR cash dividends paid concepts. Quarterly value was derived from Payments of Dividends less 1Q24.</t>
        </r>
      </text>
    </comment>
    <comment ref="M254" authorId="0">
      <text>
        <r>
          <rPr>
            <b/>
          </rPr>
          <t xml:space="preserve">EDGAR Mapper:
</t>
        </r>
        <r>
          <t xml:space="preserve">EDGAR mapping:
Source: 10-Q, accession #0000320193-24-000081, filed 2024-08-02
Period: 3Q24 / period ended 2024-06-29
Model row: Model!254 Dividends
Mapping type: grouped
Concepts used: PaymentsOfDividends = 3895 mm
Units: USD
Unit conversion: raw USD to $mm
Sign: inverted because model expects this row as negative
Confidence: medium
Value written: -3895
Notes: Grouped from EDGAR: Payments of Dividends (derived Q3). Dividends normalized from EDGAR cash dividends paid concepts. Quarterly value was derived from Payments of Dividends less 1Q24, 2Q24.</t>
        </r>
      </text>
    </comment>
    <comment ref="N254" authorId="0">
      <text>
        <r>
          <rPr>
            <b/>
          </rPr>
          <t xml:space="preserve">EDGAR Mapper:
</t>
        </r>
        <r>
          <t xml:space="preserve">EDGAR mapping:
Source: 10-K, accession #0000320193-24-000123, filed 2024-11-01
Period: 4Q24 / period ended 2024-09-28
Model row: Model!254 Dividends
Mapping type: grouped
Concepts used: PaymentsOfDividends = 3804 mm
Units: USD
Unit conversion: raw USD to $mm
Sign: inverted because model expects this row as negative
Confidence: medium
Value written: -3804
Notes: Grouped from EDGAR: Payments of Dividends (derived Q4). Dividends normalized from EDGAR cash dividends paid concepts. Quarterly value was derived from Payments of Dividends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r>
      </text>
    </comment>
    <comment ref="P254" authorId="0">
      <text>
        <r>
          <rPr>
            <b/>
          </rPr>
          <t xml:space="preserve">EDGAR Mapper:
</t>
        </r>
        <r>
          <t xml:space="preserve">EDGAR mapping:
Source: 10-Q, accession #0000320193-25-000008, filed 2025-01-31
Period: 1Q25 / period ended 2024-12-28
Model row: Model!254 Dividends
Mapping type: direct
Concepts used: PaymentsOfDividends = 3856 mm
Units: USD
Unit conversion: raw USD to $mm
Sign: inverted because model expects this row as negative
Confidence: high
Value written: -3856
Notes: Dividends normalized from EDGAR cash dividends paid concepts.</t>
        </r>
      </text>
    </comment>
    <comment ref="Q254" authorId="0">
      <text>
        <r>
          <rPr>
            <b/>
          </rPr>
          <t xml:space="preserve">EDGAR Mapper:
</t>
        </r>
        <r>
          <t xml:space="preserve">EDGAR mapping:
Source: 10-Q, accession #0000320193-25-000057, filed 2025-05-02
Period: 2Q25 / period ended 2025-03-29
Model row: Model!254 Dividends
Mapping type: grouped
Concepts used: PaymentsOfDividends = 3758 mm
Units: USD
Unit conversion: raw USD to $mm
Sign: inverted because model expects this row as negative
Confidence: medium
Value written: -3758
Notes: Grouped from EDGAR: Payments of Dividends (derived Q2). Dividends normalized from EDGAR cash dividends paid concepts. Quarterly value was derived from Payments of Dividends less 1Q25.</t>
        </r>
      </text>
    </comment>
    <comment ref="R254" authorId="0">
      <text>
        <r>
          <rPr>
            <b/>
          </rPr>
          <t xml:space="preserve">EDGAR Mapper:
</t>
        </r>
        <r>
          <t xml:space="preserve">EDGAR mapping:
Source: 10-Q, accession #0000320193-25-000073, filed 2025-08-01
Period: 3Q25 / period ended 2025-06-28
Model row: Model!254 Dividends
Mapping type: grouped
Concepts used: PaymentsOfDividends = 3945 mm
Units: USD
Unit conversion: raw USD to $mm
Sign: inverted because model expects this row as negative
Confidence: medium
Value written: -3945
Notes: Grouped from EDGAR: Payments of Dividends (derived Q3). Dividends normalized from EDGAR cash dividends paid concepts. Quarterly value was derived from Payments of Dividends less 1Q25, 2Q25.</t>
        </r>
      </text>
    </comment>
    <comment ref="S254" authorId="0">
      <text>
        <r>
          <rPr>
            <b/>
          </rPr>
          <t xml:space="preserve">EDGAR Mapper:
</t>
        </r>
        <r>
          <t xml:space="preserve">EDGAR mapping:
Source: 10-K, accession #0000320193-25-000079, filed 2025-10-31
Period: 4Q25 / period ended 2025-09-27
Model row: Model!254 Dividends
Mapping type: grouped
Concepts used: PaymentsOfDividends = 3862 mm
Units: USD
Unit conversion: raw USD to $mm
Sign: inverted because model expects this row as negative
Confidence: medium
Value written: -3862
Notes: Grouped from EDGAR: Payments of Dividends (derived Q4). Dividends normalized from EDGAR cash dividends paid concepts. Quarterly value was derived from Payments of Dividends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r>
      </text>
    </comment>
    <comment ref="U254" authorId="0">
      <text>
        <r>
          <rPr>
            <b/>
          </rPr>
          <t xml:space="preserve">EDGAR Mapper:
</t>
        </r>
        <r>
          <t xml:space="preserve">EDGAR mapping:
Source: 10-Q, accession #0000320193-26-000006, filed 2026-01-30
Period: 1Q26 / period ended 2025-12-27
Model row: Model!254 Dividends
Mapping type: direct
Concepts used: PaymentsOfDividends = 3921 mm
Units: USD
Unit conversion: raw USD to $mm
Sign: inverted because model expects this row as negative
Confidence: high
Value written: -3921
Notes: Dividends normalized from EDGAR cash dividends paid concepts.</t>
        </r>
      </text>
    </comment>
    <comment ref="V254" authorId="0">
      <text>
        <r>
          <rPr>
            <b/>
          </rPr>
          <t xml:space="preserve">EDGAR Mapper:
</t>
        </r>
        <r>
          <t>Updated the preserved formula's cached result from EDGAR while keeping the model formula in place.</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mapping:
Source: SEC inline XBRL segment table
Period: 1Q23
Model row: Segment Analysis!F8 Services
Mapping type: segment
Concepts used: reportable segment Services Revenue = 20766 mm
Unit conversion: raw USD to $mm
Sign: copied using model sign convention
Confidence: high
Notes: Segment Analysis rows may be relabeled to EDGAR reportable segments when the template exposes writable segment input rows.</t>
        </r>
      </text>
    </comment>
    <comment ref="G8" authorId="0">
      <text>
        <r>
          <rPr>
            <b/>
          </rPr>
          <t xml:space="preserve">EDGAR Mapper:
</t>
        </r>
        <r>
          <t xml:space="preserve">EDGAR mapping:
Source: SEC inline XBRL segment table
Period: 2Q23
Model row: Segment Analysis!G8 Services
Mapping type: segment
Concepts used: reportable segment Services Revenue = 20907 mm
Unit conversion: raw USD to $mm
Sign: copied using model sign convention
Confidence: high
Notes: Segment Analysis rows may be relabeled to EDGAR reportable segments when the template exposes writable segment input rows.</t>
        </r>
      </text>
    </comment>
    <comment ref="H8" authorId="0">
      <text>
        <r>
          <rPr>
            <b/>
          </rPr>
          <t xml:space="preserve">EDGAR Mapper:
</t>
        </r>
        <r>
          <t xml:space="preserve">EDGAR mapping:
Source: SEC inline XBRL segment table
Period: 3Q23
Model row: Segment Analysis!H8 Services
Mapping type: segment
Concepts used: reportable segment Services Revenue = 21213 mm
Unit conversion: raw USD to $mm
Sign: copied using model sign convention
Confidence: high
Notes: Segment Analysis rows may be relabeled to EDGAR reportable segments when the template exposes writable segment input rows.</t>
        </r>
      </text>
    </comment>
    <comment ref="I8" authorId="0">
      <text>
        <r>
          <rPr>
            <b/>
          </rPr>
          <t xml:space="preserve">EDGAR Mapper:
</t>
        </r>
        <r>
          <t xml:space="preserve">EDGAR mapping:
Source: SEC inline XBRL segment table
Period: 4Q23
Model row: Segment Analysis!I8 Services
Mapping type: segment
Concepts used: reportable segment Services Revenue = 22314 mm
Unit conversion: raw USD to $mm
Sign: copied using model sign convention
Confidence: high
Notes: Segment Analysis rows may be relabeled to EDGAR reportable segments when the template exposes writable segment input rows.</t>
        </r>
      </text>
    </comment>
    <comment ref="K8" authorId="0">
      <text>
        <r>
          <rPr>
            <b/>
          </rPr>
          <t xml:space="preserve">EDGAR Mapper:
</t>
        </r>
        <r>
          <t xml:space="preserve">EDGAR mapping:
Source: SEC inline XBRL segment table
Period: 1Q24
Model row: Segment Analysis!K8 Services
Mapping type: segment
Concepts used: reportable segment Services Revenue = 23117 mm
Unit conversion: raw USD to $mm
Sign: copied using model sign convention
Confidence: high
Notes: Segment Analysis rows may be relabeled to EDGAR reportable segments when the template exposes writable segment input rows.</t>
        </r>
      </text>
    </comment>
    <comment ref="L8" authorId="0">
      <text>
        <r>
          <rPr>
            <b/>
          </rPr>
          <t xml:space="preserve">EDGAR Mapper:
</t>
        </r>
        <r>
          <t xml:space="preserve">EDGAR mapping:
Source: SEC inline XBRL segment table
Period: 2Q24
Model row: Segment Analysis!L8 Services
Mapping type: segment
Concepts used: reportable segment Services Revenue = 23867 mm
Unit conversion: raw USD to $mm
Sign: copied using model sign convention
Confidence: high
Notes: Segment Analysis rows may be relabeled to EDGAR reportable segments when the template exposes writable segment input rows.</t>
        </r>
      </text>
    </comment>
    <comment ref="M8" authorId="0">
      <text>
        <r>
          <rPr>
            <b/>
          </rPr>
          <t xml:space="preserve">EDGAR Mapper:
</t>
        </r>
        <r>
          <t xml:space="preserve">EDGAR mapping:
Source: SEC inline XBRL segment table
Period: 3Q24
Model row: Segment Analysis!M8 Services
Mapping type: segment
Concepts used: reportable segment Services Revenue = 24213 mm
Unit conversion: raw USD to $mm
Sign: copied using model sign convention
Confidence: high
Notes: Segment Analysis rows may be relabeled to EDGAR reportable segments when the template exposes writable segment input rows.</t>
        </r>
      </text>
    </comment>
    <comment ref="N8" authorId="0">
      <text>
        <r>
          <rPr>
            <b/>
          </rPr>
          <t xml:space="preserve">EDGAR Mapper:
</t>
        </r>
        <r>
          <t xml:space="preserve">EDGAR mapping:
Source: SEC inline XBRL segment table
Period: 4Q24
Model row: Segment Analysis!N8 Services
Mapping type: segment
Concepts used: reportable segment Services Revenue = 24972 mm
Unit conversion: raw USD to $mm
Sign: copied using model sign convention
Confidence: high
Notes: Segment Analysis rows may be relabeled to EDGAR reportable segments when the template exposes writable segment input rows.</t>
        </r>
      </text>
    </comment>
    <comment ref="P8" authorId="0">
      <text>
        <r>
          <rPr>
            <b/>
          </rPr>
          <t xml:space="preserve">EDGAR Mapper:
</t>
        </r>
        <r>
          <t xml:space="preserve">EDGAR mapping:
Source: SEC inline XBRL segment table
Period: 1Q25
Model row: Segment Analysis!P8 Services
Mapping type: segment
Concepts used: reportable segment Services Revenue = 26340 mm
Unit conversion: raw USD to $mm
Sign: copied using model sign convention
Confidence: high
Notes: Segment Analysis rows may be relabeled to EDGAR reportable segments when the template exposes writable segment input rows.</t>
        </r>
      </text>
    </comment>
    <comment ref="Q8" authorId="0">
      <text>
        <r>
          <rPr>
            <b/>
          </rPr>
          <t xml:space="preserve">EDGAR Mapper:
</t>
        </r>
        <r>
          <t xml:space="preserve">EDGAR mapping:
Source: SEC inline XBRL segment table
Period: 2Q25
Model row: Segment Analysis!Q8 Services
Mapping type: segment
Concepts used: reportable segment Services Revenue = 26645 mm
Unit conversion: raw USD to $mm
Sign: copied using model sign convention
Confidence: high
Notes: Segment Analysis rows may be relabeled to EDGAR reportable segments when the template exposes writable segment input rows.</t>
        </r>
      </text>
    </comment>
    <comment ref="R8" authorId="0">
      <text>
        <r>
          <rPr>
            <b/>
          </rPr>
          <t xml:space="preserve">EDGAR Mapper:
</t>
        </r>
        <r>
          <t xml:space="preserve">EDGAR mapping:
Source: SEC inline XBRL segment table
Period: 3Q25
Model row: Segment Analysis!R8 Services
Mapping type: segment
Concepts used: reportable segment Services Revenue = 27423 mm
Unit conversion: raw USD to $mm
Sign: copied using model sign convention
Confidence: high
Notes: Segment Analysis rows may be relabeled to EDGAR reportable segments when the template exposes writable segment input rows.</t>
        </r>
      </text>
    </comment>
    <comment ref="S8" authorId="0">
      <text>
        <r>
          <rPr>
            <b/>
          </rPr>
          <t xml:space="preserve">EDGAR Mapper:
</t>
        </r>
        <r>
          <t xml:space="preserve">EDGAR mapping:
Source: SEC inline XBRL segment table
Period: 4Q25
Model row: Segment Analysis!S8 Services
Mapping type: segment
Concepts used: reportable segment Services Revenue = 28750 mm
Unit conversion: raw USD to $mm
Sign: copied using model sign convention
Confidence: high
Notes: Segment Analysis rows may be relabeled to EDGAR reportable segments when the template exposes writable segment input rows.</t>
        </r>
      </text>
    </comment>
    <comment ref="U8" authorId="0">
      <text>
        <r>
          <rPr>
            <b/>
          </rPr>
          <t xml:space="preserve">EDGAR Mapper:
</t>
        </r>
        <r>
          <t xml:space="preserve">EDGAR mapping:
Source: SEC inline XBRL segment table
Period: 1Q26
Model row: Segment Analysis!U8 Services
Mapping type: segment
Concepts used: reportable segment Services Revenue = 30013 mm
Unit conversion: raw USD to $mm
Sign: copied using model sign convention
Confidence: high
Notes: Segment Analysis rows may be relabeled to EDGAR reportable segments when the template exposes writable segment input rows.</t>
        </r>
      </text>
    </comment>
    <comment ref="V8" authorId="0">
      <text>
        <r>
          <rPr>
            <b/>
          </rPr>
          <t xml:space="preserve">EDGAR Mapper:
</t>
        </r>
        <r>
          <t xml:space="preserve">EDGAR mapping:
Source: SEC inline XBRL segment table
Period: 2Q26
Model row: Segment Analysis!V8 Services
Mapping type: segment
Concepts used: reportable segment Services Revenue = 30976 mm
Unit conversion: raw USD to $mm
Sign: copied using model sign convention
Confidence: high
Notes: Segment Analysis rows may be relabeled to EDGAR reportable segments when the template exposes writable segment input rows.</t>
        </r>
      </text>
    </comment>
    <comment ref="F9" authorId="0">
      <text>
        <r>
          <rPr>
            <b/>
          </rPr>
          <t xml:space="preserve">EDGAR Mapper:
</t>
        </r>
        <r>
          <t xml:space="preserve">EDGAR mapping:
Source: SEC inline XBRL segment table
Period: 1Q23
Model row: Segment Analysis!F9 iPhone
Mapping type: segment
Concepts used: reportable segment iPhone Revenue = 65775 mm
Unit conversion: raw USD to $mm
Sign: copied using model sign convention
Confidence: high
Notes: Segment Analysis rows may be relabeled to EDGAR reportable segments when the template exposes writable segment input rows.</t>
        </r>
      </text>
    </comment>
    <comment ref="G9" authorId="0">
      <text>
        <r>
          <rPr>
            <b/>
          </rPr>
          <t xml:space="preserve">EDGAR Mapper:
</t>
        </r>
        <r>
          <t xml:space="preserve">EDGAR mapping:
Source: SEC inline XBRL segment table
Period: 2Q23
Model row: Segment Analysis!G9 iPhone
Mapping type: segment
Concepts used: reportable segment iPhone Revenue = 51334 mm
Unit conversion: raw USD to $mm
Sign: copied using model sign convention
Confidence: high
Notes: Segment Analysis rows may be relabeled to EDGAR reportable segments when the template exposes writable segment input rows.</t>
        </r>
      </text>
    </comment>
    <comment ref="H9" authorId="0">
      <text>
        <r>
          <rPr>
            <b/>
          </rPr>
          <t xml:space="preserve">EDGAR Mapper:
</t>
        </r>
        <r>
          <t xml:space="preserve">EDGAR mapping:
Source: SEC inline XBRL segment table
Period: 3Q23
Model row: Segment Analysis!H9 iPhone
Mapping type: segment
Concepts used: reportable segment iPhone Revenue = 39669 mm
Unit conversion: raw USD to $mm
Sign: copied using model sign convention
Confidence: high
Notes: Segment Analysis rows may be relabeled to EDGAR reportable segments when the template exposes writable segment input rows.</t>
        </r>
      </text>
    </comment>
    <comment ref="I9" authorId="0">
      <text>
        <r>
          <rPr>
            <b/>
          </rPr>
          <t xml:space="preserve">EDGAR Mapper:
</t>
        </r>
        <r>
          <t xml:space="preserve">EDGAR mapping:
Source: SEC inline XBRL segment table
Period: 4Q23
Model row: Segment Analysis!I9 iPhone
Mapping type: segment
Concepts used: reportable segment iPhone Revenue = 43805 mm
Unit conversion: raw USD to $mm
Sign: copied using model sign convention
Confidence: high
Notes: Segment Analysis rows may be relabeled to EDGAR reportable segments when the template exposes writable segment input rows.</t>
        </r>
      </text>
    </comment>
    <comment ref="K9" authorId="0">
      <text>
        <r>
          <rPr>
            <b/>
          </rPr>
          <t xml:space="preserve">EDGAR Mapper:
</t>
        </r>
        <r>
          <t xml:space="preserve">EDGAR mapping:
Source: SEC inline XBRL segment table
Period: 1Q24
Model row: Segment Analysis!K9 iPhone
Mapping type: segment
Concepts used: reportable segment iPhone Revenue = 69702 mm
Unit conversion: raw USD to $mm
Sign: copied using model sign convention
Confidence: high
Notes: Segment Analysis rows may be relabeled to EDGAR reportable segments when the template exposes writable segment input rows.</t>
        </r>
      </text>
    </comment>
    <comment ref="L9" authorId="0">
      <text>
        <r>
          <rPr>
            <b/>
          </rPr>
          <t xml:space="preserve">EDGAR Mapper:
</t>
        </r>
        <r>
          <t xml:space="preserve">EDGAR mapping:
Source: SEC inline XBRL segment table
Period: 2Q24
Model row: Segment Analysis!L9 iPhone
Mapping type: segment
Concepts used: reportable segment iPhone Revenue = 45963 mm
Unit conversion: raw USD to $mm
Sign: copied using model sign convention
Confidence: high
Notes: Segment Analysis rows may be relabeled to EDGAR reportable segments when the template exposes writable segment input rows.</t>
        </r>
      </text>
    </comment>
    <comment ref="M9" authorId="0">
      <text>
        <r>
          <rPr>
            <b/>
          </rPr>
          <t xml:space="preserve">EDGAR Mapper:
</t>
        </r>
        <r>
          <t xml:space="preserve">EDGAR mapping:
Source: SEC inline XBRL segment table
Period: 3Q24
Model row: Segment Analysis!M9 iPhone
Mapping type: segment
Concepts used: reportable segment iPhone Revenue = 39296 mm
Unit conversion: raw USD to $mm
Sign: copied using model sign convention
Confidence: high
Notes: Segment Analysis rows may be relabeled to EDGAR reportable segments when the template exposes writable segment input rows.</t>
        </r>
      </text>
    </comment>
    <comment ref="N9" authorId="0">
      <text>
        <r>
          <rPr>
            <b/>
          </rPr>
          <t xml:space="preserve">EDGAR Mapper:
</t>
        </r>
        <r>
          <t xml:space="preserve">EDGAR mapping:
Source: SEC inline XBRL segment table
Period: 4Q24
Model row: Segment Analysis!N9 iPhone
Mapping type: segment
Concepts used: reportable segment iPhone Revenue = 46222 mm
Unit conversion: raw USD to $mm
Sign: copied using model sign convention
Confidence: high
Notes: Segment Analysis rows may be relabeled to EDGAR reportable segments when the template exposes writable segment input rows.</t>
        </r>
      </text>
    </comment>
    <comment ref="P9" authorId="0">
      <text>
        <r>
          <rPr>
            <b/>
          </rPr>
          <t xml:space="preserve">EDGAR Mapper:
</t>
        </r>
        <r>
          <t xml:space="preserve">EDGAR mapping:
Source: SEC inline XBRL segment table
Period: 1Q25
Model row: Segment Analysis!P9 iPhone
Mapping type: segment
Concepts used: reportable segment iPhone Revenue = 69138 mm
Unit conversion: raw USD to $mm
Sign: copied using model sign convention
Confidence: high
Notes: Segment Analysis rows may be relabeled to EDGAR reportable segments when the template exposes writable segment input rows.</t>
        </r>
      </text>
    </comment>
    <comment ref="Q9" authorId="0">
      <text>
        <r>
          <rPr>
            <b/>
          </rPr>
          <t xml:space="preserve">EDGAR Mapper:
</t>
        </r>
        <r>
          <t xml:space="preserve">EDGAR mapping:
Source: SEC inline XBRL segment table
Period: 2Q25
Model row: Segment Analysis!Q9 iPhone
Mapping type: segment
Concepts used: reportable segment iPhone Revenue = 46841 mm
Unit conversion: raw USD to $mm
Sign: copied using model sign convention
Confidence: high
Notes: Segment Analysis rows may be relabeled to EDGAR reportable segments when the template exposes writable segment input rows.</t>
        </r>
      </text>
    </comment>
    <comment ref="R9" authorId="0">
      <text>
        <r>
          <rPr>
            <b/>
          </rPr>
          <t xml:space="preserve">EDGAR Mapper:
</t>
        </r>
        <r>
          <t xml:space="preserve">EDGAR mapping:
Source: SEC inline XBRL segment table
Period: 3Q25
Model row: Segment Analysis!R9 iPhone
Mapping type: segment
Concepts used: reportable segment iPhone Revenue = 44582 mm
Unit conversion: raw USD to $mm
Sign: copied using model sign convention
Confidence: high
Notes: Segment Analysis rows may be relabeled to EDGAR reportable segments when the template exposes writable segment input rows.</t>
        </r>
      </text>
    </comment>
    <comment ref="S9" authorId="0">
      <text>
        <r>
          <rPr>
            <b/>
          </rPr>
          <t xml:space="preserve">EDGAR Mapper:
</t>
        </r>
        <r>
          <t xml:space="preserve">EDGAR mapping:
Source: SEC inline XBRL segment table
Period: 4Q25
Model row: Segment Analysis!S9 iPhone
Mapping type: segment
Concepts used: reportable segment iPhone Revenue = 49025 mm
Unit conversion: raw USD to $mm
Sign: copied using model sign convention
Confidence: high
Notes: Segment Analysis rows may be relabeled to EDGAR reportable segments when the template exposes writable segment input rows.</t>
        </r>
      </text>
    </comment>
    <comment ref="U9" authorId="0">
      <text>
        <r>
          <rPr>
            <b/>
          </rPr>
          <t xml:space="preserve">EDGAR Mapper:
</t>
        </r>
        <r>
          <t xml:space="preserve">EDGAR mapping:
Source: SEC inline XBRL segment table
Period: 1Q26
Model row: Segment Analysis!U9 iPhone
Mapping type: segment
Concepts used: reportable segment iPhone Revenue = 85269 mm
Unit conversion: raw USD to $mm
Sign: copied using model sign convention
Confidence: high
Notes: Segment Analysis rows may be relabeled to EDGAR reportable segments when the template exposes writable segment input rows.</t>
        </r>
      </text>
    </comment>
    <comment ref="V9" authorId="0">
      <text>
        <r>
          <rPr>
            <b/>
          </rPr>
          <t xml:space="preserve">EDGAR Mapper:
</t>
        </r>
        <r>
          <t xml:space="preserve">EDGAR mapping:
Source: SEC inline XBRL segment table
Period: 2Q26
Model row: Segment Analysis!V9 iPhone
Mapping type: segment
Concepts used: reportable segment iPhone Revenue = 56994 mm
Unit conversion: raw USD to $mm
Sign: copied using model sign convention
Confidence: high
Notes: Segment Analysis rows may be relabeled to EDGAR reportable segments when the template exposes writable segment input rows.</t>
        </r>
      </text>
    </comment>
    <comment ref="F10" authorId="0">
      <text>
        <r>
          <rPr>
            <b/>
          </rPr>
          <t xml:space="preserve">EDGAR Mapper:
</t>
        </r>
        <r>
          <t xml:space="preserve">EDGAR mapping:
Source: SEC inline XBRL segment table
Period: 1Q23
Model row: Segment Analysis!F10 Mac
Mapping type: segment
Concepts used: reportable segment Mac Revenue = 7735 mm
Unit conversion: raw USD to $mm
Sign: copied using model sign convention
Confidence: high
Notes: Segment Analysis rows may be relabeled to EDGAR reportable segments when the template exposes writable segment input rows.</t>
        </r>
      </text>
    </comment>
    <comment ref="G10" authorId="0">
      <text>
        <r>
          <rPr>
            <b/>
          </rPr>
          <t xml:space="preserve">EDGAR Mapper:
</t>
        </r>
        <r>
          <t xml:space="preserve">EDGAR mapping:
Source: SEC inline XBRL segment table
Period: 2Q23
Model row: Segment Analysis!G10 Mac
Mapping type: segment
Concepts used: reportable segment Mac Revenue = 7168 mm
Unit conversion: raw USD to $mm
Sign: copied using model sign convention
Confidence: high
Notes: Segment Analysis rows may be relabeled to EDGAR reportable segments when the template exposes writable segment input rows.</t>
        </r>
      </text>
    </comment>
    <comment ref="H10" authorId="0">
      <text>
        <r>
          <rPr>
            <b/>
          </rPr>
          <t xml:space="preserve">EDGAR Mapper:
</t>
        </r>
        <r>
          <t xml:space="preserve">EDGAR mapping:
Source: SEC inline XBRL segment table
Period: 3Q23
Model row: Segment Analysis!H10 Mac
Mapping type: segment
Concepts used: reportable segment Mac Revenue = 6840 mm
Unit conversion: raw USD to $mm
Sign: copied using model sign convention
Confidence: high
Notes: Segment Analysis rows may be relabeled to EDGAR reportable segments when the template exposes writable segment input rows.</t>
        </r>
      </text>
    </comment>
    <comment ref="I10" authorId="0">
      <text>
        <r>
          <rPr>
            <b/>
          </rPr>
          <t xml:space="preserve">EDGAR Mapper:
</t>
        </r>
        <r>
          <t xml:space="preserve">EDGAR mapping:
Source: SEC inline XBRL segment table
Period: 4Q23
Model row: Segment Analysis!I10 Mac
Mapping type: segment
Concepts used: reportable segment Mac Revenue = 7614 mm
Unit conversion: raw USD to $mm
Sign: copied using model sign convention
Confidence: high
Notes: Segment Analysis rows may be relabeled to EDGAR reportable segments when the template exposes writable segment input rows.</t>
        </r>
      </text>
    </comment>
    <comment ref="K10" authorId="0">
      <text>
        <r>
          <rPr>
            <b/>
          </rPr>
          <t xml:space="preserve">EDGAR Mapper:
</t>
        </r>
        <r>
          <t xml:space="preserve">EDGAR mapping:
Source: SEC inline XBRL segment table
Period: 1Q24
Model row: Segment Analysis!K10 Mac
Mapping type: segment
Concepts used: reportable segment Mac Revenue = 7780 mm
Unit conversion: raw USD to $mm
Sign: copied using model sign convention
Confidence: high
Notes: Segment Analysis rows may be relabeled to EDGAR reportable segments when the template exposes writable segment input rows.</t>
        </r>
      </text>
    </comment>
    <comment ref="L10" authorId="0">
      <text>
        <r>
          <rPr>
            <b/>
          </rPr>
          <t xml:space="preserve">EDGAR Mapper:
</t>
        </r>
        <r>
          <t xml:space="preserve">EDGAR mapping:
Source: SEC inline XBRL segment table
Period: 2Q24
Model row: Segment Analysis!L10 Mac
Mapping type: segment
Concepts used: reportable segment Mac Revenue = 7451 mm
Unit conversion: raw USD to $mm
Sign: copied using model sign convention
Confidence: high
Notes: Segment Analysis rows may be relabeled to EDGAR reportable segments when the template exposes writable segment input rows.</t>
        </r>
      </text>
    </comment>
    <comment ref="M10" authorId="0">
      <text>
        <r>
          <rPr>
            <b/>
          </rPr>
          <t xml:space="preserve">EDGAR Mapper:
</t>
        </r>
        <r>
          <t xml:space="preserve">EDGAR mapping:
Source: SEC inline XBRL segment table
Period: 3Q24
Model row: Segment Analysis!M10 Mac
Mapping type: segment
Concepts used: reportable segment Mac Revenue = 7009 mm
Unit conversion: raw USD to $mm
Sign: copied using model sign convention
Confidence: high
Notes: Segment Analysis rows may be relabeled to EDGAR reportable segments when the template exposes writable segment input rows.</t>
        </r>
      </text>
    </comment>
    <comment ref="N10" authorId="0">
      <text>
        <r>
          <rPr>
            <b/>
          </rPr>
          <t xml:space="preserve">EDGAR Mapper:
</t>
        </r>
        <r>
          <t xml:space="preserve">EDGAR mapping:
Source: SEC inline XBRL segment table
Period: 4Q24
Model row: Segment Analysis!N10 Mac
Mapping type: segment
Concepts used: reportable segment Mac Revenue = 7744 mm
Unit conversion: raw USD to $mm
Sign: copied using model sign convention
Confidence: high
Notes: Segment Analysis rows may be relabeled to EDGAR reportable segments when the template exposes writable segment input rows.</t>
        </r>
      </text>
    </comment>
    <comment ref="P10" authorId="0">
      <text>
        <r>
          <rPr>
            <b/>
          </rPr>
          <t xml:space="preserve">EDGAR Mapper:
</t>
        </r>
        <r>
          <t xml:space="preserve">EDGAR mapping:
Source: SEC inline XBRL segment table
Period: 1Q25
Model row: Segment Analysis!P10 Mac
Mapping type: segment
Concepts used: reportable segment Mac Revenue = 8987 mm
Unit conversion: raw USD to $mm
Sign: copied using model sign convention
Confidence: high
Notes: Segment Analysis rows may be relabeled to EDGAR reportable segments when the template exposes writable segment input rows.</t>
        </r>
      </text>
    </comment>
    <comment ref="Q10" authorId="0">
      <text>
        <r>
          <rPr>
            <b/>
          </rPr>
          <t xml:space="preserve">EDGAR Mapper:
</t>
        </r>
        <r>
          <t xml:space="preserve">EDGAR mapping:
Source: SEC inline XBRL segment table
Period: 2Q25
Model row: Segment Analysis!Q10 Mac
Mapping type: segment
Concepts used: reportable segment Mac Revenue = 7949 mm
Unit conversion: raw USD to $mm
Sign: copied using model sign convention
Confidence: high
Notes: Segment Analysis rows may be relabeled to EDGAR reportable segments when the template exposes writable segment input rows.</t>
        </r>
      </text>
    </comment>
    <comment ref="R10" authorId="0">
      <text>
        <r>
          <rPr>
            <b/>
          </rPr>
          <t xml:space="preserve">EDGAR Mapper:
</t>
        </r>
        <r>
          <t xml:space="preserve">EDGAR mapping:
Source: SEC inline XBRL segment table
Period: 3Q25
Model row: Segment Analysis!R10 Mac
Mapping type: segment
Concepts used: reportable segment Mac Revenue = 8046 mm
Unit conversion: raw USD to $mm
Sign: copied using model sign convention
Confidence: high
Notes: Segment Analysis rows may be relabeled to EDGAR reportable segments when the template exposes writable segment input rows.</t>
        </r>
      </text>
    </comment>
    <comment ref="S10" authorId="0">
      <text>
        <r>
          <rPr>
            <b/>
          </rPr>
          <t xml:space="preserve">EDGAR Mapper:
</t>
        </r>
        <r>
          <t xml:space="preserve">EDGAR mapping:
Source: SEC inline XBRL segment table
Period: 4Q25
Model row: Segment Analysis!S10 Mac
Mapping type: segment
Concepts used: reportable segment Mac Revenue = 8726 mm
Unit conversion: raw USD to $mm
Sign: copied using model sign convention
Confidence: high
Notes: Segment Analysis rows may be relabeled to EDGAR reportable segments when the template exposes writable segment input rows.</t>
        </r>
      </text>
    </comment>
    <comment ref="U10" authorId="0">
      <text>
        <r>
          <rPr>
            <b/>
          </rPr>
          <t xml:space="preserve">EDGAR Mapper:
</t>
        </r>
        <r>
          <t xml:space="preserve">EDGAR mapping:
Source: SEC inline XBRL segment table
Period: 1Q26
Model row: Segment Analysis!U10 Mac
Mapping type: segment
Concepts used: reportable segment Mac Revenue = 8386 mm
Unit conversion: raw USD to $mm
Sign: copied using model sign convention
Confidence: high
Notes: Segment Analysis rows may be relabeled to EDGAR reportable segments when the template exposes writable segment input rows.</t>
        </r>
      </text>
    </comment>
    <comment ref="V10" authorId="0">
      <text>
        <r>
          <rPr>
            <b/>
          </rPr>
          <t xml:space="preserve">EDGAR Mapper:
</t>
        </r>
        <r>
          <t xml:space="preserve">EDGAR mapping:
Source: SEC inline XBRL segment table
Period: 2Q26
Model row: Segment Analysis!V10 Mac
Mapping type: segment
Concepts used: reportable segment Mac Revenue = 8399 mm
Unit conversion: raw USD to $mm
Sign: copied using model sign convention
Confidence: high
Notes: Segment Analysis rows may be relabeled to EDGAR reportable segments when the template exposes writable segment input rows.</t>
        </r>
      </text>
    </comment>
    <comment ref="F11" authorId="0">
      <text>
        <r>
          <rPr>
            <b/>
          </rPr>
          <t xml:space="preserve">EDGAR Mapper:
</t>
        </r>
        <r>
          <t xml:space="preserve">EDGAR mapping:
Source: SEC inline XBRL segment table
Period: 1Q23
Model row: Segment Analysis!F11 iPad
Mapping type: segment
Concepts used: reportable segment iPad Revenue = 9396 mm
Unit conversion: raw USD to $mm
Sign: copied using model sign convention
Confidence: high
Notes: Segment Analysis rows may be relabeled to EDGAR reportable segments when the template exposes writable segment input rows.</t>
        </r>
      </text>
    </comment>
    <comment ref="G11" authorId="0">
      <text>
        <r>
          <rPr>
            <b/>
          </rPr>
          <t xml:space="preserve">EDGAR Mapper:
</t>
        </r>
        <r>
          <t xml:space="preserve">EDGAR mapping:
Source: SEC inline XBRL segment table
Period: 2Q23
Model row: Segment Analysis!G11 iPad
Mapping type: segment
Concepts used: reportable segment iPad Revenue = 6670 mm
Unit conversion: raw USD to $mm
Sign: copied using model sign convention
Confidence: high
Notes: Segment Analysis rows may be relabeled to EDGAR reportable segments when the template exposes writable segment input rows.</t>
        </r>
      </text>
    </comment>
    <comment ref="H11" authorId="0">
      <text>
        <r>
          <rPr>
            <b/>
          </rPr>
          <t xml:space="preserve">EDGAR Mapper:
</t>
        </r>
        <r>
          <t xml:space="preserve">EDGAR mapping:
Source: SEC inline XBRL segment table
Period: 3Q23
Model row: Segment Analysis!H11 iPad
Mapping type: segment
Concepts used: reportable segment iPad Revenue = 5791 mm
Unit conversion: raw USD to $mm
Sign: copied using model sign convention
Confidence: high
Notes: Segment Analysis rows may be relabeled to EDGAR reportable segments when the template exposes writable segment input rows.</t>
        </r>
      </text>
    </comment>
    <comment ref="I11" authorId="0">
      <text>
        <r>
          <rPr>
            <b/>
          </rPr>
          <t xml:space="preserve">EDGAR Mapper:
</t>
        </r>
        <r>
          <t xml:space="preserve">EDGAR mapping:
Source: SEC inline XBRL segment table
Period: 4Q23
Model row: Segment Analysis!I11 iPad
Mapping type: segment
Concepts used: reportable segment iPad Revenue = 6443 mm
Unit conversion: raw USD to $mm
Sign: copied using model sign convention
Confidence: high
Notes: Segment Analysis rows may be relabeled to EDGAR reportable segments when the template exposes writable segment input rows.</t>
        </r>
      </text>
    </comment>
    <comment ref="K11" authorId="0">
      <text>
        <r>
          <rPr>
            <b/>
          </rPr>
          <t xml:space="preserve">EDGAR Mapper:
</t>
        </r>
        <r>
          <t xml:space="preserve">EDGAR mapping:
Source: SEC inline XBRL segment table
Period: 1Q24
Model row: Segment Analysis!K11 iPad
Mapping type: segment
Concepts used: reportable segment iPad Revenue = 7023 mm
Unit conversion: raw USD to $mm
Sign: copied using model sign convention
Confidence: high
Notes: Segment Analysis rows may be relabeled to EDGAR reportable segments when the template exposes writable segment input rows.</t>
        </r>
      </text>
    </comment>
    <comment ref="L11" authorId="0">
      <text>
        <r>
          <rPr>
            <b/>
          </rPr>
          <t xml:space="preserve">EDGAR Mapper:
</t>
        </r>
        <r>
          <t xml:space="preserve">EDGAR mapping:
Source: SEC inline XBRL segment table
Period: 2Q24
Model row: Segment Analysis!L11 iPad
Mapping type: segment
Concepts used: reportable segment iPad Revenue = 5559 mm
Unit conversion: raw USD to $mm
Sign: copied using model sign convention
Confidence: high
Notes: Segment Analysis rows may be relabeled to EDGAR reportable segments when the template exposes writable segment input rows.</t>
        </r>
      </text>
    </comment>
    <comment ref="M11" authorId="0">
      <text>
        <r>
          <rPr>
            <b/>
          </rPr>
          <t xml:space="preserve">EDGAR Mapper:
</t>
        </r>
        <r>
          <t xml:space="preserve">EDGAR mapping:
Source: SEC inline XBRL segment table
Period: 3Q24
Model row: Segment Analysis!M11 iPad
Mapping type: segment
Concepts used: reportable segment iPad Revenue = 7162 mm
Unit conversion: raw USD to $mm
Sign: copied using model sign convention
Confidence: high
Notes: Segment Analysis rows may be relabeled to EDGAR reportable segments when the template exposes writable segment input rows.</t>
        </r>
      </text>
    </comment>
    <comment ref="N11" authorId="0">
      <text>
        <r>
          <rPr>
            <b/>
          </rPr>
          <t xml:space="preserve">EDGAR Mapper:
</t>
        </r>
        <r>
          <t xml:space="preserve">EDGAR mapping:
Source: SEC inline XBRL segment table
Period: 4Q24
Model row: Segment Analysis!N11 iPad
Mapping type: segment
Concepts used: reportable segment iPad Revenue = 6950 mm
Unit conversion: raw USD to $mm
Sign: copied using model sign convention
Confidence: high
Notes: Segment Analysis rows may be relabeled to EDGAR reportable segments when the template exposes writable segment input rows.</t>
        </r>
      </text>
    </comment>
    <comment ref="P11" authorId="0">
      <text>
        <r>
          <rPr>
            <b/>
          </rPr>
          <t xml:space="preserve">EDGAR Mapper:
</t>
        </r>
        <r>
          <t xml:space="preserve">EDGAR mapping:
Source: SEC inline XBRL segment table
Period: 1Q25
Model row: Segment Analysis!P11 iPad
Mapping type: segment
Concepts used: reportable segment iPad Revenue = 8088 mm
Unit conversion: raw USD to $mm
Sign: copied using model sign convention
Confidence: high
Notes: Segment Analysis rows may be relabeled to EDGAR reportable segments when the template exposes writable segment input rows.</t>
        </r>
      </text>
    </comment>
    <comment ref="Q11" authorId="0">
      <text>
        <r>
          <rPr>
            <b/>
          </rPr>
          <t xml:space="preserve">EDGAR Mapper:
</t>
        </r>
        <r>
          <t xml:space="preserve">EDGAR mapping:
Source: SEC inline XBRL segment table
Period: 2Q25
Model row: Segment Analysis!Q11 iPad
Mapping type: segment
Concepts used: reportable segment iPad Revenue = 6402 mm
Unit conversion: raw USD to $mm
Sign: copied using model sign convention
Confidence: high
Notes: Segment Analysis rows may be relabeled to EDGAR reportable segments when the template exposes writable segment input rows.</t>
        </r>
      </text>
    </comment>
    <comment ref="R11" authorId="0">
      <text>
        <r>
          <rPr>
            <b/>
          </rPr>
          <t xml:space="preserve">EDGAR Mapper:
</t>
        </r>
        <r>
          <t xml:space="preserve">EDGAR mapping:
Source: SEC inline XBRL segment table
Period: 3Q25
Model row: Segment Analysis!R11 iPad
Mapping type: segment
Concepts used: reportable segment iPad Revenue = 6581 mm
Unit conversion: raw USD to $mm
Sign: copied using model sign convention
Confidence: high
Notes: Segment Analysis rows may be relabeled to EDGAR reportable segments when the template exposes writable segment input rows.</t>
        </r>
      </text>
    </comment>
    <comment ref="S11" authorId="0">
      <text>
        <r>
          <rPr>
            <b/>
          </rPr>
          <t xml:space="preserve">EDGAR Mapper:
</t>
        </r>
        <r>
          <t xml:space="preserve">EDGAR mapping:
Source: SEC inline XBRL segment table
Period: 4Q25
Model row: Segment Analysis!S11 iPad
Mapping type: segment
Concepts used: reportable segment iPad Revenue = 6952 mm
Unit conversion: raw USD to $mm
Sign: copied using model sign convention
Confidence: high
Notes: Segment Analysis rows may be relabeled to EDGAR reportable segments when the template exposes writable segment input rows.</t>
        </r>
      </text>
    </comment>
    <comment ref="U11" authorId="0">
      <text>
        <r>
          <rPr>
            <b/>
          </rPr>
          <t xml:space="preserve">EDGAR Mapper:
</t>
        </r>
        <r>
          <t xml:space="preserve">EDGAR mapping:
Source: SEC inline XBRL segment table
Period: 1Q26
Model row: Segment Analysis!U11 iPad
Mapping type: segment
Concepts used: reportable segment iPad Revenue = 8595 mm
Unit conversion: raw USD to $mm
Sign: copied using model sign convention
Confidence: high
Notes: Segment Analysis rows may be relabeled to EDGAR reportable segments when the template exposes writable segment input rows.</t>
        </r>
      </text>
    </comment>
    <comment ref="V11" authorId="0">
      <text>
        <r>
          <rPr>
            <b/>
          </rPr>
          <t xml:space="preserve">EDGAR Mapper:
</t>
        </r>
        <r>
          <t xml:space="preserve">EDGAR mapping:
Source: SEC inline XBRL segment table
Period: 2Q26
Model row: Segment Analysis!V11 iPad
Mapping type: segment
Concepts used: reportable segment iPad Revenue = 6914 mm
Unit conversion: raw USD to $mm
Sign: copied using model sign convention
Confidence: high
Notes: Segment Analysis rows may be relabeled to EDGAR reportable segments when the template exposes writable segment input rows.</t>
        </r>
      </text>
    </comment>
    <comment ref="F12" authorId="0">
      <text>
        <r>
          <rPr>
            <b/>
          </rPr>
          <t xml:space="preserve">EDGAR Mapper:
</t>
        </r>
        <r>
          <t xml:space="preserve">EDGAR mapping:
Source: SEC inline XBRL segment table
Period: 1Q23
Model row: Segment Analysis!F12 Wearables, Home and Accessories
Mapping type: segment
Concepts used: reportable segment Wearables, Home and Accessories Revenue = 13482 mm
Unit conversion: raw USD to $mm
Sign: copied using model sign convention
Confidence: high
Notes: Segment Analysis rows may be relabeled to EDGAR reportable segments when the template exposes writable segment input rows.</t>
        </r>
      </text>
    </comment>
    <comment ref="G12" authorId="0">
      <text>
        <r>
          <rPr>
            <b/>
          </rPr>
          <t xml:space="preserve">EDGAR Mapper:
</t>
        </r>
        <r>
          <t xml:space="preserve">EDGAR mapping:
Source: SEC inline XBRL segment table
Period: 2Q23
Model row: Segment Analysis!G12 Wearables, Home and Accessories
Mapping type: segment
Concepts used: reportable segment Wearables, Home and Accessories Revenue = 8757 mm
Unit conversion: raw USD to $mm
Sign: copied using model sign convention
Confidence: high
Notes: Segment Analysis rows may be relabeled to EDGAR reportable segments when the template exposes writable segment input rows.</t>
        </r>
      </text>
    </comment>
    <comment ref="H12" authorId="0">
      <text>
        <r>
          <rPr>
            <b/>
          </rPr>
          <t xml:space="preserve">EDGAR Mapper:
</t>
        </r>
        <r>
          <t xml:space="preserve">EDGAR mapping:
Source: SEC inline XBRL segment table
Period: 3Q23
Model row: Segment Analysis!H12 Wearables, Home and Accessories
Mapping type: segment
Concepts used: reportable segment Wearables, Home and Accessories Revenue = 8284 mm
Unit conversion: raw USD to $mm
Sign: copied using model sign convention
Confidence: high
Notes: Segment Analysis rows may be relabeled to EDGAR reportable segments when the template exposes writable segment input rows.</t>
        </r>
      </text>
    </comment>
    <comment ref="I12" authorId="0">
      <text>
        <r>
          <rPr>
            <b/>
          </rPr>
          <t xml:space="preserve">EDGAR Mapper:
</t>
        </r>
        <r>
          <t xml:space="preserve">EDGAR mapping:
Source: SEC inline XBRL segment table
Period: 4Q23
Model row: Segment Analysis!I12 Wearables, Home and Accessories
Mapping type: segment
Concepts used: reportable segment Wearables, Home and Accessories Revenue = 9322 mm
Unit conversion: raw USD to $mm
Sign: copied using model sign convention
Confidence: high
Notes: Segment Analysis rows may be relabeled to EDGAR reportable segments when the template exposes writable segment input rows.</t>
        </r>
      </text>
    </comment>
    <comment ref="K12" authorId="0">
      <text>
        <r>
          <rPr>
            <b/>
          </rPr>
          <t xml:space="preserve">EDGAR Mapper:
</t>
        </r>
        <r>
          <t xml:space="preserve">EDGAR mapping:
Source: SEC inline XBRL segment table
Period: 1Q24
Model row: Segment Analysis!K12 Wearables, Home and Accessories
Mapping type: segment
Concepts used: reportable segment Wearables, Home and Accessories Revenue = 11953 mm
Unit conversion: raw USD to $mm
Sign: copied using model sign convention
Confidence: high
Notes: Segment Analysis rows may be relabeled to EDGAR reportable segments when the template exposes writable segment input rows.</t>
        </r>
      </text>
    </comment>
    <comment ref="L12" authorId="0">
      <text>
        <r>
          <rPr>
            <b/>
          </rPr>
          <t xml:space="preserve">EDGAR Mapper:
</t>
        </r>
        <r>
          <t xml:space="preserve">EDGAR mapping:
Source: SEC inline XBRL segment table
Period: 2Q24
Model row: Segment Analysis!L12 Wearables, Home and Accessories
Mapping type: segment
Concepts used: reportable segment Wearables, Home and Accessories Revenue = 7913 mm
Unit conversion: raw USD to $mm
Sign: copied using model sign convention
Confidence: high
Notes: Segment Analysis rows may be relabeled to EDGAR reportable segments when the template exposes writable segment input rows.</t>
        </r>
      </text>
    </comment>
    <comment ref="M12" authorId="0">
      <text>
        <r>
          <rPr>
            <b/>
          </rPr>
          <t xml:space="preserve">EDGAR Mapper:
</t>
        </r>
        <r>
          <t xml:space="preserve">EDGAR mapping:
Source: SEC inline XBRL segment table
Period: 3Q24
Model row: Segment Analysis!M12 Wearables, Home and Accessories
Mapping type: segment
Concepts used: reportable segment Wearables, Home and Accessories Revenue = 8097 mm
Unit conversion: raw USD to $mm
Sign: copied using model sign convention
Confidence: high
Notes: Segment Analysis rows may be relabeled to EDGAR reportable segments when the template exposes writable segment input rows.</t>
        </r>
      </text>
    </comment>
    <comment ref="N12" authorId="0">
      <text>
        <r>
          <rPr>
            <b/>
          </rPr>
          <t xml:space="preserve">EDGAR Mapper:
</t>
        </r>
        <r>
          <t xml:space="preserve">EDGAR mapping:
Source: SEC inline XBRL segment table
Period: 4Q24
Model row: Segment Analysis!N12 Wearables, Home and Accessories
Mapping type: segment
Concepts used: reportable segment Wearables, Home and Accessories Revenue = 9042 mm
Unit conversion: raw USD to $mm
Sign: copied using model sign convention
Confidence: high
Notes: Segment Analysis rows may be relabeled to EDGAR reportable segments when the template exposes writable segment input rows.</t>
        </r>
      </text>
    </comment>
    <comment ref="P12" authorId="0">
      <text>
        <r>
          <rPr>
            <b/>
          </rPr>
          <t xml:space="preserve">EDGAR Mapper:
</t>
        </r>
        <r>
          <t xml:space="preserve">EDGAR mapping:
Source: SEC inline XBRL segment table
Period: 1Q25
Model row: Segment Analysis!P12 Wearables, Home and Accessories
Mapping type: segment
Concepts used: reportable segment Wearables, Home and Accessories Revenue = 11747 mm
Unit conversion: raw USD to $mm
Sign: copied using model sign convention
Confidence: high
Notes: Segment Analysis rows may be relabeled to EDGAR reportable segments when the template exposes writable segment input rows.</t>
        </r>
      </text>
    </comment>
    <comment ref="Q12" authorId="0">
      <text>
        <r>
          <rPr>
            <b/>
          </rPr>
          <t xml:space="preserve">EDGAR Mapper:
</t>
        </r>
        <r>
          <t xml:space="preserve">EDGAR mapping:
Source: SEC inline XBRL segment table
Period: 2Q25
Model row: Segment Analysis!Q12 Wearables, Home and Accessories
Mapping type: segment
Concepts used: reportable segment Wearables, Home and Accessories Revenue = 7522 mm
Unit conversion: raw USD to $mm
Sign: copied using model sign convention
Confidence: high
Notes: Segment Analysis rows may be relabeled to EDGAR reportable segments when the template exposes writable segment input rows.</t>
        </r>
      </text>
    </comment>
    <comment ref="R12" authorId="0">
      <text>
        <r>
          <rPr>
            <b/>
          </rPr>
          <t xml:space="preserve">EDGAR Mapper:
</t>
        </r>
        <r>
          <t xml:space="preserve">EDGAR mapping:
Source: SEC inline XBRL segment table
Period: 3Q25
Model row: Segment Analysis!R12 Wearables, Home and Accessories
Mapping type: segment
Concepts used: reportable segment Wearables, Home and Accessories Revenue = 7404 mm
Unit conversion: raw USD to $mm
Sign: copied using model sign convention
Confidence: high
Notes: Segment Analysis rows may be relabeled to EDGAR reportable segments when the template exposes writable segment input rows.</t>
        </r>
      </text>
    </comment>
    <comment ref="S12" authorId="0">
      <text>
        <r>
          <rPr>
            <b/>
          </rPr>
          <t xml:space="preserve">EDGAR Mapper:
</t>
        </r>
        <r>
          <t xml:space="preserve">EDGAR mapping:
Source: SEC inline XBRL segment table
Period: 4Q25
Model row: Segment Analysis!S12 Wearables, Home and Accessories
Mapping type: segment
Concepts used: reportable segment Wearables, Home and Accessories Revenue = 9013 mm
Unit conversion: raw USD to $mm
Sign: copied using model sign convention
Confidence: high
Notes: Segment Analysis rows may be relabeled to EDGAR reportable segments when the template exposes writable segment input rows.</t>
        </r>
      </text>
    </comment>
    <comment ref="U12" authorId="0">
      <text>
        <r>
          <rPr>
            <b/>
          </rPr>
          <t xml:space="preserve">EDGAR Mapper:
</t>
        </r>
        <r>
          <t xml:space="preserve">EDGAR mapping:
Source: SEC inline XBRL segment table
Period: 1Q26
Model row: Segment Analysis!U12 Wearables, Home and Accessories
Mapping type: segment
Concepts used: reportable segment Wearables, Home and Accessories Revenue = 11493 mm
Unit conversion: raw USD to $mm
Sign: copied using model sign convention
Confidence: high
Notes: Segment Analysis rows may be relabeled to EDGAR reportable segments when the template exposes writable segment input rows.</t>
        </r>
      </text>
    </comment>
    <comment ref="V12" authorId="0">
      <text>
        <r>
          <rPr>
            <b/>
          </rPr>
          <t xml:space="preserve">EDGAR Mapper:
</t>
        </r>
        <r>
          <t xml:space="preserve">EDGAR mapping:
Source: SEC inline XBRL segment table
Period: 2Q26
Model row: Segment Analysis!V12 Wearables, Home and Accessories
Mapping type: segment
Concepts used: reportable segment Wearables, Home and Accessories Revenue = 7901 mm
Unit conversion: raw USD to $mm
Sign: copied using model sign convention
Confidence: high
Notes: Segment Analysis rows may be relabeled to EDGAR reportable segments when the template exposes writable segment input rows.</t>
        </r>
      </text>
    </comment>
    <comment ref="F34" authorId="0">
      <text>
        <r>
          <rPr>
            <b/>
          </rPr>
          <t xml:space="preserve">EDGAR Mapper:
</t>
        </r>
        <r>
          <t xml:space="preserve">EDGAR mapping:
Source: SEC inline XBRL segment table
Period: 1Q23
Model row: Segment Analysis!F34 Americas Segment
Mapping type: segment
Concepts used: reportable segment Americas Segment Operating Income = 17864 mm
Unit conversion: raw USD to $mm
Sign: copied using model sign convention
Confidence: high
Notes: Segment Analysis rows may be relabeled to EDGAR reportable segments when the template exposes writable segment input rows.</t>
        </r>
      </text>
    </comment>
    <comment ref="G34" authorId="0">
      <text>
        <r>
          <rPr>
            <b/>
          </rPr>
          <t xml:space="preserve">EDGAR Mapper:
</t>
        </r>
        <r>
          <t xml:space="preserve">EDGAR mapping:
Source: SEC inline XBRL segment table
Period: 2Q23
Model row: Segment Analysis!G34 Americas Segment
Mapping type: segment
Concepts used: reportable segment Americas Segment Operating Income = 13927 mm
Unit conversion: raw USD to $mm
Sign: copied using model sign convention
Confidence: high
Notes: Segment Analysis rows may be relabeled to EDGAR reportable segments when the template exposes writable segment input rows.</t>
        </r>
      </text>
    </comment>
    <comment ref="H34" authorId="0">
      <text>
        <r>
          <rPr>
            <b/>
          </rPr>
          <t xml:space="preserve">EDGAR Mapper:
</t>
        </r>
        <r>
          <t xml:space="preserve">EDGAR mapping:
Source: SEC inline XBRL segment table
Period: 3Q23
Model row: Segment Analysis!H34 Americas Segment
Mapping type: segment
Concepts used: reportable segment Americas Segment Operating Income = 13117 mm
Unit conversion: raw USD to $mm
Sign: copied using model sign convention
Confidence: high
Notes: Segment Analysis rows may be relabeled to EDGAR reportable segments when the template exposes writable segment input rows.</t>
        </r>
      </text>
    </comment>
    <comment ref="I34" authorId="0">
      <text>
        <r>
          <rPr>
            <b/>
          </rPr>
          <t xml:space="preserve">EDGAR Mapper:
</t>
        </r>
        <r>
          <t xml:space="preserve">EDGAR mapping:
Source: SEC inline XBRL segment table
Period: 4Q23
Model row: Segment Analysis!I34 Americas Segment
Mapping type: segment
Concepts used: reportable segment Americas Segment Operating Income = 15600 mm
Unit conversion: raw USD to $mm
Sign: copied using model sign convention
Confidence: high
Notes: Segment Analysis rows may be relabeled to EDGAR reportable segments when the template exposes writable segment input rows.</t>
        </r>
      </text>
    </comment>
    <comment ref="K34" authorId="0">
      <text>
        <r>
          <rPr>
            <b/>
          </rPr>
          <t xml:space="preserve">EDGAR Mapper:
</t>
        </r>
        <r>
          <t xml:space="preserve">EDGAR mapping:
Source: SEC inline XBRL segment table
Period: 1Q24
Model row: Segment Analysis!K34 Americas Segment
Mapping type: segment
Concepts used: reportable segment Americas Segment Operating Income = 20357 mm
Unit conversion: raw USD to $mm
Sign: copied using model sign convention
Confidence: high
Notes: Segment Analysis rows may be relabeled to EDGAR reportable segments when the template exposes writable segment input rows.</t>
        </r>
      </text>
    </comment>
    <comment ref="L34" authorId="0">
      <text>
        <r>
          <rPr>
            <b/>
          </rPr>
          <t xml:space="preserve">EDGAR Mapper:
</t>
        </r>
        <r>
          <t xml:space="preserve">EDGAR mapping:
Source: SEC inline XBRL segment table
Period: 2Q24
Model row: Segment Analysis!L34 Americas Segment
Mapping type: segment
Concepts used: reportable segment Americas Segment Operating Income = 15074 mm
Unit conversion: raw USD to $mm
Sign: copied using model sign convention
Confidence: high
Notes: Segment Analysis rows may be relabeled to EDGAR reportable segments when the template exposes writable segment input rows.</t>
        </r>
      </text>
    </comment>
    <comment ref="M34" authorId="0">
      <text>
        <r>
          <rPr>
            <b/>
          </rPr>
          <t xml:space="preserve">EDGAR Mapper:
</t>
        </r>
        <r>
          <t xml:space="preserve">EDGAR mapping:
Source: SEC inline XBRL segment table
Period: 3Q24
Model row: Segment Analysis!M34 Americas Segment
Mapping type: segment
Concepts used: reportable segment Americas Segment Operating Income = 15209 mm
Unit conversion: raw USD to $mm
Sign: copied using model sign convention
Confidence: high
Notes: Segment Analysis rows may be relabeled to EDGAR reportable segments when the template exposes writable segment input rows.</t>
        </r>
      </text>
    </comment>
    <comment ref="N34" authorId="0">
      <text>
        <r>
          <rPr>
            <b/>
          </rPr>
          <t xml:space="preserve">EDGAR Mapper:
</t>
        </r>
        <r>
          <t xml:space="preserve">EDGAR mapping:
Source: SEC inline XBRL segment table
Period: 4Q24
Model row: Segment Analysis!N34 Americas Segment
Mapping type: segment
Concepts used: reportable segment Americas Segment Operating Income = 17016 mm
Unit conversion: raw USD to $mm
Sign: copied using model sign convention
Confidence: high
Notes: Segment Analysis rows may be relabeled to EDGAR reportable segments when the template exposes writable segment input rows.</t>
        </r>
      </text>
    </comment>
    <comment ref="P34" authorId="0">
      <text>
        <r>
          <rPr>
            <b/>
          </rPr>
          <t xml:space="preserve">EDGAR Mapper:
</t>
        </r>
        <r>
          <t xml:space="preserve">EDGAR mapping:
Source: SEC inline XBRL segment table
Period: 1Q25
Model row: Segment Analysis!P34 Americas Segment
Mapping type: segment
Concepts used: reportable segment Americas Segment Operating Income = 21509 mm
Unit conversion: raw USD to $mm
Sign: copied using model sign convention
Confidence: high
Notes: Segment Analysis rows may be relabeled to EDGAR reportable segments when the template exposes writable segment input rows.</t>
        </r>
      </text>
    </comment>
    <comment ref="Q34" authorId="0">
      <text>
        <r>
          <rPr>
            <b/>
          </rPr>
          <t xml:space="preserve">EDGAR Mapper:
</t>
        </r>
        <r>
          <t xml:space="preserve">EDGAR mapping:
Source: SEC inline XBRL segment table
Period: 2Q25
Model row: Segment Analysis!Q34 Americas Segment
Mapping type: segment
Concepts used: reportable segment Americas Segment Operating Income = 16774 mm
Unit conversion: raw USD to $mm
Sign: copied using model sign convention
Confidence: high
Notes: Segment Analysis rows may be relabeled to EDGAR reportable segments when the template exposes writable segment input rows.</t>
        </r>
      </text>
    </comment>
    <comment ref="R34" authorId="0">
      <text>
        <r>
          <rPr>
            <b/>
          </rPr>
          <t xml:space="preserve">EDGAR Mapper:
</t>
        </r>
        <r>
          <t xml:space="preserve">EDGAR mapping:
Source: SEC inline XBRL segment table
Period: 3Q25
Model row: Segment Analysis!R34 Americas Segment
Mapping type: segment
Concepts used: reportable segment Americas Segment Operating Income = 16511 mm
Unit conversion: raw USD to $mm
Sign: copied using model sign convention
Confidence: high
Notes: Segment Analysis rows may be relabeled to EDGAR reportable segments when the template exposes writable segment input rows.</t>
        </r>
      </text>
    </comment>
    <comment ref="S34" authorId="0">
      <text>
        <r>
          <rPr>
            <b/>
          </rPr>
          <t xml:space="preserve">EDGAR Mapper:
</t>
        </r>
        <r>
          <t xml:space="preserve">EDGAR mapping:
Source: SEC inline XBRL segment table
Period: 4Q25
Model row: Segment Analysis!S34 Americas Segment
Mapping type: segment
Concepts used: reportable segment Americas Segment Operating Income = 17686 mm
Unit conversion: raw USD to $mm
Sign: copied using model sign convention
Confidence: high
Notes: Segment Analysis rows may be relabeled to EDGAR reportable segments when the template exposes writable segment input rows.</t>
        </r>
      </text>
    </comment>
    <comment ref="U34" authorId="0">
      <text>
        <r>
          <rPr>
            <b/>
          </rPr>
          <t xml:space="preserve">EDGAR Mapper:
</t>
        </r>
        <r>
          <t xml:space="preserve">EDGAR mapping:
Source: SEC inline XBRL segment table
Period: 1Q26
Model row: Segment Analysis!U34 Americas Segment
Mapping type: segment
Concepts used: reportable segment Americas Segment Operating Income = 23953 mm
Unit conversion: raw USD to $mm
Sign: copied using model sign convention
Confidence: high
Notes: Segment Analysis rows may be relabeled to EDGAR reportable segments when the template exposes writable segment input rows.</t>
        </r>
      </text>
    </comment>
    <comment ref="V34" authorId="0">
      <text>
        <r>
          <rPr>
            <b/>
          </rPr>
          <t xml:space="preserve">EDGAR Mapper:
</t>
        </r>
        <r>
          <t xml:space="preserve">EDGAR mapping:
Source: SEC inline XBRL segment table
Period: 2Q26
Model row: Segment Analysis!V34 Americas Segment
Mapping type: segment
Concepts used: reportable segment Americas Segment Operating Income = 19373 mm
Unit conversion: raw USD to $mm
Sign: copied using model sign convention
Confidence: high
Notes: Segment Analysis rows may be relabeled to EDGAR reportable segments when the template exposes writable segment input rows.</t>
        </r>
      </text>
    </comment>
    <comment ref="F35" authorId="0">
      <text>
        <r>
          <rPr>
            <b/>
          </rPr>
          <t xml:space="preserve">EDGAR Mapper:
</t>
        </r>
        <r>
          <t xml:space="preserve">EDGAR mapping:
Source: SEC inline XBRL segment table
Period: 1Q23
Model row: Segment Analysis!F35 Greater China Segment
Mapping type: segment
Concepts used: reportable segment Greater China Segment Operating Income = 10437 mm
Unit conversion: raw USD to $mm
Sign: copied using model sign convention
Confidence: high
Notes: Segment Analysis rows may be relabeled to EDGAR reportable segments when the template exposes writable segment input rows.</t>
        </r>
      </text>
    </comment>
    <comment ref="G35" authorId="0">
      <text>
        <r>
          <rPr>
            <b/>
          </rPr>
          <t xml:space="preserve">EDGAR Mapper:
</t>
        </r>
        <r>
          <t xml:space="preserve">EDGAR mapping:
Source: SEC inline XBRL segment table
Period: 2Q23
Model row: Segment Analysis!G35 Greater China Segment
Mapping type: segment
Concepts used: reportable segment Greater China Segment Operating Income = 7531 mm
Unit conversion: raw USD to $mm
Sign: copied using model sign convention
Confidence: high
Notes: Segment Analysis rows may be relabeled to EDGAR reportable segments when the template exposes writable segment input rows.</t>
        </r>
      </text>
    </comment>
    <comment ref="H35" authorId="0">
      <text>
        <r>
          <rPr>
            <b/>
          </rPr>
          <t xml:space="preserve">EDGAR Mapper:
</t>
        </r>
        <r>
          <t xml:space="preserve">EDGAR mapping:
Source: SEC inline XBRL segment table
Period: 3Q23
Model row: Segment Analysis!H35 Greater China Segment
Mapping type: segment
Concepts used: reportable segment Greater China Segment Operating Income = 6207 mm
Unit conversion: raw USD to $mm
Sign: copied using model sign convention
Confidence: high
Notes: Segment Analysis rows may be relabeled to EDGAR reportable segments when the template exposes writable segment input rows.</t>
        </r>
      </text>
    </comment>
    <comment ref="I35" authorId="0">
      <text>
        <r>
          <rPr>
            <b/>
          </rPr>
          <t xml:space="preserve">EDGAR Mapper:
</t>
        </r>
        <r>
          <t xml:space="preserve">EDGAR mapping:
Source: SEC inline XBRL segment table
Period: 4Q23
Model row: Segment Analysis!I35 Greater China Segment
Mapping type: segment
Concepts used: reportable segment Greater China Segment Operating Income = 6153 mm
Unit conversion: raw USD to $mm
Sign: copied using model sign convention
Confidence: high
Notes: Segment Analysis rows may be relabeled to EDGAR reportable segments when the template exposes writable segment input rows.</t>
        </r>
      </text>
    </comment>
    <comment ref="K35" authorId="0">
      <text>
        <r>
          <rPr>
            <b/>
          </rPr>
          <t xml:space="preserve">EDGAR Mapper:
</t>
        </r>
        <r>
          <t xml:space="preserve">EDGAR mapping:
Source: SEC inline XBRL segment table
Period: 1Q24
Model row: Segment Analysis!K35 Greater China Segment
Mapping type: segment
Concepts used: reportable segment Greater China Segment Operating Income = 8622 mm
Unit conversion: raw USD to $mm
Sign: copied using model sign convention
Confidence: high
Notes: Segment Analysis rows may be relabeled to EDGAR reportable segments when the template exposes writable segment input rows.</t>
        </r>
      </text>
    </comment>
    <comment ref="L35" authorId="0">
      <text>
        <r>
          <rPr>
            <b/>
          </rPr>
          <t xml:space="preserve">EDGAR Mapper:
</t>
        </r>
        <r>
          <t xml:space="preserve">EDGAR mapping:
Source: SEC inline XBRL segment table
Period: 2Q24
Model row: Segment Analysis!L35 Greater China Segment
Mapping type: segment
Concepts used: reportable segment Greater China Segment Operating Income = 6700 mm
Unit conversion: raw USD to $mm
Sign: copied using model sign convention
Confidence: high
Notes: Segment Analysis rows may be relabeled to EDGAR reportable segments when the template exposes writable segment input rows.</t>
        </r>
      </text>
    </comment>
    <comment ref="M35" authorId="0">
      <text>
        <r>
          <rPr>
            <b/>
          </rPr>
          <t xml:space="preserve">EDGAR Mapper:
</t>
        </r>
        <r>
          <t xml:space="preserve">EDGAR mapping:
Source: SEC inline XBRL segment table
Period: 3Q24
Model row: Segment Analysis!M35 Greater China Segment
Mapping type: segment
Concepts used: reportable segment Greater China Segment Operating Income = 5562 mm
Unit conversion: raw USD to $mm
Sign: copied using model sign convention
Confidence: high
Notes: Segment Analysis rows may be relabeled to EDGAR reportable segments when the template exposes writable segment input rows.</t>
        </r>
      </text>
    </comment>
    <comment ref="N35" authorId="0">
      <text>
        <r>
          <rPr>
            <b/>
          </rPr>
          <t xml:space="preserve">EDGAR Mapper:
</t>
        </r>
        <r>
          <t xml:space="preserve">EDGAR mapping:
Source: SEC inline XBRL segment table
Period: 4Q24
Model row: Segment Analysis!N35 Greater China Segment
Mapping type: segment
Concepts used: reportable segment Greater China Segment Operating Income = 6198 mm
Unit conversion: raw USD to $mm
Sign: copied using model sign convention
Confidence: high
Notes: Segment Analysis rows may be relabeled to EDGAR reportable segments when the template exposes writable segment input rows.</t>
        </r>
      </text>
    </comment>
    <comment ref="P35" authorId="0">
      <text>
        <r>
          <rPr>
            <b/>
          </rPr>
          <t xml:space="preserve">EDGAR Mapper:
</t>
        </r>
        <r>
          <t xml:space="preserve">EDGAR mapping:
Source: SEC inline XBRL segment table
Period: 1Q25
Model row: Segment Analysis!P35 Greater China Segment
Mapping type: segment
Concepts used: reportable segment Greater China Segment Operating Income = 8160 mm
Unit conversion: raw USD to $mm
Sign: copied using model sign convention
Confidence: high
Notes: Segment Analysis rows may be relabeled to EDGAR reportable segments when the template exposes writable segment input rows.</t>
        </r>
      </text>
    </comment>
    <comment ref="Q35" authorId="0">
      <text>
        <r>
          <rPr>
            <b/>
          </rPr>
          <t xml:space="preserve">EDGAR Mapper:
</t>
        </r>
        <r>
          <t xml:space="preserve">EDGAR mapping:
Source: SEC inline XBRL segment table
Period: 2Q25
Model row: Segment Analysis!Q35 Greater China Segment
Mapping type: segment
Concepts used: reportable segment Greater China Segment Operating Income = 6626 mm
Unit conversion: raw USD to $mm
Sign: copied using model sign convention
Confidence: high
Notes: Segment Analysis rows may be relabeled to EDGAR reportable segments when the template exposes writable segment input rows.</t>
        </r>
      </text>
    </comment>
    <comment ref="R35" authorId="0">
      <text>
        <r>
          <rPr>
            <b/>
          </rPr>
          <t xml:space="preserve">EDGAR Mapper:
</t>
        </r>
        <r>
          <t xml:space="preserve">EDGAR mapping:
Source: SEC inline XBRL segment table
Period: 3Q25
Model row: Segment Analysis!R35 Greater China Segment
Mapping type: segment
Concepts used: reportable segment Greater China Segment Operating Income = 5822 mm
Unit conversion: raw USD to $mm
Sign: copied using model sign convention
Confidence: high
Notes: Segment Analysis rows may be relabeled to EDGAR reportable segments when the template exposes writable segment input rows.</t>
        </r>
      </text>
    </comment>
    <comment ref="S35" authorId="0">
      <text>
        <r>
          <rPr>
            <b/>
          </rPr>
          <t xml:space="preserve">EDGAR Mapper:
</t>
        </r>
        <r>
          <t xml:space="preserve">EDGAR mapping:
Source: SEC inline XBRL segment table
Period: 4Q25
Model row: Segment Analysis!S35 Greater China Segment
Mapping type: segment
Concepts used: reportable segment Greater China Segment Operating Income = 6309 mm
Unit conversion: raw USD to $mm
Sign: copied using model sign convention
Confidence: high
Notes: Segment Analysis rows may be relabeled to EDGAR reportable segments when the template exposes writable segment input rows.</t>
        </r>
      </text>
    </comment>
    <comment ref="U35" authorId="0">
      <text>
        <r>
          <rPr>
            <b/>
          </rPr>
          <t xml:space="preserve">EDGAR Mapper:
</t>
        </r>
        <r>
          <t xml:space="preserve">EDGAR mapping:
Source: SEC inline XBRL segment table
Period: 1Q26
Model row: Segment Analysis!U35 Greater China Segment
Mapping type: segment
Concepts used: reportable segment Greater China Segment Operating Income = 11792 mm
Unit conversion: raw USD to $mm
Sign: copied using model sign convention
Confidence: high
Notes: Segment Analysis rows may be relabeled to EDGAR reportable segments when the template exposes writable segment input rows.</t>
        </r>
      </text>
    </comment>
    <comment ref="V35" authorId="0">
      <text>
        <r>
          <rPr>
            <b/>
          </rPr>
          <t xml:space="preserve">EDGAR Mapper:
</t>
        </r>
        <r>
          <t xml:space="preserve">EDGAR mapping:
Source: SEC inline XBRL segment table
Period: 2Q26
Model row: Segment Analysis!V35 Greater China Segment
Mapping type: segment
Concepts used: reportable segment Greater China Segment Operating Income = 9189 mm
Unit conversion: raw USD to $mm
Sign: copied using model sign convention
Confidence: high
Notes: Segment Analysis rows may be relabeled to EDGAR reportable segments when the template exposes writable segment input rows.</t>
        </r>
      </text>
    </comment>
    <comment ref="F36" authorId="0">
      <text>
        <r>
          <rPr>
            <b/>
          </rPr>
          <t xml:space="preserve">EDGAR Mapper:
</t>
        </r>
        <r>
          <t xml:space="preserve">EDGAR mapping:
Source: SEC inline XBRL segment table
Period: 1Q23
Model row: Segment Analysis!F36 Japan Segment
Mapping type: segment
Concepts used: reportable segment Japan Segment Operating Income = 3236 mm
Unit conversion: raw USD to $mm
Sign: copied using model sign convention
Confidence: high
Notes: Segment Analysis rows may be relabeled to EDGAR reportable segments when the template exposes writable segment input rows.</t>
        </r>
      </text>
    </comment>
    <comment ref="G36" authorId="0">
      <text>
        <r>
          <rPr>
            <b/>
          </rPr>
          <t xml:space="preserve">EDGAR Mapper:
</t>
        </r>
        <r>
          <t xml:space="preserve">EDGAR mapping:
Source: SEC inline XBRL segment table
Period: 2Q23
Model row: Segment Analysis!G36 Japan Segment
Mapping type: segment
Concepts used: reportable segment Japan Segment Operating Income = 3394 mm
Unit conversion: raw USD to $mm
Sign: copied using model sign convention
Confidence: high
Notes: Segment Analysis rows may be relabeled to EDGAR reportable segments when the template exposes writable segment input rows.</t>
        </r>
      </text>
    </comment>
    <comment ref="H36" authorId="0">
      <text>
        <r>
          <rPr>
            <b/>
          </rPr>
          <t xml:space="preserve">EDGAR Mapper:
</t>
        </r>
        <r>
          <t xml:space="preserve">EDGAR mapping:
Source: SEC inline XBRL segment table
Period: 3Q23
Model row: Segment Analysis!H36 Japan Segment
Mapping type: segment
Concepts used: reportable segment Japan Segment Operating Income = 2443 mm
Unit conversion: raw USD to $mm
Sign: copied using model sign convention
Confidence: high
Notes: Segment Analysis rows may be relabeled to EDGAR reportable segments when the template exposes writable segment input rows.</t>
        </r>
      </text>
    </comment>
    <comment ref="I36" authorId="0">
      <text>
        <r>
          <rPr>
            <b/>
          </rPr>
          <t xml:space="preserve">EDGAR Mapper:
</t>
        </r>
        <r>
          <t xml:space="preserve">EDGAR mapping:
Source: SEC inline XBRL segment table
Period: 4Q23
Model row: Segment Analysis!I36 Japan Segment
Mapping type: segment
Concepts used: reportable segment Japan Segment Operating Income = 2815 mm
Unit conversion: raw USD to $mm
Sign: copied using model sign convention
Confidence: high
Notes: Segment Analysis rows may be relabeled to EDGAR reportable segments when the template exposes writable segment input rows.</t>
        </r>
      </text>
    </comment>
    <comment ref="K36" authorId="0">
      <text>
        <r>
          <rPr>
            <b/>
          </rPr>
          <t xml:space="preserve">EDGAR Mapper:
</t>
        </r>
        <r>
          <t xml:space="preserve">EDGAR mapping:
Source: SEC inline XBRL segment table
Period: 1Q24
Model row: Segment Analysis!K36 Japan Segment
Mapping type: segment
Concepts used: reportable segment Japan Segment Operating Income = 3819 mm
Unit conversion: raw USD to $mm
Sign: copied using model sign convention
Confidence: high
Notes: Segment Analysis rows may be relabeled to EDGAR reportable segments when the template exposes writable segment input rows.</t>
        </r>
      </text>
    </comment>
    <comment ref="L36" authorId="0">
      <text>
        <r>
          <rPr>
            <b/>
          </rPr>
          <t xml:space="preserve">EDGAR Mapper:
</t>
        </r>
        <r>
          <t xml:space="preserve">EDGAR mapping:
Source: SEC inline XBRL segment table
Period: 2Q24
Model row: Segment Analysis!L36 Japan Segment
Mapping type: segment
Concepts used: reportable segment Japan Segment Operating Income = 3135 mm
Unit conversion: raw USD to $mm
Sign: copied using model sign convention
Confidence: high
Notes: Segment Analysis rows may be relabeled to EDGAR reportable segments when the template exposes writable segment input rows.</t>
        </r>
      </text>
    </comment>
    <comment ref="M36" authorId="0">
      <text>
        <r>
          <rPr>
            <b/>
          </rPr>
          <t xml:space="preserve">EDGAR Mapper:
</t>
        </r>
        <r>
          <t xml:space="preserve">EDGAR mapping:
Source: SEC inline XBRL segment table
Period: 3Q24
Model row: Segment Analysis!M36 Japan Segment
Mapping type: segment
Concepts used: reportable segment Japan Segment Operating Income = 2544 mm
Unit conversion: raw USD to $mm
Sign: copied using model sign convention
Confidence: high
Notes: Segment Analysis rows may be relabeled to EDGAR reportable segments when the template exposes writable segment input rows.</t>
        </r>
      </text>
    </comment>
    <comment ref="N36" authorId="0">
      <text>
        <r>
          <rPr>
            <b/>
          </rPr>
          <t xml:space="preserve">EDGAR Mapper:
</t>
        </r>
        <r>
          <t xml:space="preserve">EDGAR mapping:
Source: SEC inline XBRL segment table
Period: 4Q24
Model row: Segment Analysis!N36 Japan Segment
Mapping type: segment
Concepts used: reportable segment Japan Segment Operating Income = 2956 mm
Unit conversion: raw USD to $mm
Sign: copied using model sign convention
Confidence: high
Notes: Segment Analysis rows may be relabeled to EDGAR reportable segments when the template exposes writable segment input rows.</t>
        </r>
      </text>
    </comment>
    <comment ref="P36" authorId="0">
      <text>
        <r>
          <rPr>
            <b/>
          </rPr>
          <t xml:space="preserve">EDGAR Mapper:
</t>
        </r>
        <r>
          <t xml:space="preserve">EDGAR mapping:
Source: SEC inline XBRL segment table
Period: 1Q25
Model row: Segment Analysis!P36 Japan Segment
Mapping type: segment
Concepts used: reportable segment Japan Segment Operating Income = 4314 mm
Unit conversion: raw USD to $mm
Sign: copied using model sign convention
Confidence: high
Notes: Segment Analysis rows may be relabeled to EDGAR reportable segments when the template exposes writable segment input rows.</t>
        </r>
      </text>
    </comment>
    <comment ref="Q36" authorId="0">
      <text>
        <r>
          <rPr>
            <b/>
          </rPr>
          <t xml:space="preserve">EDGAR Mapper:
</t>
        </r>
        <r>
          <t xml:space="preserve">EDGAR mapping:
Source: SEC inline XBRL segment table
Period: 2Q25
Model row: Segment Analysis!Q36 Japan Segment
Mapping type: segment
Concepts used: reportable segment Japan Segment Operating Income = 3434 mm
Unit conversion: raw USD to $mm
Sign: copied using model sign convention
Confidence: high
Notes: Segment Analysis rows may be relabeled to EDGAR reportable segments when the template exposes writable segment input rows.</t>
        </r>
      </text>
    </comment>
    <comment ref="R36" authorId="0">
      <text>
        <r>
          <rPr>
            <b/>
          </rPr>
          <t xml:space="preserve">EDGAR Mapper:
</t>
        </r>
        <r>
          <t xml:space="preserve">EDGAR mapping:
Source: SEC inline XBRL segment table
Period: 3Q25
Model row: Segment Analysis!R36 Japan Segment
Mapping type: segment
Concepts used: reportable segment Japan Segment Operating Income = 2872 mm
Unit conversion: raw USD to $mm
Sign: copied using model sign convention
Confidence: high
Notes: Segment Analysis rows may be relabeled to EDGAR reportable segments when the template exposes writable segment input rows.</t>
        </r>
      </text>
    </comment>
    <comment ref="S36" authorId="0">
      <text>
        <r>
          <rPr>
            <b/>
          </rPr>
          <t xml:space="preserve">EDGAR Mapper:
</t>
        </r>
        <r>
          <t xml:space="preserve">EDGAR mapping:
Source: SEC inline XBRL segment table
Period: 4Q25
Model row: Segment Analysis!S36 Japan Segment
Mapping type: segment
Concepts used: reportable segment Japan Segment Operating Income = 3335 mm
Unit conversion: raw USD to $mm
Sign: copied using model sign convention
Confidence: high
Notes: Segment Analysis rows may be relabeled to EDGAR reportable segments when the template exposes writable segment input rows.</t>
        </r>
      </text>
    </comment>
    <comment ref="U36" authorId="0">
      <text>
        <r>
          <rPr>
            <b/>
          </rPr>
          <t xml:space="preserve">EDGAR Mapper:
</t>
        </r>
        <r>
          <t xml:space="preserve">EDGAR mapping:
Source: SEC inline XBRL segment table
Period: 1Q26
Model row: Segment Analysis!U36 Japan Segment
Mapping type: segment
Concepts used: reportable segment Japan Segment Operating Income = 4613 mm
Unit conversion: raw USD to $mm
Sign: copied using model sign convention
Confidence: high
Notes: Segment Analysis rows may be relabeled to EDGAR reportable segments when the template exposes writable segment input rows.</t>
        </r>
      </text>
    </comment>
    <comment ref="V36" authorId="0">
      <text>
        <r>
          <rPr>
            <b/>
          </rPr>
          <t xml:space="preserve">EDGAR Mapper:
</t>
        </r>
        <r>
          <t xml:space="preserve">EDGAR mapping:
Source: SEC inline XBRL segment table
Period: 2Q26
Model row: Segment Analysis!V36 Japan Segment
Mapping type: segment
Concepts used: reportable segment Japan Segment Operating Income = 3839 mm
Unit conversion: raw USD to $mm
Sign: copied using model sign convention
Confidence: high
Notes: Segment Analysis rows may be relabeled to EDGAR reportable segments when the template exposes writable segment input rows.</t>
        </r>
      </text>
    </comment>
    <comment ref="F37" authorId="0">
      <text>
        <r>
          <rPr>
            <b/>
          </rPr>
          <t xml:space="preserve">EDGAR Mapper:
</t>
        </r>
        <r>
          <t>Calculated as the residual needed for Segment Analysis Operating Income rows to tie to EDGAR consolidated operating income.</t>
        </r>
      </text>
    </comment>
    <comment ref="G37" authorId="0">
      <text>
        <r>
          <rPr>
            <b/>
          </rPr>
          <t xml:space="preserve">EDGAR Mapper:
</t>
        </r>
        <r>
          <t>Calculated as the residual needed for Segment Analysis Operating Income rows to tie to EDGAR consolidated operating income.</t>
        </r>
      </text>
    </comment>
    <comment ref="H37" authorId="0">
      <text>
        <r>
          <rPr>
            <b/>
          </rPr>
          <t xml:space="preserve">EDGAR Mapper:
</t>
        </r>
        <r>
          <t>Calculated as the residual needed for Segment Analysis Operating Income rows to tie to EDGAR consolidated operating income.</t>
        </r>
      </text>
    </comment>
    <comment ref="I37" authorId="0">
      <text>
        <r>
          <rPr>
            <b/>
          </rPr>
          <t xml:space="preserve">EDGAR Mapper:
</t>
        </r>
        <r>
          <t>Calculated as the residual needed for Segment Analysis Operating Income rows to tie to EDGAR consolidated operating income.</t>
        </r>
      </text>
    </comment>
    <comment ref="K37" authorId="0">
      <text>
        <r>
          <rPr>
            <b/>
          </rPr>
          <t xml:space="preserve">EDGAR Mapper:
</t>
        </r>
        <r>
          <t>Calculated as the residual needed for Segment Analysis Operating Income rows to tie to EDGAR consolidated operating income.</t>
        </r>
      </text>
    </comment>
    <comment ref="L37" authorId="0">
      <text>
        <r>
          <rPr>
            <b/>
          </rPr>
          <t xml:space="preserve">EDGAR Mapper:
</t>
        </r>
        <r>
          <t>Calculated as the residual needed for Segment Analysis Operating Income rows to tie to EDGAR consolidated operating income.</t>
        </r>
      </text>
    </comment>
    <comment ref="M37" authorId="0">
      <text>
        <r>
          <rPr>
            <b/>
          </rPr>
          <t xml:space="preserve">EDGAR Mapper:
</t>
        </r>
        <r>
          <t>Calculated as the residual needed for Segment Analysis Operating Income rows to tie to EDGAR consolidated operating income.</t>
        </r>
      </text>
    </comment>
    <comment ref="N37" authorId="0">
      <text>
        <r>
          <rPr>
            <b/>
          </rPr>
          <t xml:space="preserve">EDGAR Mapper:
</t>
        </r>
        <r>
          <t>Calculated as the residual needed for Segment Analysis Operating Income rows to tie to EDGAR consolidated operating income.</t>
        </r>
      </text>
    </comment>
    <comment ref="P37" authorId="0">
      <text>
        <r>
          <rPr>
            <b/>
          </rPr>
          <t xml:space="preserve">EDGAR Mapper:
</t>
        </r>
        <r>
          <t>Calculated as the residual needed for Segment Analysis Operating Income rows to tie to EDGAR consolidated operating income.</t>
        </r>
      </text>
    </comment>
    <comment ref="Q37" authorId="0">
      <text>
        <r>
          <rPr>
            <b/>
          </rPr>
          <t xml:space="preserve">EDGAR Mapper:
</t>
        </r>
        <r>
          <t>Calculated as the residual needed for Segment Analysis Operating Income rows to tie to EDGAR consolidated operating income.</t>
        </r>
      </text>
    </comment>
    <comment ref="R37" authorId="0">
      <text>
        <r>
          <rPr>
            <b/>
          </rPr>
          <t xml:space="preserve">EDGAR Mapper:
</t>
        </r>
        <r>
          <t>Calculated as the residual needed for Segment Analysis Operating Income rows to tie to EDGAR consolidated operating income.</t>
        </r>
      </text>
    </comment>
    <comment ref="S37" authorId="0">
      <text>
        <r>
          <rPr>
            <b/>
          </rPr>
          <t xml:space="preserve">EDGAR Mapper:
</t>
        </r>
        <r>
          <t>Calculated as the residual needed for Segment Analysis Operating Income rows to tie to EDGAR consolidated operating income.</t>
        </r>
      </text>
    </comment>
    <comment ref="U37" authorId="0">
      <text>
        <r>
          <rPr>
            <b/>
          </rPr>
          <t xml:space="preserve">EDGAR Mapper:
</t>
        </r>
        <r>
          <t>Calculated as the residual needed for Segment Analysis Operating Income rows to tie to EDGAR consolidated operating income.</t>
        </r>
      </text>
    </comment>
    <comment ref="V37" authorId="0">
      <text>
        <r>
          <rPr>
            <b/>
          </rPr>
          <t xml:space="preserve">EDGAR Mapper:
</t>
        </r>
        <r>
          <t>Calculated as the residual needed for Segment Analysis Operating Income rows to tie to EDGAR consolidated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<sst xmlns="http://schemas.openxmlformats.org/spreadsheetml/2006/main" count="16482" uniqueCount="2532">
  <si>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</si>
  <si>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</si>
  <si>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</si>
  <si>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</si>
  <si>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</si>
  <si>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</si>
  <si>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</si>
  <si>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</si>
  <si>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</si>
  <si>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</si>
  <si>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</si>
  <si>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</si>
  <si>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</si>
  <si>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</si>
  <si>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</si>
  <si>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</si>
  <si>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</si>
  <si>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</si>
  <si>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</si>
  <si>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</si>
  <si>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</si>
  <si>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</si>
  <si>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</si>
  <si>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</si>
  <si>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Apple Inc.</t>
  </si>
  <si>
    <t>Ticker</t>
  </si>
  <si>
    <t>AAPL</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</si>
  <si>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</si>
  <si>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</si>
  <si>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</si>
  <si>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</si>
  <si>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</si>
  <si>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</si>
  <si>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</si>
  <si>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</si>
  <si>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</si>
  <si>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</si>
  <si>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</si>
  <si>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</si>
  <si>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</si>
  <si>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</si>
  <si>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</si>
  <si>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</si>
  <si>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</si>
  <si>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</si>
  <si>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</si>
  <si>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</si>
  <si>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</si>
  <si>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</si>
  <si>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</si>
  <si>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</si>
  <si>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</si>
  <si>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</si>
  <si>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</si>
  <si>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</si>
  <si>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</si>
  <si>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</si>
  <si>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</si>
  <si>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</si>
  <si>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</si>
  <si>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</si>
  <si>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</si>
  <si>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</si>
  <si>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</si>
  <si>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</si>
  <si>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</si>
  <si>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</si>
  <si>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</si>
  <si>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</si>
  <si>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</si>
  <si>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</si>
  <si>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</si>
  <si>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</si>
  <si>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</si>
  <si>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</si>
  <si>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</si>
  <si>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</si>
  <si>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</si>
  <si>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</si>
  <si>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</si>
  <si>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</si>
  <si>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</si>
  <si>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</si>
  <si>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</si>
  <si>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</si>
  <si>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</si>
  <si>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</si>
  <si>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</si>
  <si>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</si>
  <si>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</si>
  <si>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</si>
  <si>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</si>
  <si>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</si>
  <si>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</si>
  <si>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</si>
  <si>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</si>
  <si>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</si>
  <si>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</si>
  <si>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</si>
  <si>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</si>
  <si>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</si>
  <si>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</si>
  <si>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</si>
  <si>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</si>
  <si>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</si>
  <si>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</si>
  <si>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</si>
  <si>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</si>
  <si>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</si>
  <si>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</si>
  <si>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</si>
  <si>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</si>
  <si>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</si>
  <si>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</si>
  <si>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</si>
  <si>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</si>
  <si>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</si>
  <si>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</si>
  <si>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</si>
  <si>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</si>
  <si>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</si>
  <si>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</si>
  <si>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</si>
  <si>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</si>
  <si>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</si>
  <si>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</si>
  <si>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</si>
  <si>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</si>
  <si>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</si>
  <si>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</si>
  <si>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</si>
  <si>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</si>
  <si>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</si>
  <si>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</si>
  <si>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</si>
  <si>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</si>
  <si>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</si>
  <si>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</si>
  <si>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</si>
  <si>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</si>
  <si>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</si>
  <si>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</si>
  <si>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</si>
  <si>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</si>
  <si>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</si>
  <si>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</si>
  <si>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</si>
  <si>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</si>
  <si>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</si>
  <si>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</si>
  <si>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</si>
  <si>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</si>
  <si>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</si>
  <si>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</si>
  <si>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</si>
  <si>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</si>
  <si>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</si>
  <si>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</si>
  <si>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</si>
  <si>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</si>
  <si>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</si>
  <si>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</si>
  <si>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</si>
  <si>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</si>
  <si>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</si>
  <si>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</si>
  <si>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</si>
  <si>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</si>
  <si>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</si>
  <si>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</si>
  <si>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</si>
  <si>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</si>
  <si>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</si>
  <si>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</si>
  <si>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</si>
  <si>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</si>
  <si>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</si>
  <si>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</si>
  <si>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</si>
  <si>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</si>
  <si>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</si>
  <si>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</si>
  <si>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</si>
  <si>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</si>
  <si>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</si>
  <si>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</si>
  <si>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</si>
  <si>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</si>
  <si>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</si>
  <si>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</si>
  <si>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</si>
  <si>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</si>
  <si>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</si>
  <si>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</si>
  <si>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</si>
  <si>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</si>
  <si>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</si>
  <si>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</si>
  <si>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</si>
  <si>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</si>
  <si>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</si>
  <si>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</si>
  <si>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</si>
  <si>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</si>
  <si>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</si>
  <si>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</si>
  <si>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</si>
  <si>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</si>
  <si>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</si>
  <si>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</si>
  <si>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</si>
  <si>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</si>
  <si>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</si>
  <si>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</si>
  <si>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</si>
  <si>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</si>
  <si>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</si>
  <si>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</si>
  <si>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</si>
  <si>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</si>
  <si>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</si>
  <si>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</si>
  <si>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</si>
  <si>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</si>
  <si>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</si>
  <si>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</si>
  <si>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</si>
  <si>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</si>
  <si>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</si>
  <si>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</si>
  <si>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</si>
  <si>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</si>
  <si>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</si>
  <si>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</si>
  <si>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</si>
  <si>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</si>
  <si>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</si>
  <si>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</si>
  <si>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</si>
  <si>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</si>
  <si>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</si>
  <si>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</si>
  <si>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</si>
  <si>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</si>
  <si>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</si>
  <si>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</si>
  <si>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</si>
  <si>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</si>
  <si>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</si>
  <si>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</si>
  <si>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</si>
  <si>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</si>
  <si>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</si>
  <si>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</si>
  <si>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</si>
  <si>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</si>
  <si>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</si>
  <si>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</si>
  <si>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</si>
  <si>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</si>
  <si>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</si>
  <si>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</si>
  <si>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</si>
  <si>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</si>
  <si>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</si>
  <si>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</si>
  <si>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</si>
  <si>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</si>
  <si>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</si>
  <si>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</si>
  <si>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</si>
  <si>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</si>
  <si>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</si>
  <si>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</si>
  <si>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</si>
  <si>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</si>
  <si>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</si>
  <si>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</si>
  <si>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</si>
  <si>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</si>
  <si>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</si>
  <si>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</si>
  <si>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</si>
  <si>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</si>
  <si>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</si>
  <si>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</si>
  <si>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</si>
  <si>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</si>
  <si>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</si>
  <si>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</si>
  <si>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</si>
  <si>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</si>
  <si>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</si>
  <si>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</si>
  <si>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</si>
  <si>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</si>
  <si>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</si>
  <si>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</si>
  <si>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</si>
  <si>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</si>
  <si>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</si>
  <si>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</si>
  <si>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</si>
  <si>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</si>
  <si>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</si>
  <si>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</si>
  <si>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</si>
  <si>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</si>
  <si>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</si>
  <si>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</si>
  <si>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</si>
  <si>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</si>
  <si>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</si>
  <si>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</si>
  <si>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</si>
  <si>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</si>
  <si>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</si>
  <si>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</si>
  <si>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</si>
  <si>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</si>
  <si>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</si>
  <si>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</si>
  <si>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</si>
  <si>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</si>
  <si>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</si>
  <si>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</si>
  <si>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</si>
  <si>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</si>
  <si>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</si>
  <si>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</si>
  <si>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</si>
  <si>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</si>
  <si>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</si>
  <si>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</si>
  <si>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</si>
  <si>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</si>
  <si>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</si>
  <si>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</si>
  <si>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</si>
  <si>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</si>
  <si>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</si>
  <si>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</si>
  <si>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</si>
  <si>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</si>
  <si>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</si>
  <si>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</si>
  <si>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</si>
  <si>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</si>
  <si>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</si>
  <si>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</si>
  <si>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</si>
  <si>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</si>
  <si>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</si>
  <si>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</si>
  <si>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</si>
  <si>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</si>
  <si>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</si>
  <si>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</si>
  <si>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</si>
  <si>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</si>
  <si>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</si>
  <si>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</si>
  <si>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</si>
  <si>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</si>
  <si>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</si>
  <si>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</si>
  <si>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</si>
  <si>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</si>
  <si>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</si>
  <si>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</si>
  <si>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</si>
  <si>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</si>
  <si>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</si>
  <si>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</si>
  <si>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</si>
  <si>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</si>
  <si>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</si>
  <si>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</si>
  <si>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</si>
  <si>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</si>
  <si>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</si>
  <si>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</si>
  <si>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</si>
  <si>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</si>
  <si>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</si>
  <si>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</si>
  <si>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</si>
  <si>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</si>
  <si>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</si>
  <si>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</si>
  <si>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</si>
  <si>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</si>
  <si>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</si>
  <si>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</si>
  <si>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</si>
  <si>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</si>
  <si>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</si>
  <si>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</si>
  <si>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</si>
  <si>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</si>
  <si>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</si>
  <si>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</si>
  <si>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</si>
  <si>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</si>
  <si>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</si>
  <si>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</si>
  <si>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</si>
  <si>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</si>
  <si>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</si>
  <si>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</si>
  <si>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</si>
  <si>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</si>
  <si>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</si>
  <si>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</si>
  <si>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</si>
  <si>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</si>
  <si>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</si>
  <si>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</si>
  <si>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</si>
  <si>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</si>
  <si>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</si>
  <si>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</si>
  <si>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</si>
  <si>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</si>
  <si>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</si>
  <si>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</si>
  <si>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</si>
  <si>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</si>
  <si>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</si>
  <si>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</si>
  <si>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</si>
  <si>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</si>
  <si>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</si>
  <si>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</si>
  <si>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</si>
  <si>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</si>
  <si>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</si>
  <si>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</si>
  <si>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</si>
  <si>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</si>
  <si>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</si>
  <si>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</si>
  <si>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</si>
  <si>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</si>
  <si>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</si>
  <si>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</si>
  <si>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Services</t>
  </si>
  <si>
    <t>iPhone</t>
  </si>
  <si>
    <t>Mac</t>
  </si>
  <si>
    <t>Other / Reconciliation</t>
  </si>
  <si>
    <t>Wearables, Home and Accessories</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</si>
  <si>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</si>
  <si>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</si>
  <si>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</si>
  <si>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</si>
  <si>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</si>
  <si>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</si>
  <si>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</si>
  <si>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</si>
  <si>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</si>
  <si>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</si>
  <si>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</si>
  <si>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</si>
  <si>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</si>
  <si>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</si>
  <si>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</si>
  <si>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</si>
  <si>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</si>
  <si>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</si>
  <si>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</si>
  <si>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</si>
  <si>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</si>
  <si>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</si>
  <si>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</si>
  <si>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</si>
  <si>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</si>
  <si>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</si>
  <si>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</si>
  <si>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</si>
  <si>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</si>
  <si>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</si>
  <si>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</si>
  <si>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</si>
  <si>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</si>
  <si>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</si>
  <si>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</si>
  <si>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</si>
  <si>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</si>
  <si>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</si>
  <si>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</si>
  <si>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</si>
  <si>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</si>
  <si>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</si>
  <si>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</si>
  <si>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</si>
  <si>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</si>
  <si>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</si>
  <si>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</si>
  <si>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</si>
  <si>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</si>
  <si>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</si>
  <si>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</si>
  <si>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</si>
  <si>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</si>
  <si>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</si>
  <si>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</si>
  <si>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</si>
  <si>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</si>
  <si>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</si>
  <si>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</si>
  <si>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</si>
  <si>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</si>
  <si>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</si>
  <si>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</si>
  <si>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</si>
  <si>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</si>
  <si>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</si>
  <si>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</si>
  <si>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</si>
  <si>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</si>
  <si>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</si>
  <si>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</si>
  <si>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</si>
  <si>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</si>
  <si>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</si>
  <si>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</si>
  <si>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</si>
  <si>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</si>
  <si>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</si>
  <si>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</si>
  <si>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</si>
  <si>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</si>
  <si>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</si>
  <si>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</si>
  <si>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</si>
  <si>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</si>
  <si>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</si>
  <si>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</si>
  <si>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</si>
  <si>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</si>
  <si>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</si>
  <si>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</si>
  <si>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</si>
  <si>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</si>
  <si>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</si>
  <si>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</si>
  <si>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</si>
  <si>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</si>
  <si>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</si>
  <si>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</si>
  <si>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</si>
  <si>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</si>
  <si>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</si>
  <si>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</si>
  <si>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</si>
  <si>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</si>
  <si>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</si>
  <si>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</si>
  <si>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</si>
  <si>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</si>
  <si>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</si>
  <si>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</si>
  <si>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</si>
  <si>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</si>
  <si>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</si>
  <si>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</si>
  <si>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</si>
  <si>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</si>
  <si>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</si>
  <si>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</si>
  <si>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</si>
  <si>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</si>
  <si>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</si>
  <si>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</si>
  <si>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</si>
  <si>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</si>
  <si>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</si>
  <si>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</si>
  <si>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</si>
  <si>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</si>
  <si>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</si>
  <si>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</si>
  <si>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</si>
  <si>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</si>
  <si>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</si>
  <si>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</si>
  <si>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</si>
  <si>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</si>
  <si>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</si>
  <si>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</si>
  <si>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</si>
  <si>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</si>
  <si>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</si>
  <si>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</si>
  <si>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</si>
  <si>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</si>
  <si>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</si>
  <si>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</si>
  <si>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</si>
  <si>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</si>
  <si>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</si>
  <si>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</si>
  <si>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</si>
  <si>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</si>
  <si>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</si>
  <si>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</si>
  <si>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</si>
  <si>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</si>
  <si>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</si>
  <si>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</si>
  <si>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</si>
  <si>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</si>
  <si>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</si>
  <si>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</si>
  <si>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</si>
  <si>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</si>
  <si>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</si>
  <si>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</si>
  <si>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</si>
  <si>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</si>
  <si>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</si>
  <si>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</si>
  <si>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</si>
  <si>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</si>
  <si>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</si>
  <si>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</si>
  <si>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</si>
  <si>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</si>
  <si>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</si>
  <si>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</si>
  <si>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</si>
  <si>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</si>
  <si>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</si>
  <si>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</si>
  <si>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</si>
  <si>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</si>
  <si>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</si>
  <si>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</si>
  <si>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</si>
  <si>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</si>
  <si>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</si>
  <si>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</si>
  <si>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</si>
  <si>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</si>
  <si>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</si>
  <si>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</si>
  <si>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</si>
  <si>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</si>
  <si>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</si>
  <si>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</si>
  <si>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</si>
  <si>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</si>
  <si>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</si>
  <si>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</si>
  <si>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</si>
  <si>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</si>
  <si>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</si>
  <si>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</si>
  <si>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</si>
  <si>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</si>
  <si>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</si>
  <si>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</si>
  <si>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</si>
  <si>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</si>
  <si>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</si>
  <si>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</si>
  <si>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</si>
  <si>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</si>
  <si>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</si>
  <si>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</si>
  <si>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</si>
  <si>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</si>
  <si>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</si>
  <si>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</si>
  <si>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</si>
  <si>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</si>
  <si>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</si>
  <si>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</si>
  <si>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</si>
  <si>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</si>
  <si>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</si>
  <si>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</si>
  <si>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</si>
  <si>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</si>
  <si>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</si>
  <si>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</si>
  <si>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</si>
  <si>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</si>
  <si>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</si>
  <si>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</si>
  <si>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</si>
  <si>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</si>
  <si>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</si>
  <si>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</si>
  <si>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</si>
  <si>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</si>
  <si>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</si>
  <si>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</si>
  <si>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</si>
  <si>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</si>
  <si>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</si>
  <si>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</si>
  <si>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</si>
  <si>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</si>
  <si>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</si>
  <si>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</si>
  <si>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</si>
  <si>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</si>
  <si>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</si>
  <si>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</si>
  <si>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</si>
  <si>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</si>
  <si>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</si>
  <si>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</si>
  <si>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</si>
  <si>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</si>
  <si>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</si>
  <si>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</si>
  <si>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</si>
  <si>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</si>
  <si>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</si>
  <si>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</si>
  <si>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</si>
  <si>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</si>
  <si>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</si>
  <si>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</si>
  <si>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</si>
  <si>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</si>
  <si>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</si>
  <si>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</si>
  <si>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</si>
  <si>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</si>
  <si>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</si>
  <si>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</si>
  <si>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</si>
  <si>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</si>
  <si>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</si>
  <si>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</si>
  <si>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</si>
  <si>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</si>
  <si>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</si>
  <si>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</si>
  <si>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</si>
  <si>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</si>
  <si>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</si>
  <si>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</si>
  <si>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</si>
  <si>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</si>
  <si>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</si>
  <si>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</si>
  <si>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</si>
  <si>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</si>
  <si>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</si>
  <si>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</si>
  <si>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</si>
  <si>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</si>
  <si>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</si>
  <si>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</si>
  <si>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</si>
  <si>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</si>
  <si>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</si>
  <si>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</si>
  <si>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</si>
  <si>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</si>
  <si>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</si>
  <si>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</si>
  <si>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</si>
  <si>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</si>
  <si>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</si>
  <si>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</si>
  <si>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</si>
  <si>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</si>
  <si>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</si>
  <si>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</si>
  <si>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</si>
  <si>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</si>
  <si>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</si>
  <si>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</si>
  <si>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</si>
  <si>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</si>
  <si>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</si>
  <si>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</si>
  <si>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</si>
  <si>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</si>
  <si>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</si>
  <si>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</si>
  <si>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</si>
  <si>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</si>
  <si>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</si>
  <si>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</si>
  <si>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</si>
  <si>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</si>
  <si>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</si>
  <si>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</si>
  <si>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</si>
  <si>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</si>
  <si>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</si>
  <si>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</si>
  <si>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</si>
  <si>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</si>
  <si>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</si>
  <si>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</si>
  <si>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</si>
  <si>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</si>
  <si>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</si>
  <si>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</si>
  <si>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</si>
  <si>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</si>
  <si>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</si>
  <si>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</si>
  <si>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</si>
  <si>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</si>
  <si>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</si>
  <si>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</si>
  <si>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</si>
  <si>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</si>
  <si>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</si>
  <si>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</si>
  <si>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</si>
  <si>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</si>
  <si>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</si>
  <si>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</si>
  <si>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</si>
  <si>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</si>
  <si>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</si>
  <si>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</si>
  <si>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</si>
  <si>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</si>
  <si>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</si>
  <si>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</si>
  <si>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</si>
  <si>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</si>
  <si>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</si>
  <si>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</si>
  <si>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</si>
  <si>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</si>
  <si>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</si>
  <si>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</si>
  <si>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</si>
  <si>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</si>
  <si>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</si>
  <si>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</si>
  <si>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</si>
  <si>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</si>
  <si>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</si>
  <si>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</si>
  <si>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</si>
  <si>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</si>
  <si>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</si>
  <si>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</si>
  <si>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</si>
  <si>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</si>
  <si>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</si>
  <si>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</si>
  <si>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</si>
  <si>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</si>
  <si>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</si>
  <si>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</si>
  <si>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</si>
  <si>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</si>
  <si>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</si>
  <si>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</si>
  <si>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</si>
  <si>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</si>
  <si>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</si>
  <si>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</si>
  <si>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</si>
  <si>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</si>
  <si>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</si>
  <si>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</si>
  <si>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</si>
  <si>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</si>
  <si>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</si>
  <si>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</si>
  <si>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</si>
  <si>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</si>
  <si>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</si>
  <si>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</si>
  <si>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</si>
  <si>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</si>
  <si>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</si>
  <si>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</si>
  <si>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</si>
  <si>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</si>
  <si>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</si>
  <si>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</si>
  <si>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</si>
  <si>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</si>
  <si>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</si>
  <si>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</si>
  <si>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</si>
  <si>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</si>
  <si>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</si>
  <si>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</si>
  <si>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</si>
  <si>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</si>
  <si>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</si>
  <si>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</si>
  <si>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</si>
  <si>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</si>
  <si>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</si>
  <si>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</si>
  <si>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</si>
  <si>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</si>
  <si>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</si>
  <si>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</si>
  <si>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</si>
  <si>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</si>
  <si>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</si>
  <si>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</si>
  <si>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</si>
  <si>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</si>
  <si>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</si>
  <si>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</si>
  <si>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</si>
  <si>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</si>
  <si>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</si>
  <si>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</si>
  <si>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</si>
  <si>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</si>
  <si>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</si>
  <si>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</si>
  <si>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</si>
  <si>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</si>
  <si>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</si>
  <si>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</si>
  <si>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</si>
  <si>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</si>
  <si>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</si>
  <si>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</si>
  <si>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</si>
  <si>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</si>
  <si>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</si>
  <si>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</si>
  <si>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</si>
  <si>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</si>
  <si>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</si>
  <si>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</si>
  <si>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</si>
  <si>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</si>
  <si>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</si>
  <si>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</si>
  <si>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</si>
  <si>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</si>
  <si>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</si>
  <si>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</si>
  <si>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</si>
  <si>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</si>
  <si>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</si>
  <si>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</si>
  <si>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</si>
  <si>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</si>
  <si>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</si>
  <si>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</si>
  <si>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</si>
  <si>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</si>
  <si>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</si>
  <si>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</si>
  <si>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</si>
  <si>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</si>
  <si>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</si>
  <si>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</si>
  <si>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</si>
  <si>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</si>
  <si>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</si>
  <si>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</si>
  <si>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</si>
  <si>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</si>
  <si>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</si>
  <si>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</si>
  <si>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</si>
  <si>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</si>
  <si>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</si>
  <si>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</si>
  <si>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</si>
  <si>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</si>
  <si>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</si>
  <si>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</si>
  <si>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</si>
  <si>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</si>
  <si>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</si>
  <si>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</si>
  <si>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</si>
  <si>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</si>
  <si>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</si>
  <si>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</si>
  <si>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</si>
  <si>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</si>
  <si>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</si>
  <si>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</si>
  <si>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</si>
  <si>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</si>
  <si>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</si>
  <si>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</si>
  <si>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</si>
  <si>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</si>
  <si>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</si>
  <si>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</si>
  <si>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</si>
  <si>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</si>
  <si>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</si>
  <si>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</si>
  <si>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</si>
  <si>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</si>
  <si>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</si>
  <si>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</si>
  <si>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</si>
  <si>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</si>
  <si>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</si>
  <si>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</si>
  <si>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</si>
  <si>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</si>
  <si>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</si>
  <si>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</si>
  <si>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</si>
  <si>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</si>
  <si>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</si>
  <si>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</si>
  <si>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</si>
  <si>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</si>
  <si>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</si>
  <si>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</si>
  <si>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</si>
  <si>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</si>
  <si>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CostOfGoodsAndServicesSold=66822mm</t>
  </si>
  <si>
    <t>Cost of Goods and Services Sold</t>
  </si>
  <si>
    <t>0000320193-23-000006</t>
  </si>
  <si>
    <t>https://www.sec.gov/Archives/edgar/data/320193/000032019323000006/</t>
  </si>
  <si>
    <t>10-Q</t>
  </si>
  <si>
    <t>2023-02-03</t>
  </si>
  <si>
    <t>2022-09-25</t>
  </si>
  <si>
    <t>2022-12-31</t>
  </si>
  <si>
    <t>not a formula cell</t>
  </si>
  <si>
    <t>inverted to match model sign convention</t>
  </si>
  <si>
    <t>OK!</t>
  </si>
  <si>
    <t>Cost of revenue normalized from EDGAR cost concepts.</t>
  </si>
  <si>
    <t>G29</t>
  </si>
  <si>
    <t>CostOfGoodsAndServicesSold=52860mm</t>
  </si>
  <si>
    <t>0000320193-23-000064</t>
  </si>
  <si>
    <t>https://www.sec.gov/Archives/edgar/data/320193/000032019323000064/</t>
  </si>
  <si>
    <t>2023-05-05</t>
  </si>
  <si>
    <t>2023-01-01</t>
  </si>
  <si>
    <t>2023-04-01</t>
  </si>
  <si>
    <t>H29</t>
  </si>
  <si>
    <t>CostOfGoodsAndServicesSold=45384mm</t>
  </si>
  <si>
    <t>0000320193-23-000077</t>
  </si>
  <si>
    <t>https://www.sec.gov/Archives/edgar/data/320193/000032019323000077/</t>
  </si>
  <si>
    <t>2023-08-04</t>
  </si>
  <si>
    <t>2023-04-02</t>
  </si>
  <si>
    <t>2023-07-01</t>
  </si>
  <si>
    <t>I29</t>
  </si>
  <si>
    <t>formula updated</t>
  </si>
  <si>
    <t>CostOfGoodsAndServicesSold=49071mm</t>
  </si>
  <si>
    <t>Cost of Goods and Services Sold (derived Q4)</t>
  </si>
  <si>
    <t>0000320193-23-000106</t>
  </si>
  <si>
    <t>https://www.sec.gov/Archives/edgar/data/320193/000032019323000106/</t>
  </si>
  <si>
    <t>10-K</t>
  </si>
  <si>
    <t>2023-11-03</t>
  </si>
  <si>
    <t>2023-09-30</t>
  </si>
  <si>
    <t>formula bridge updated</t>
  </si>
  <si>
    <t>formula result refreshed</t>
  </si>
  <si>
    <t>medium</t>
  </si>
  <si>
    <t>Updated the preserved formula's cached result from EDGAR while keeping the model formula in place.</t>
  </si>
  <si>
    <t>K29</t>
  </si>
  <si>
    <t>CostOfGoodsAndServicesSold=64720mm</t>
  </si>
  <si>
    <t>0000320193-24-000006</t>
  </si>
  <si>
    <t>https://www.sec.gov/Archives/edgar/data/320193/000032019324000006/</t>
  </si>
  <si>
    <t>2024-02-02</t>
  </si>
  <si>
    <t>2023-10-01</t>
  </si>
  <si>
    <t>2023-12-30</t>
  </si>
  <si>
    <t>L29</t>
  </si>
  <si>
    <t>CostOfGoodsAndServicesSold=48482mm</t>
  </si>
  <si>
    <t>0000320193-24-000069</t>
  </si>
  <si>
    <t>https://www.sec.gov/Archives/edgar/data/320193/000032019324000069/</t>
  </si>
  <si>
    <t>2024-05-03</t>
  </si>
  <si>
    <t>2023-12-31</t>
  </si>
  <si>
    <t>2024-03-30</t>
  </si>
  <si>
    <t>M29</t>
  </si>
  <si>
    <t>CostOfGoodsAndServicesSold=46099mm</t>
  </si>
  <si>
    <t>0000320193-24-000081</t>
  </si>
  <si>
    <t>https://www.sec.gov/Archives/edgar/data/320193/000032019324000081/</t>
  </si>
  <si>
    <t>2024-08-02</t>
  </si>
  <si>
    <t>2024-03-31</t>
  </si>
  <si>
    <t>2024-06-29</t>
  </si>
  <si>
    <t>N29</t>
  </si>
  <si>
    <t>grouped</t>
  </si>
  <si>
    <t>CostOfGoodsAndServicesSold=51051mm</t>
  </si>
  <si>
    <t>0000320193-24-000123</t>
  </si>
  <si>
    <t>https://www.sec.gov/Archives/edgar/data/320193/000032019324000123/</t>
  </si>
  <si>
    <t>2024-11-01</t>
  </si>
  <si>
    <t>2024-09-28</t>
  </si>
  <si>
    <t>Grouped from EDGAR: Cost of Goods and Services Sold (derived Q4). Cost of revenue normalized from EDGAR cost concepts. Quarterly value was derived from Cost of Goods and Services Sold less 1Q24, 2Q24, 3Q24. Filing commentary support: 10-K filed 2024-11-01: "to customers through its retail and online stores and its direct sales force. The Company also employs a variety of indirect distribution channels, such as third-party cellular network carriers, wholesalers, retailers and resellers. During 2024, the Company’s net sales through it..."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t>
  </si>
  <si>
    <t>P29</t>
  </si>
  <si>
    <t>CostOfGoodsAndServicesSold=66025mm</t>
  </si>
  <si>
    <t>0000320193-25-000008</t>
  </si>
  <si>
    <t>https://www.sec.gov/Archives/edgar/data/320193/000032019325000008/</t>
  </si>
  <si>
    <t>2025-01-31</t>
  </si>
  <si>
    <t>2024-09-29</t>
  </si>
  <si>
    <t>2024-12-28</t>
  </si>
  <si>
    <t>formula cached result updated</t>
  </si>
  <si>
    <t>Q29</t>
  </si>
  <si>
    <t>CostOfGoodsAndServicesSold=50492mm</t>
  </si>
  <si>
    <t>0000320193-25-000057</t>
  </si>
  <si>
    <t>https://www.sec.gov/Archives/edgar/data/320193/000032019325000057/</t>
  </si>
  <si>
    <t>2025-05-02</t>
  </si>
  <si>
    <t>2024-12-29</t>
  </si>
  <si>
    <t>2025-03-29</t>
  </si>
  <si>
    <t>R29</t>
  </si>
  <si>
    <t>CostOfGoodsAndServicesSold=50318mm</t>
  </si>
  <si>
    <t>0000320193-25-000073</t>
  </si>
  <si>
    <t>https://www.sec.gov/Archives/edgar/data/320193/000032019325000073/</t>
  </si>
  <si>
    <t>2025-08-01</t>
  </si>
  <si>
    <t>2025-03-30</t>
  </si>
  <si>
    <t>2025-06-28</t>
  </si>
  <si>
    <t>S29</t>
  </si>
  <si>
    <t>CostOfGoodsAndServicesSold=54125mm</t>
  </si>
  <si>
    <t>0000320193-25-000079</t>
  </si>
  <si>
    <t>https://www.sec.gov/Archives/edgar/data/320193/000032019325000079/</t>
  </si>
  <si>
    <t>2025-10-31</t>
  </si>
  <si>
    <t>2025-09-27</t>
  </si>
  <si>
    <t>Grouped from EDGAR: Cost of Goods and Services Sold (derived Q4). Cost of revenue normalized from EDGAR cost concepts. Quarterly value was derived from Cost of Goods and Services Sold less 1Q25, 2Q25, 3Q25. Filing commentary support: 10-K filed 2025-10-31: "hrough its various service platforms. The Company also employs a variety of indirect distribution channels, such as third-party cellular network carriers and other resellers, for the sale of its products and certain of its services. During 2025, the Company’s net sales through it..."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t>
  </si>
  <si>
    <t>U29</t>
  </si>
  <si>
    <t>CostOfGoodsAndServicesSold=74525mm</t>
  </si>
  <si>
    <t>0000320193-26-000006</t>
  </si>
  <si>
    <t>https://www.sec.gov/Archives/edgar/data/320193/000032019326000006/</t>
  </si>
  <si>
    <t>2026-01-30</t>
  </si>
  <si>
    <t>2025-09-28</t>
  </si>
  <si>
    <t>2025-12-27</t>
  </si>
  <si>
    <t>V29</t>
  </si>
  <si>
    <t>2Q26</t>
  </si>
  <si>
    <t>CostOfGoodsAndServicesSold=56403mm</t>
  </si>
  <si>
    <t>0000320193-26-000013</t>
  </si>
  <si>
    <t>https://www.sec.gov/Archives/edgar/data/320193/000032019326000013/</t>
  </si>
  <si>
    <t>2026-05-01</t>
  </si>
  <si>
    <t>2025-12-28</t>
  </si>
  <si>
    <t>2026-03-28</t>
  </si>
  <si>
    <t>F32</t>
  </si>
  <si>
    <t>SellingGeneralAndAdministrativeExpense=6607mm</t>
  </si>
  <si>
    <t>Selling, General and Administrative Expense</t>
  </si>
  <si>
    <t>copied</t>
  </si>
  <si>
    <t>Grouped from EDGAR: Selling, General and Administrative Expense. Mapped to EDGAR selling, general, and administrative expense.</t>
  </si>
  <si>
    <t>G32</t>
  </si>
  <si>
    <t>SellingGeneralAndAdministrativeExpense=6201mm</t>
  </si>
  <si>
    <t>H32</t>
  </si>
  <si>
    <t>SellingGeneralAndAdministrativeExpense=5973mm</t>
  </si>
  <si>
    <t>I32</t>
  </si>
  <si>
    <t>SellingGeneralAndAdministrativeExpense=6151mm</t>
  </si>
  <si>
    <t>Selling, General and Administrative Expense (derived Q4)</t>
  </si>
  <si>
    <t>K32</t>
  </si>
  <si>
    <t>SellingGeneralAndAdministrativeExpense=6786mm</t>
  </si>
  <si>
    <t>L32</t>
  </si>
  <si>
    <t>SellingGeneralAndAdministrativeExpense=6468mm</t>
  </si>
  <si>
    <t>M32</t>
  </si>
  <si>
    <t>SellingGeneralAndAdministrativeExpense=6320mm</t>
  </si>
  <si>
    <t>N32</t>
  </si>
  <si>
    <t>SellingGeneralAndAdministrativeExpense=6523mm</t>
  </si>
  <si>
    <t>Grouped from EDGAR: Selling, General and Administrative Expense (derived Q4). Mapped to EDGAR selling, general, and administrative expense. Quarterly value was derived from Selling, General and Administrative Expense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</si>
  <si>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P32</t>
  </si>
  <si>
    <t>SellingGeneralAndAdministrativeExpense=7175mm</t>
  </si>
  <si>
    <t>Q32</t>
  </si>
  <si>
    <t>SellingGeneralAndAdministrativeExpense=6728mm</t>
  </si>
  <si>
    <t>R32</t>
  </si>
  <si>
    <t>SellingGeneralAndAdministrativeExpense=6650mm</t>
  </si>
  <si>
    <t>S32</t>
  </si>
  <si>
    <t>SellingGeneralAndAdministrativeExpense=7048mm</t>
  </si>
  <si>
    <t>Grouped from EDGAR: Selling, General and Administrative Expense (derived Q4). Mapped to EDGAR selling, general, and administrative expense. Quarterly value was derived from Selling, General and Administrative Expense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</si>
  <si>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U32</t>
  </si>
  <si>
    <t>SellingGeneralAndAdministrativeExpense=7492mm</t>
  </si>
  <si>
    <t>V32</t>
  </si>
  <si>
    <t>SellingGeneralAndAdministrativeExpense=7477mm</t>
  </si>
  <si>
    <t>F33</t>
  </si>
  <si>
    <t>ResearchAndDevelopmentExpense=7709mm</t>
  </si>
  <si>
    <t>Research and Development Expense</t>
  </si>
  <si>
    <t>Grouped from EDGAR: Research and Development Expense. Mapped to EDGAR research, development, technology, or technology/content operating expense.</t>
  </si>
  <si>
    <t>G33</t>
  </si>
  <si>
    <t>ResearchAndDevelopmentExpense=7457mm</t>
  </si>
  <si>
    <t>H33</t>
  </si>
  <si>
    <t>ResearchAndDevelopmentExpense=7442mm</t>
  </si>
  <si>
    <t>I33</t>
  </si>
  <si>
    <t>ResearchAndDevelopmentExpense=7307mm</t>
  </si>
  <si>
    <t>Research and Development Expense (derived Q4)</t>
  </si>
  <si>
    <t>Grouped from EDGAR: Research and Development Expense (derived Q4). Mapped to EDGAR research, development, technology, or technology/content operating expense. Quarterly value was derived from Research and Development Expense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t>
  </si>
  <si>
    <t>K33</t>
  </si>
  <si>
    <t>ResearchAndDevelopmentExpense=7696mm</t>
  </si>
  <si>
    <t>L33</t>
  </si>
  <si>
    <t>ResearchAndDevelopmentExpense=7903mm</t>
  </si>
  <si>
    <t>M33</t>
  </si>
  <si>
    <t>ResearchAndDevelopmentExpense=8006mm</t>
  </si>
  <si>
    <t>N33</t>
  </si>
  <si>
    <t>ResearchAndDevelopmentExpense=7765mm</t>
  </si>
  <si>
    <t>Grouped from EDGAR: Research and Development Expense (derived Q4). Mapped to EDGAR research, development, technology, or technology/content operating expense. Quarterly value was derived from Research and Development Expense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t>
  </si>
  <si>
    <t>P33</t>
  </si>
  <si>
    <t>ResearchAndDevelopmentExpense=8268mm</t>
  </si>
  <si>
    <t>Q33</t>
  </si>
  <si>
    <t>ResearchAndDevelopmentExpense=8550mm</t>
  </si>
  <si>
    <t>R33</t>
  </si>
  <si>
    <t>ResearchAndDevelopmentExpense=8866mm</t>
  </si>
  <si>
    <t>S33</t>
  </si>
  <si>
    <t>Grouped from EDGAR: Research and Development Expense (derived Q4). Mapped to EDGAR research, development, technology, or technology/content operating expense. Quarterly value was derived from Research and Development Expense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t>
  </si>
  <si>
    <t>U33</t>
  </si>
  <si>
    <t>ResearchAndDevelopmentExpense=10887mm</t>
  </si>
  <si>
    <t>V33</t>
  </si>
  <si>
    <t>ResearchAndDevelopmentExpense=11419mm</t>
  </si>
  <si>
    <t>F34</t>
  </si>
  <si>
    <t>IncomeStatementDepreciationAmortizationNotReported=0mm</t>
  </si>
  <si>
    <t>IncomeStatementDepreciationAmortizationNotReported</t>
  </si>
  <si>
    <t>warning: Value is a zero/derived model support value with no direct SEC fact.</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</si>
  <si>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SEC validation: Value is a zero/derived model support value with no direct SEC fact.</t>
  </si>
  <si>
    <t>G34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</si>
  <si>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</si>
  <si>
    <t>H34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</si>
  <si>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</si>
  <si>
    <t>I34</t>
  </si>
  <si>
    <t>Updated the preserved formula's cached result from EDGAR while keeping the model formula in place. SEC validation: Value is a zero/derived model support value with no direct SEC fact.</t>
  </si>
  <si>
    <t>K34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</si>
  <si>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SEC validation: Value is a zero/derived model support value with no direct SEC fact.</t>
  </si>
  <si>
    <t>L34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</si>
  <si>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</si>
  <si>
    <t>M34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</si>
  <si>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</si>
  <si>
    <t>N34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</si>
  <si>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"ponents customized to meet the Company’s requirements. The Company has entered into agreements for the supply of many components; however, there can be no guarantee that the Company will be able to extend or renew these agreements on similar terms, or at all. Research and Develop..." SEC validation: Value is a zero/derived model support value with no direct SEC fact.</t>
  </si>
  <si>
    <t>P34</t>
  </si>
  <si>
    <t>Q34</t>
  </si>
  <si>
    <t>R34</t>
  </si>
  <si>
    <t>S34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</si>
  <si>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"decide to concentrate on the production of common components instead of components customized to meet the Company’s requirements, further limiting the Company’s ability to obtain sufficient quantities of components on commercially reasonable terms, or at all. Research and Develop..." SEC validation: Value is a zero/derived model support value with no direct SEC fact.</t>
  </si>
  <si>
    <t>U34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</si>
  <si>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SEC validation: Value is a zero/derived model support value with no direct SEC fact.</t>
  </si>
  <si>
    <t>V34</t>
  </si>
  <si>
    <t>Grouped from EDGAR: income Statement Depreciation Amortization Not Reported. Set to zero because no standalone income-statement D&amp;A expense line was reported. Cash-flow D&amp;A disclosures are often embedded in cost of revenue, fulfillment, SG&amp;A, technology/content, or other operating expense and were not double-counted above EBIT.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SEC validation: Value is a zero/derived model support value with no direct SEC fact.</t>
  </si>
  <si>
    <t>F35</t>
  </si>
  <si>
    <t>OperatingIncomeLoss=36016mm; GrossProfit=50332mm; SellingGeneralAndAdministrativeExpense=6607mm; ResearchAndDevelopmentExpense=7709mm; IncomeStatementDepreciationAmortizationNotReported=0mm</t>
  </si>
  <si>
    <t>Operating Income (Loss); Gross Profit; Selling, General and Administrative Expense; Research and Development Expense; IncomeStatementDepreciationAmortizationNotReported</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</si>
  <si>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2023-02-03: "IONS (Unaudited) (In millions, except number of shares which are reflected in thousands and per share amounts) Three Months Ended December 31, 2022 December 25, 2021 Net sales: Products $ 96,388 $ 104,429 Services 20,766 19,516 Total net sales 117,154 123,945 Cost of sales: Produ..." 10-Q filed 2023-02-03: "ths Ended December 31, 2022 December 25, 2021 Net sales: Products $ 96,388 $ 104,429 Services 20,766 19,516 Total net sales 117,154 123,945 Cost of sales: Products 60,765 64,309 Services 6,057 5,393 Total cost of sales 66,822 69,702 Gross margin 50,332 54,243 Operating expenses: ..."</t>
  </si>
  <si>
    <t>G35</t>
  </si>
  <si>
    <t>OperatingIncomeLoss=28318mm; GrossProfit=41976mm; SellingGeneralAndAdministrativeExpense=6201mm; ResearchAndDevelopmentExpense=7457mm;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</si>
  <si>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2023-05-05: "vices 20,907 19,821 41,673 39,337 Total net sales 94,836 97,278 211,990 221,223 Cost of sales: Products 46,795 49,290 107,560 113,599 Services 6,065 5,429 12,122 10,822 Total cost of sales 52,860 54,719 119,682 124,421 Gross margin 41,976 42,559 92,308 96,802 Operating expenses: ..." 10-Q filed 2023-05-05: "s and per share amounts) Three Months Ended Six Months Ended April 1, 2023 March 26, 2022 April 1, 2023 March 26, 2022 Net sales: Products $ 73,929 $ 77,457 $ 170,317 $ 181,886 Services 20,907 19,821 41,673 39,337 Total net sales 94,836 97,278 211,990 221,223 Cost of sales: Produ..."</t>
  </si>
  <si>
    <t>H35</t>
  </si>
  <si>
    <t>OperatingIncomeLoss=22998mm; GrossProfit=36413mm; SellingGeneralAndAdministrativeExpense=5973mm; ResearchAndDevelopmentExpense=7442mm;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</si>
  <si>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2023-08-04: "ces 21,213 19,604 62,886 58,941 Total net sales 81,797 82,959 293,787 304,182 Cost of sales: Products 39,136 41,485 146,696 155,084 Services 6,248 5,589 18,370 16,411 Total cost of sales 45,384 47,074 165,066 171,495 Gross margin 36,413 35,885 128,721 132,687 Operating expenses: ..." 10-Q filed 2023-08-04: "ands and per share amounts) Three Months Ended Nine Months Ended July 1, 2023 June 25, 2022 July 1, 2023 June 25, 2022 Net sales: Products $ 60,584 $ 63,355 $ 230,901 $ 245,241 Services 21,213 19,604 62,886 58,941 Total net sales 81,797 82,959 293,787 304,182 Cost of sales: Produ..."</t>
  </si>
  <si>
    <t>I35</t>
  </si>
  <si>
    <t>OperatingIncomeLoss=26969mm; GrossProfit=40427mm; SellingGeneralAndAdministrativeExpense=6151mm; ResearchAndDevelopmentExpense=7307mm; IncomeStatementDepreciationAmortizationNotReported=0mm</t>
  </si>
  <si>
    <t>Operating Income (Loss) (derived Q4); Gross Profit (derived Q4); Selling, General and Administrative Expense (derived Q4); Research and Development Expense (derived Q4); IncomeStatementDepreciationAmortizationNotReported</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</si>
  <si>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</si>
  <si>
    <t>K35</t>
  </si>
  <si>
    <t>OperatingIncomeLoss=40373mm; GrossProfit=54855mm; SellingGeneralAndAdministrativeExpense=6786mm; ResearchAndDevelopmentExpense=7696mm;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</si>
  <si>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2024-02-02: "ONS (Unaudited) (In millions, except number of shares, which are reflected in thousands, and per-share amounts) Three Months Ended December 30, 2023 December 31, 2022 Net sales: Products $ 96,458 $ 96,388 Services 23,117 20,766 Total net sales 119,575 117,154 Cost of sales: Produ..." 10-Q filed 2024-02-02: "nths Ended December 30, 2023 December 31, 2022 Net sales: Products $ 96,458 $ 96,388 Services 23,117 20,766 Total net sales 119,575 117,154 Cost of sales: Products 58,440 60,765 Services 6,280 6,057 Total cost of sales 64,720 66,822 Gross margin 54,855 50,332 Operating expenses: ..."</t>
  </si>
  <si>
    <t>L35</t>
  </si>
  <si>
    <t>OperatingIncomeLoss=27900mm; GrossProfit=42271mm; SellingGeneralAndAdministrativeExpense=6468mm; ResearchAndDevelopmentExpense=7903mm;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</si>
  <si>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2024-05-03: "vices 23,867 20,907 46,984 41,673 Total net sales 90,753 94,836 210,328 211,990 Cost of sales: Products 42,424 46,795 100,864 107,560 Services 6,058 6,065 12,338 12,122 Total cost of sales 48,482 52,860 113,202 119,682 Gross margin 42,271 41,976 97,126 92,308 Operating expenses: ..." 10-Q filed 2024-05-03: ", and per-share amounts) Three Months Ended Six Months Ended March 30, 2024 April 1, 2023 March 30, 2024 April 1, 2023 Net sales: Products $ 66,886 $ 73,929 $ 163,344 $ 170,317 Services 23,867 20,907 46,984 41,673 Total net sales 90,753 94,836 210,328 211,990 Cost of sales: Produ..."</t>
  </si>
  <si>
    <t>M35</t>
  </si>
  <si>
    <t>OperatingIncomeLoss=25352mm; GrossProfit=39678mm; SellingGeneralAndAdministrativeExpense=6320mm; ResearchAndDevelopmentExpense=8006mm;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</si>
  <si>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2024-08-02: "ces 24,213 21,213 71,197 62,886 Total net sales 85,777 81,797 296,105 293,787 Cost of sales: Products 39,803 39,136 140,667 146,696 Services 6,296 6,248 18,634 18,370 Total cost of sales 46,099 45,384 159,301 165,066 Gross margin 39,678 36,413 136,804 128,721 Operating expenses: ..." 10-Q filed 2024-08-02: "nds, and per-share amounts) Three Months Ended Nine Months Ended June 29, 2024 July 1, 2023 June 29, 2024 July 1, 2023 Net sales: Products $ 61,564 $ 60,584 $ 224,908 $ 230,901 Services 24,213 21,213 71,197 62,886 Total net sales 85,777 81,797 296,105 293,787 Cost of sales: Produ..."</t>
  </si>
  <si>
    <t>N35</t>
  </si>
  <si>
    <t>OperatingIncomeLoss=29591mm; GrossProfit=43879mm; SellingGeneralAndAdministrativeExpense=6523mm; ResearchAndDevelopmentExpense=7765mm; IncomeStatementDepreciationAmortizationNotReported=0mm</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</si>
  <si>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</si>
  <si>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P35</t>
  </si>
  <si>
    <t>OperatingIncomeLoss=42832mm; GrossProfit=58275mm; SellingGeneralAndAdministrativeExpense=7175mm; ResearchAndDevelopmentExpense=8268mm;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</si>
  <si>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2025-01-31: "ONS (Unaudited) (In millions, except number of shares, which are reflected in thousands, and per-share amounts) Three Months Ended December 28, 2024 December 30, 2023 Net sales: Products $ 97,960 $ 96,458 Services 26,340 23,117 Total net sales 124,300 119,575 Cost of sales: Produ..." 10-Q filed 2025-01-31: "nths Ended December 28, 2024 December 30, 2023 Net sales: Products $ 97,960 $ 96,458 Services 26,340 23,117 Total net sales 124,300 119,575 Cost of sales: Products 59,447 58,440 Services 6,578 6,280 Total cost of sales 66,025 64,720 Gross margin 58,275 54,855 Operating expenses: ..."</t>
  </si>
  <si>
    <t>Q35</t>
  </si>
  <si>
    <t>OperatingIncomeLoss=29589mm; GrossProfit=44867mm; SellingGeneralAndAdministrativeExpense=6728mm; ResearchAndDevelopmentExpense=8550mm;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</si>
  <si>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2025-05-02: "ices 26,645 23,867 52,985 46,984 Total net sales 95,359 90,753 219,659 210,328 Cost of sales: Products 44,030 42,424 103,477 100,864 Services 6,462 6,058 13,040 12,338 Total cost of sales 50,492 48,482 116,517 113,202 Gross margin 44,867 42,271 103,142 97,126 Operating expenses: ..." 10-Q filed 2025-05-02: "and per-share amounts) Three Months Ended Six Months Ended March 29, 2025 March 30, 2024 March 29, 2025 March 30, 2024 Net sales: Products $ 68,714 $ 66,886 $ 166,674 $ 163,344 Services 26,645 23,867 52,985 46,984 Total net sales 95,359 90,753 219,659 210,328 Cost of sales: Produ..."</t>
  </si>
  <si>
    <t>R35</t>
  </si>
  <si>
    <t>OperatingIncomeLoss=28202mm; GrossProfit=43718mm; SellingGeneralAndAdministrativeExpense=6650mm; ResearchAndDevelopmentExpense=8866mm;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</si>
  <si>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2025-08-01: "ces 27,423 24,213 80,408 71,197 Total net sales 94,036 85,777 313,695 296,105 Cost of sales: Products 43,620 39,803 147,097 140,667 Services 6,698 6,296 19,738 18,634 Total cost of sales 50,318 46,099 166,835 159,301 Gross margin 43,718 39,678 146,860 136,804 Operating expenses: ..." 10-Q filed 2025-08-01: "s, and per-share amounts) Three Months Ended Nine Months Ended June 28, 2025 June 29, 2024 June 28, 2025 June 29, 2024 Net sales: Products $ 66,613 $ 61,564 $ 233,287 $ 224,908 Services 27,423 24,213 80,408 71,197 Total net sales 94,036 85,777 313,695 296,105 Cost of sales: Produ..."</t>
  </si>
  <si>
    <t>S35</t>
  </si>
  <si>
    <t>OperatingIncomeLoss=32427mm; GrossProfit=48341mm; SellingGeneralAndAdministrativeExpense=7048mm; ResearchAndDevelopmentExpense=8866mm; IncomeStatementDepreciationAmortizationNotReported=0mm</t>
  </si>
  <si>
    <t>Grouped from EDGAR: Operating Income (Loss) (derived Q4), Gross Profit (derived Q4), Selling, General and Administrative Expense (derived Q4), Research and Development Expense (derived Q4), income Statement Depreciation Amortization Not Reported. Calculated as the residual operating bucket needed for revenue less mapped operating expenses to reconcile to EDGAR operating income. This captures operating expense lines that do not have a dedicated model row. Quarterly value was derived from Operating Income (Loss)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</si>
  <si>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U35</t>
  </si>
  <si>
    <t>OperatingIncomeLoss=50852mm; GrossProfit=69231mm; SellingGeneralAndAdministrativeExpense=7492mm; ResearchAndDevelopmentExpense=10887mm;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</si>
  <si>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2026-01-30: "NS (Unaudited) (In millions, except number of shares, which are reflected in thousands, and per-share amounts) Three Months Ended December 27, 2025 December 28, 2024 Net sales: Products $ 113,743 $ 97,960 Services 30,013 26,340 Total net sales 143,756 124,300 Cost of sales: Produ..." 10-Q filed 2026-01-30: "ths Ended December 27, 2025 December 28, 2024 Net sales: Products $ 113,743 $ 97,960 Services 30,013 26,340 Total net sales 143,756 124,300 Cost of sales: Products 67,478 59,447 Services 7,047 6,578 Total cost of sales 74,525 66,025 Gross margin 69,231 58,275 Operating expenses: ..."</t>
  </si>
  <si>
    <t>V35</t>
  </si>
  <si>
    <t>OperatingIncomeLoss=35885mm; GrossProfit=54781mm; SellingGeneralAndAdministrativeExpense=7477mm; ResearchAndDevelopmentExpense=11419mm; IncomeStatementDepreciationAmortizationNotReported=0mm</t>
  </si>
  <si>
    <t>Grouped from EDGAR: Operating Income (Loss), Gross Profit, Selling, General and Administrative Expense, Research and Development Expense, income Statement Depreciation Amortization Not Reported. Calculated as the residual operating bucket needed for revenue less mapped operating expenses to reconcile to EDGAR operating income. This captures operating expense lines that do not have a dedicated model row. Filing commentary support: 10-Q filed 2026-05-01: "es 30,976 26,645 60,989 52,985 Total net sales 111,184 95,359 254,940 219,659 Cost of sales: Products 49,179 44,030 116,657 103,477 Services 7,224 6,462 14,271 13,040 Total cost of sales 56,403 50,492 130,928 116,517 Gross margin 54,781 44,867 124,012 103,142 Operating expenses: ..." 10-Q filed 2026-05-01: "nd per-share amounts) Three Months Ended Six Months Ended March 28, 2026 March 29, 2025 March 28, 2026 March 29, 2025 Net sales: Products $ 80,208 $ 68,714 $ 193,951 $ 166,674 Services 30,976 26,645 60,989 52,985 Total net sales 111,184 95,359 254,940 219,659 Cost of sales: Produ..."</t>
  </si>
  <si>
    <t>F39</t>
  </si>
  <si>
    <t>InterestExpense=1003mm</t>
  </si>
  <si>
    <t>Included SEC interest expense, including operating interest expense when that is the company's presentation.</t>
  </si>
  <si>
    <t>G39</t>
  </si>
  <si>
    <t>InterestExpense=930mm</t>
  </si>
  <si>
    <t>H39</t>
  </si>
  <si>
    <t>InterestExpense=998mm</t>
  </si>
  <si>
    <t>I39</t>
  </si>
  <si>
    <t>InterestExpense=1002mm</t>
  </si>
  <si>
    <t>Interest Expense (derived Q4)</t>
  </si>
  <si>
    <t>Q39</t>
  </si>
  <si>
    <t>preserved</t>
  </si>
  <si>
    <t>existing formula cell</t>
  </si>
  <si>
    <t>low</t>
  </si>
  <si>
    <t>formula_preserved</t>
  </si>
  <si>
    <t>Formula preserved; EDGAR value was not written over an existing model formula.</t>
  </si>
  <si>
    <t>V39</t>
  </si>
  <si>
    <t>F41</t>
  </si>
  <si>
    <t>OtherNonoperatingIncomeExpense=-258mm</t>
  </si>
  <si>
    <t>Other Nonoperating Income (Expense)</t>
  </si>
  <si>
    <t>G41</t>
  </si>
  <si>
    <t>OtherNonoperatingIncomeExpense=76mm</t>
  </si>
  <si>
    <t>H41</t>
  </si>
  <si>
    <t>OtherNonoperatingIncomeExpense=-247mm</t>
  </si>
  <si>
    <t>I41</t>
  </si>
  <si>
    <t>OtherNonoperatingIncomeExpense=47mm</t>
  </si>
  <si>
    <t>Other Nonoperating Income (Expense) (derived Q4)</t>
  </si>
  <si>
    <t>Quarterly value was derived from Other Nonoperating Income (Expense) less 1Q23, 2Q23, 3Q23.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t>
  </si>
  <si>
    <t>S41</t>
  </si>
  <si>
    <t>OtherNonoperatingIncomeExpense; OtherIncome; OtherExpense</t>
  </si>
  <si>
    <t>F44</t>
  </si>
  <si>
    <t>IncomeTaxExpenseBenefit=5625mm</t>
  </si>
  <si>
    <t>Income Tax Expense (Benefit)</t>
  </si>
  <si>
    <t>Mapped to EDGAR income tax expense/benefit using the model's negative-expense sign convention.</t>
  </si>
  <si>
    <t>G44</t>
  </si>
  <si>
    <t>IncomeTaxExpenseBenefit=4222mm</t>
  </si>
  <si>
    <t>H44</t>
  </si>
  <si>
    <t>IncomeTaxExpenseBenefit=2852mm</t>
  </si>
  <si>
    <t>I44</t>
  </si>
  <si>
    <t>IncomeTaxExpenseBenefit=4042mm</t>
  </si>
  <si>
    <t>Income Tax Expense (Benefit) (derived Q4)</t>
  </si>
  <si>
    <t>K44</t>
  </si>
  <si>
    <t>IncomeTaxExpenseBenefit=6407mm</t>
  </si>
  <si>
    <t>L44</t>
  </si>
  <si>
    <t>IncomeTaxExpenseBenefit=4422mm</t>
  </si>
  <si>
    <t>M44</t>
  </si>
  <si>
    <t>IncomeTaxExpenseBenefit=4046mm</t>
  </si>
  <si>
    <t>N44</t>
  </si>
  <si>
    <t>IncomeTaxExpenseBenefit=14874mm</t>
  </si>
  <si>
    <t>Mapped to EDGAR income tax expense/benefit using the model's negative-expense sign convention. Quarterly value was derived from Income Tax Expense (Benefit) less 1Q24, 2Q24, 3Q24.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t>
  </si>
  <si>
    <t>P44</t>
  </si>
  <si>
    <t>IncomeTaxExpenseBenefit=6254mm</t>
  </si>
  <si>
    <t>Q44</t>
  </si>
  <si>
    <t>IncomeTaxExpenseBenefit=4530mm</t>
  </si>
  <si>
    <t>R44</t>
  </si>
  <si>
    <t>IncomeTaxExpenseBenefit=4597mm</t>
  </si>
  <si>
    <t>S44</t>
  </si>
  <si>
    <t>IncomeTaxExpenseBenefit=5338mm</t>
  </si>
  <si>
    <t>Mapped to EDGAR income tax expense/benefit using the model's negative-expense sign convention. Quarterly value was derived from Income Tax Expense (Benefit) less 1Q25, 2Q25, 3Q25.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t>
  </si>
  <si>
    <t>U44</t>
  </si>
  <si>
    <t>IncomeTaxExpenseBenefit=8905mm</t>
  </si>
  <si>
    <t>V44</t>
  </si>
  <si>
    <t>IncomeTaxExpenseBenefit=6255mm</t>
  </si>
  <si>
    <t>F47</t>
  </si>
  <si>
    <t>PreTaxAdjustmentsNotReported=0mm</t>
  </si>
  <si>
    <t>PreTaxAdjustmentsNotReported</t>
  </si>
  <si>
    <t>Grouped from EDGAR: Pre Tax Adjustments Not Reported. No EDGAR-supported pre-tax adjustment item was reported for this period, so the adjusted net income bridge uses zero instead of preserving stale model hardcodes.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SEC validation: Value is a zero/derived model support value with no direct SEC fact.</t>
  </si>
  <si>
    <t>G47</t>
  </si>
  <si>
    <t>Grouped from EDGAR: Pre Tax Adjustments Not Reported. No EDGAR-supported pre-tax adjustment item was reported for this period, so the adjusted net income bridge uses zero instead of preserving stale model hardcodes.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"34 ( 1,001 ) 696 Adjustment for net (gains)/losses realized and included in net income ( 191 ) ( 301 ) ( 1,957 ) ( 208 ) Total change in unrealized gains/losses on derivative instruments ( 204 ) 33 ( 2,958 ) 488 Change in unrealized gains/losses on marketable debt securities, net..." SEC validation: Value is a zero/derived model support value with no direct SEC fact.</t>
  </si>
  <si>
    <t>H47</t>
  </si>
  <si>
    <t>Grouped from EDGAR: Pre Tax Adjustments Not Reported. No EDGAR-supported pre-tax adjustment item was reported for this period, so the adjusted net income bridge uses zero instead of preserving stale model hardcodes.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SEC validation: Value is a zero/derived model support value with no direct SEC fact.</t>
  </si>
  <si>
    <t>I47</t>
  </si>
  <si>
    <t>Grouped from EDGAR: Pre Tax Adjustments Not Reported. No EDGAR-supported pre-tax adjustment item was reported for this period, so the adjusted net income bridge uses zero instead of preserving stale model hardcodes. Filing commentary support: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SEC validation: Value is a zero/derived model support value with no direct SEC fact.</t>
  </si>
  <si>
    <t>K47</t>
  </si>
  <si>
    <t>Grouped from EDGAR: Pre Tax Adjustments Not Reported. No EDGAR-supported pre-tax adjustment item was reported for this period, so the adjusted net income bridge uses zero instead of preserving stale model hardcodes.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SEC validation: Value is a zero/derived model support value with no direct SEC fact.</t>
  </si>
  <si>
    <t>L47</t>
  </si>
  <si>
    <t>Grouped from EDGAR: Pre Tax Adjustments Not Reported. No EDGAR-supported pre-tax adjustment item was reported for this period, so the adjusted net income bridge uses zero instead of preserving stale model hardcodes.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"75 ) ( 1,001 ) Adjustment for net (gains)/losses realized and included in net income 232 ( 191 ) ( 591 ) ( 1,957 ) Total change in unrealized gains/losses on derivative instruments 688 ( 204 ) ( 666 ) ( 2,958 ) Change in unrealized gains/losses on marketable debt securities, net ..." SEC validation: Value is a zero/derived model support value with no direct SEC fact.</t>
  </si>
  <si>
    <t>M47</t>
  </si>
  <si>
    <t>Grouped from EDGAR: Pre Tax Adjustments Not Reported. No EDGAR-supported pre-tax adjustment item was reported for this period, so the adjusted net income bridge uses zero instead of preserving stale model hardcodes.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SEC validation: Value is a zero/derived model support value with no direct SEC fact.</t>
  </si>
  <si>
    <t>N47</t>
  </si>
  <si>
    <t>Grouped from EDGAR: Pre Tax Adjustments Not Reported. No EDGAR-supported pre-tax adjustment item was reported for this period, so the adjusted net income bridge uses zero instead of preserving stale model hardcodes. Filing commentary support: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SEC validation: Value is a zero/derived model support value with no direct SEC fact.</t>
  </si>
  <si>
    <t>P47</t>
  </si>
  <si>
    <t>Grouped from EDGAR: Pre Tax Adjustments Not Reported. No EDGAR-supported pre-tax adjustment item was reported for this period, so the adjusted net income bridge uses zero instead of preserving stale model hardcodes.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SEC validation: Value is a zero/derived model support value with no direct SEC fact.</t>
  </si>
  <si>
    <t>Q47</t>
  </si>
  <si>
    <t>Grouped from EDGAR: Pre Tax Adjustments Not Reported. No EDGAR-supported pre-tax adjustment item was reported for this period, so the adjusted net income bridge uses zero instead of preserving stale model hardcodes.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SEC validation: Value is a zero/derived model support value with no direct SEC fact.</t>
  </si>
  <si>
    <t>R47</t>
  </si>
  <si>
    <t>Grouped from EDGAR: Pre Tax Adjustments Not Reported. No EDGAR-supported pre-tax adjustment item was reported for this period, so the adjusted net income bridge uses zero instead of preserving stale model hardcodes.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SEC validation: Value is a zero/derived model support value with no direct SEC fact.</t>
  </si>
  <si>
    <t>S47</t>
  </si>
  <si>
    <t>Grouped from EDGAR: Pre Tax Adjustments Not Reported. No EDGAR-supported pre-tax adjustment item was reported for this period, so the adjusted net income bridge uses zero instead of preserving stale model hardcodes. Filing commentary support: 10-K filed 2025-10-31: "in selling, general and administrative expense during 2025 compared to 2024 was primarily driven by increases in headcount-related expenses and variable selling expenses. Apple Inc. | 2025 Form 10-K | 24 Provision for Income Taxes Provision for income taxes, effective tax rate an..." SEC validation: Value is a zero/derived model support value with no direct SEC fact.</t>
  </si>
  <si>
    <t>U47</t>
  </si>
  <si>
    <t>Grouped from EDGAR: Pre Tax Adjustments Not Reported. No EDGAR-supported pre-tax adjustment item was reported for this period, so the adjusted net income bridge uses zero instead of preserving stale model hardcodes.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</si>
  <si>
    <t>V47</t>
  </si>
  <si>
    <t>Grouped from EDGAR: Pre Tax Adjustments Not Reported. No EDGAR-supported pre-tax adjustment item was reported for this period, so the adjusted net income bridge uses zero instead of preserving stale model hardcodes.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SEC validation: Value is a zero/derived model support value with no direct SEC fact.</t>
  </si>
  <si>
    <t>F48</t>
  </si>
  <si>
    <t>PostTaxAdjustmentsNotReported=0mm</t>
  </si>
  <si>
    <t>PostTaxAdjustmentsNotReported</t>
  </si>
  <si>
    <t>Grouped from EDGAR: Post Tax Adjustments Not Reported. No EDGAR-supported post-tax adjustment item was reported for this period, so the adjusted net income bridge uses zero instead of preserving stale model hardcodes. Filing commentary support: 10-Q filed 2023-02-03: "s of the respective vesting dates of RSUs was $ 6.8 billion and $ 8.5 billion for the three months ended December 31, 2022 and December 25, 2021, respectively. Share-Based Compensation The following table shows share-based compensation expense and the related income tax benefit i..." 10-Q filed 2023-02-03: "NFORMATION Item 1. Financial Statements Apple Inc. CONDENSED CONSOLIDATED STATEMENTS OF OPERATIONS (Unaudited) (In millions, except number of shares which are reflected in thousands and per share amounts) Three Months Ended December 31, 2022 December 25, 2021 Net sales: Products ..." SEC validation: Value is a zero/derived model support value with no direct SEC fact.</t>
  </si>
  <si>
    <t>G48</t>
  </si>
  <si>
    <t>Grouped from EDGAR: Post Tax Adjustments Not Reported. No EDGAR-supported post-tax adjustment item was reported for this period, so the adjusted net income bridge uses zero instead of preserving stale model hardcodes. Filing commentary support: 10-Q filed 2023-05-05: "nth periods ended April 1, 2023, respectively, and was $ 1.0 billion and $ 9.5 billion for the three- and six-month periods ended March 26, 2022, respectively. Share-Based Compensation The following table shows share-based compensation expense and the related income tax benefit i..." 10-Q filed 2023-05-05: "Apple Inc. CONDENSED CONSOLIDATED STATEMENTS OF OPERATIONS (Unaudited) (In millions, except number of shares which are reflected in thousands and per share amounts) Three Months Ended Six Months Ended April 1, 2023 March 26, 2022 April 1, 2023 March 26, 2022 Net sales: Products $..." SEC validation: Value is a zero/derived model support value with no direct SEC fact.</t>
  </si>
  <si>
    <t>H48</t>
  </si>
  <si>
    <t>formula replaced with EDGAR-supported value</t>
  </si>
  <si>
    <t>Replaced a stale model bridge formula with the EDGAR-supported value. SEC validation: Value is a zero/derived model support value with no direct SEC fact.</t>
  </si>
  <si>
    <t>I48</t>
  </si>
  <si>
    <t>Grouped from EDGAR: Post Tax Adjustments Not Reported. No EDGAR-supported post-tax adjustment item was reported for this period, so the adjusted net income bridge uses zero instead of preserving stale model hardcodes.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</si>
  <si>
    <t>K48</t>
  </si>
  <si>
    <t>Grouped from EDGAR: Post Tax Adjustments Not Reported. No EDGAR-supported post-tax adjustment item was reported for this period, so the adjusted net income bridge uses zero instead of preserving stale model hardcodes. Filing commentary support: 10-Q filed 2024-02-02: "RSUs was $ 7.7 billion and $ 6.8 billion for the three months ended December 30, 2023 and December 31, 2022, respectively. Apple Inc. | Q1 2024 Form 10-Q | 10 Share-Based Compensation The following table shows share-based compensation expense and the related income tax benefit in..." 10-Q filed 2024-02-02: "ORMATION Item 1. Financial Statements Apple Inc. CONDENSED CONSOLIDATED STATEMENTS OF OPERATIONS (Unaudited) (In millions, except number of shares, which are reflected in thousands, and per-share amounts) Three Months Ended December 30, 2023 December 31, 2022 Net sales: Products ..." SEC validation: Value is a zero/derived model support value with no direct SEC fact.</t>
  </si>
  <si>
    <t>L48</t>
  </si>
  <si>
    <t>Grouped from EDGAR: Post Tax Adjustments Not Reported. No EDGAR-supported post-tax adjustment item was reported for this period, so the adjusted net income bridge uses zero instead of preserving stale model hardcodes. Filing commentary support: 10-Q filed 2024-05-03: "spectively, and was $ 1.1 billion and $ 8.0 billion for the three- and six-month periods ended April 1, 2023, respectively. Apple Inc. | Q2 2024 Form 10-Q | 10 Share-Based Compensation The following table shows share-based compensation expense and the related income tax benefit i..." 10-Q filed 2024-05-03: "pple Inc. CONDENSED CONSOLIDATED STATEMENTS OF OPERATIONS (Unaudited) (In millions, except number of shares, which are reflected in thousands, and per-share amounts) Three Months Ended Six Months Ended March 30, 2024 April 1, 2023 March 30, 2024 April 1, 2023 Net sales: Products ..." SEC validation: Value is a zero/derived model support value with no direct SEC fact.</t>
  </si>
  <si>
    <t>M48</t>
  </si>
  <si>
    <t>Grouped from EDGAR: Post Tax Adjustments Not Reported. No EDGAR-supported post-tax adjustment item was reported for this period, so the adjusted net income bridge uses zero instead of preserving stale model hardcodes. Filing commentary support: 10-Q filed 2024-08-02: "nth periods ended June 29, 2024, respectively, and was $ 7.0 billion and $ 14.9 billion for the three- and nine-month periods ended July 1, 2023, respectively. Share-Based Compensation The following table shows share-based compensation expense and the related income tax benefit i..." 10-Q filed 2024-08-02: "s Apple Inc. CONDENSED CONSOLIDATED STATEMENTS OF OPERATIONS (Unaudited) (In millions, except number of shares, which are reflected in thousands, and per-share amounts) Three Months Ended Nine Months Ended June 29, 2024 July 1, 2023 June 29, 2024 July 1, 2023 Net sales: Products ..." SEC validation: Value is a zero/derived model support value with no direct SEC fact.</t>
  </si>
  <si>
    <t>N48</t>
  </si>
  <si>
    <t>Grouped from EDGAR: Post Tax Adjustments Not Reported. No EDGAR-supported post-tax adjustment item was reported for this period, so the adjusted net income bridge uses zero instead of preserving stale model hardcodes.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</si>
  <si>
    <t>P48</t>
  </si>
  <si>
    <t>Grouped from EDGAR: Post Tax Adjustments Not Reported. No EDGAR-supported post-tax adjustment item was reported for this period, so the adjusted net income bridge uses zero instead of preserving stale model hardcodes. Filing commentary support: 10-Q filed 2025-01-31: "The total vesting-date fair value of RSUs was $ 8.4 billion and $ 7.7 billion for the three months ended December 28, 2024 and December 30, 2023, respectively. Share-Based Compensation The following table shows share-based compensation expense and the related income tax benefit i..." 10-Q filed 2025-01-31: "ORMATION Item 1. Financial Statements Apple Inc. CONDENSED CONSOLIDATED STATEMENTS OF OPERATIONS (Unaudited) (In millions, except number of shares, which are reflected in thousands, and per-share amounts) Three Months Ended December 28, 2024 December 30, 2023 Net sales: Products ..." SEC validation: Value is a zero/derived model support value with no direct SEC fact.</t>
  </si>
  <si>
    <t>Q48</t>
  </si>
  <si>
    <t>Grouped from EDGAR: Post Tax Adjustments Not Reported. No EDGAR-supported post-tax adjustment item was reported for this period, so the adjusted net income bridge uses zero instead of preserving stale model hardcodes. Filing commentary support: 10-Q filed 2025-05-02: "th periods ended March 29, 2025, respectively, and was $ 821 million and $ 8.6 billion for the three- and six-month periods ended March 30, 2024, respectively. Share-Based Compensation The following table shows share-based compensation expense and the related income tax benefit i..." 10-Q filed 2025-05-02: "le Inc. CONDENSED CONSOLIDATED STATEMENTS OF OPERATIONS (Unaudited) (In millions, except number of shares, which are reflected in thousands, and per-share amounts) Three Months Ended Six Months Ended March 29, 2025 March 30, 2024 March 29, 2025 March 30, 2024 Net sales: Products ..." SEC validation: Value is a zero/derived model support value with no direct SEC fact.</t>
  </si>
  <si>
    <t>R48</t>
  </si>
  <si>
    <t>Grouped from EDGAR: Post Tax Adjustments Not Reported. No EDGAR-supported post-tax adjustment item was reported for this period, so the adjusted net income bridge uses zero instead of preserving stale model hardcodes. Filing commentary support: 10-Q filed 2025-08-01: "ectively, and was $ 6.4 billion and $ 15.0 billion for the three- and nine-month periods ended June 29, 2024, respectively. Apple Inc. | Q3 2025 Form 10-Q | 10 Share-Based Compensation The following table shows share-based compensation expense and the related income tax benefit i..." 10-Q filed 2025-08-01: "Apple Inc. CONDENSED CONSOLIDATED STATEMENTS OF OPERATIONS (Unaudited) (In millions, except number of shares, which are reflected in thousands, and per-share amounts) Three Months Ended Nine Months Ended June 28, 2025 June 29, 2024 June 28, 2025 June 29, 2024 Net sales: Products ..." SEC validation: Value is a zero/derived model support value with no direct SEC fact.</t>
  </si>
  <si>
    <t>S48</t>
  </si>
  <si>
    <t>Grouped from EDGAR: Post Tax Adjustments Not Reported. No EDGAR-supported post-tax adjustment item was reported for this period, so the adjusted net income bridge uses zero instead of preserving stale model hardcodes. Filing commentary support: 10-K filed 2025-10-31: "insolvency. Adverse economic conditions can also lead to increased credit and collectibility risk on the Company’s trade receivables; the failure of derivative counterparties and other financial institutions; limitations on the Company’s ability to issue new debt; reduced liquidi..." SEC validation: Value is a zero/derived model support value with no direct SEC fact.</t>
  </si>
  <si>
    <t>U48</t>
  </si>
  <si>
    <t>Grouped from EDGAR: Post Tax Adjustments Not Reported. No EDGAR-supported post-tax adjustment item was reported for this period, so the adjusted net income bridge uses zero instead of preserving stale model hardcodes. Filing commentary support: 10-Q filed 2026-01-30: "RSUs was $ 8.6 billion and $ 8.4 billion for the three months ended December 27, 2025 and December 28, 2024, respectively. Apple Inc. | Q1 2026 Form 10-Q | 10 Share-Based Compensation The following table shows share-based compensation expense and the related income tax benefit in..." 10-Q filed 2026-01-30: "ORMATION Item 1. Financial Statements Apple Inc. CONDENSED CONSOLIDATED STATEMENTS OF OPERATIONS (Unaudited) (In millions, except number of shares, which are reflected in thousands, and per-share amounts) Three Months Ended December 27, 2025 December 28, 2024 Net sales: Products ..." SEC validation: Value is a zero/derived model support value with no direct SEC fact.</t>
  </si>
  <si>
    <t>V48</t>
  </si>
  <si>
    <t>Grouped from EDGAR: Post Tax Adjustments Not Reported. No EDGAR-supported post-tax adjustment item was reported for this period, so the adjusted net income bridge uses zero instead of preserving stale model hardcodes. Filing commentary support: 10-Q filed 2026-05-01: "ectively, and was $ 9.5 billion and $ 9.3 billion for the six months ended March 28, 2026 and March 29, 2025, respectively. Apple Inc. | Q2 2026 Form 10-Q | 10 Share-Based Compensation The following table shows share-based compensation expense and the related income tax benefit i..." 10-Q filed 2026-05-01: "le Inc. CONDENSED CONSOLIDATED STATEMENTS OF OPERATIONS (Unaudited) (In millions, except number of shares, which are reflected in thousands, and per-share amounts) Three Months Ended Six Months Ended March 28, 2026 March 29, 2025 March 28, 2026 March 29, 2025 Net sales: Products ..." SEC validation: Value is a zero/derived model support value with no direct SEC fact.</t>
  </si>
  <si>
    <t>F49</t>
  </si>
  <si>
    <t>DiscontinuedOperationsBridge=0mm</t>
  </si>
  <si>
    <t>DiscontinuedOperationsBridge</t>
  </si>
  <si>
    <t>Grouped from EDGAR: Discontinued Operations Bridge. Set to zero for prior years because the model bridge reconciles common-shareholder income through post-tax adjustments and the NCI plug. Filing commentary support: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SEC validation: Value is a zero/derived model support value with no direct SEC fact.</t>
  </si>
  <si>
    <t>G49</t>
  </si>
  <si>
    <t>Grouped from EDGAR: Discontinued Operations Bridge. Set to zero for prior years because the model bridge reconciles common-shareholder income through post-tax adjustments and the NCI plug.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</si>
  <si>
    <t>H49</t>
  </si>
  <si>
    <t>Grouped from EDGAR: Discontinued Operations Bridge. Set to zero for prior years because the model bridge reconciles common-shareholder income through post-tax adjustments and the NCI plug.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</si>
  <si>
    <t>I49</t>
  </si>
  <si>
    <t>Grouped from EDGAR: Discontinued Operations Bridge. Set to zero for prior years because the model bridge reconciles common-shareholder income through post-tax adjustments and the NCI plug. Filing commentary support: 10-K filed 2023-11-03: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2023-11-03: "y by increases in headcount-related expenses. Selling, General and Administrative Selling, general and administrative expense was relatively flat in 2023 compared to 2022. Apple Inc. | 2023 Form 10-K | 23 Provision for Income Taxes Provision for income taxes, effective tax rate a..." SEC validation: Value is a zero/derived model support value with no direct SEC fact.</t>
  </si>
  <si>
    <t>K49</t>
  </si>
  <si>
    <t>Grouped from EDGAR: Discontinued Operations Bridge. Set to zero for prior years because the model bridge reconciles common-shareholder income through post-tax adjustments and the NCI plug. Filing commentary support: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SEC validation: Value is a zero/derived model support value with no direct SEC fact.</t>
  </si>
  <si>
    <t>L49</t>
  </si>
  <si>
    <t>Grouped from EDGAR: Discontinued Operations Bridge. Set to zero for prior years because the model bridge reconciles common-shareholder income through post-tax adjustments and the NCI plug.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</si>
  <si>
    <t>M49</t>
  </si>
  <si>
    <t>Grouped from EDGAR: Discontinued Operations Bridge. Set to zero for prior years because the model bridge reconciles common-shareholder income through post-tax adjustments and the NCI plug.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</si>
  <si>
    <t>N49</t>
  </si>
  <si>
    <t>Grouped from EDGAR: Discontinued Operations Bridge. Set to zero for prior years because the model bridge reconciles common-shareholder income through post-tax adjustments and the NCI plug. Filing commentary support: 10-K filed 2024-11-01: "insolvency. Adverse economic conditions can also lead to increased credit and collectibility risk on the Company’s trade receivables; the failure of derivative counterparties and other financial institutions; limitations on the Company’s ability to issue new debt; reduced liquidi..." 10-K filed 2024-11-01: "creases in headcount-related expenses. Selling, General and Administrative Selling, general and administrative expense increased $1.2 billion during 2024 compared to 2023. Apple Inc. | 2024 Form 10-K | 24 Provision for Income Taxes Provision for income taxes, effective tax rate a..." SEC validation: Value is a zero/derived model support value with no direct SEC fact.</t>
  </si>
  <si>
    <t>U49</t>
  </si>
  <si>
    <t>Grouped from EDGAR: Discontinued Operations Bridge. Set to zero for prior years because the model bridge reconciles common-shareholder income through post-tax adjustments and the NCI plug.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</si>
  <si>
    <t>V49</t>
  </si>
  <si>
    <t>Grouped from EDGAR: Discontinued Operations Bridge. Set to zero for prior years because the model bridge reconciles common-shareholder income through post-tax adjustments and the NCI plug.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SEC validation: Value is a zero/derived model support value with no direct SEC fact.</t>
  </si>
  <si>
    <t>F120</t>
  </si>
  <si>
    <t>CashAndCashEquivalentsAtCarryingValue=20535mm</t>
  </si>
  <si>
    <t>Cash and Cash Equivalents, at Carrying Value</t>
  </si>
  <si>
    <t>balance</t>
  </si>
  <si>
    <t>Replaced a balance-sheet formula with the EDGAR period-end balance so instant values are not derived from prior quarters.</t>
  </si>
  <si>
    <t>G120</t>
  </si>
  <si>
    <t>CashAndCashEquivalentsAtCarryingValue=24687mm</t>
  </si>
  <si>
    <t>H120</t>
  </si>
  <si>
    <t>CashAndCashEquivalentsAtCarryingValue=28408mm</t>
  </si>
  <si>
    <t>I120</t>
  </si>
  <si>
    <t>CashAndCashEquivalentsAtCarryingValue=29965mm</t>
  </si>
  <si>
    <t>K120</t>
  </si>
  <si>
    <t>CashAndCashEquivalentsAtCarryingValue=40760mm</t>
  </si>
  <si>
    <t>L120</t>
  </si>
  <si>
    <t>CashAndCashEquivalentsAtCarryingValue=32695mm</t>
  </si>
  <si>
    <t>M120</t>
  </si>
  <si>
    <t>CashAndCashEquivalentsAtCarryingValue=25565mm</t>
  </si>
  <si>
    <t>N120</t>
  </si>
  <si>
    <t>CashAndCashEquivalentsAtCarryingValue=29943mm</t>
  </si>
  <si>
    <t>P120</t>
  </si>
  <si>
    <t>CashAndCashEquivalentsAtCarryingValue=30299mm</t>
  </si>
  <si>
    <t>Grouped from EDGAR: Cash and Cash Equivalents, at Carrying Value.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</si>
  <si>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Q120</t>
  </si>
  <si>
    <t>CashAndCashEquivalentsAtCarryingValue=28162mm</t>
  </si>
  <si>
    <t>Grouped from EDGAR: Cash and Cash Equivalents, at Carrying Value.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</si>
  <si>
    <t>R120</t>
  </si>
  <si>
    <t>CashAndCashEquivalentsAtCarryingValue=36269mm</t>
  </si>
  <si>
    <t>Grouped from EDGAR: Cash and Cash Equivalents, at Carrying Value.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</si>
  <si>
    <t>S120</t>
  </si>
  <si>
    <t>CashAndCashEquivalentsAtCarryingValue=35934mm</t>
  </si>
  <si>
    <t>Grouped from EDGAR: Cash and Cash Equivalents, at Carrying Value.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</si>
  <si>
    <t>U120</t>
  </si>
  <si>
    <t>CashAndCashEquivalentsAtCarryingValue=45317mm</t>
  </si>
  <si>
    <t>V120</t>
  </si>
  <si>
    <t>CashAndCashEquivalentsAtCarryingValue=45572mm</t>
  </si>
  <si>
    <t>F121</t>
  </si>
  <si>
    <t>AccountsReceivableNetCurrent=23752mm</t>
  </si>
  <si>
    <t>Accounts Receivable, after Allowance for Credit Loss, Current</t>
  </si>
  <si>
    <t>Grouped from EDGAR: Accounts Receivable, after Allowance for Credit Loss,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t>
  </si>
  <si>
    <t>G121</t>
  </si>
  <si>
    <t>AccountsReceivableNetCurrent=17936mm</t>
  </si>
  <si>
    <t>Grouped from EDGAR: Accounts Receivable, after Allowance for Credit Loss,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t>
  </si>
  <si>
    <t>H121</t>
  </si>
  <si>
    <t>AccountsReceivableNetCurrent=19549mm</t>
  </si>
  <si>
    <t>Grouped from EDGAR: Accounts Receivable, after Allowance for Credit Loss,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t>
  </si>
  <si>
    <t>I121</t>
  </si>
  <si>
    <t>AccountsReceivableNetCurrent=29508mm</t>
  </si>
  <si>
    <t>Grouped from EDGAR: Accounts Receivable, after Allowance for Credit Loss, Current.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</si>
  <si>
    <t>K121</t>
  </si>
  <si>
    <t>AccountsReceivableNetCurrent=23194mm</t>
  </si>
  <si>
    <t>Grouped from EDGAR: Accounts Receivable, after Allowance for Credit Loss,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t>
  </si>
  <si>
    <t>L121</t>
  </si>
  <si>
    <t>AccountsReceivableNetCurrent=21837mm</t>
  </si>
  <si>
    <t>Grouped from EDGAR: Accounts Receivable, after Allowance for Credit Loss,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t>
  </si>
  <si>
    <t>M121</t>
  </si>
  <si>
    <t>AccountsReceivableNetCurrent=22795mm</t>
  </si>
  <si>
    <t>Grouped from EDGAR: Accounts Receivable, after Allowance for Credit Loss,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t>
  </si>
  <si>
    <t>N121</t>
  </si>
  <si>
    <t>AccountsReceivableNetCurrent=33410mm</t>
  </si>
  <si>
    <t>Grouped from EDGAR: Accounts Receivable, after Allowance for Credit Loss, Current.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</si>
  <si>
    <t>P121</t>
  </si>
  <si>
    <t>AccountsReceivableNetCurrent=29639mm</t>
  </si>
  <si>
    <t>Grouped from EDGAR: Accounts Receivable, after Allowance for Credit Loss,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t>
  </si>
  <si>
    <t>Q121</t>
  </si>
  <si>
    <t>AccountsReceivableNetCurrent=26136mm</t>
  </si>
  <si>
    <t>Grouped from EDGAR: Accounts Receivable, after Allowance for Credit Loss,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t>
  </si>
  <si>
    <t>R121</t>
  </si>
  <si>
    <t>AccountsReceivableNetCurrent=27557mm</t>
  </si>
  <si>
    <t>Grouped from EDGAR: Accounts Receivable, after Allowance for Credit Loss,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t>
  </si>
  <si>
    <t>S121</t>
  </si>
  <si>
    <t>AccountsReceivableNetCurrent=39777mm</t>
  </si>
  <si>
    <t>Grouped from EDGAR: Accounts Receivable, after Allowance for Credit Loss, Current.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"ctions The Company has historically experienced higher net sales in its first quarter compared to other quarters in its fiscal year due in part to seasonal holiday demand. Additionally, new product and service introductions can significantly impact net sales, cost of sales and op..."</t>
  </si>
  <si>
    <t>U121</t>
  </si>
  <si>
    <t>AccountsReceivableNetCurrent=39921mm</t>
  </si>
  <si>
    <t>Grouped from EDGAR: Accounts Receivable, after Allowance for Credit Loss,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t>
  </si>
  <si>
    <t>V121</t>
  </si>
  <si>
    <t>AccountsReceivableNetCurrent=30339mm</t>
  </si>
  <si>
    <t>Grouped from EDGAR: Accounts Receivable, after Allowance for Credit Loss,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t>
  </si>
  <si>
    <t>F122</t>
  </si>
  <si>
    <t>InventoryNet=6820mm</t>
  </si>
  <si>
    <t>Inventory, Net</t>
  </si>
  <si>
    <t>G122</t>
  </si>
  <si>
    <t>InventoryNet=7482mm</t>
  </si>
  <si>
    <t>H122</t>
  </si>
  <si>
    <t>InventoryNet=7351mm</t>
  </si>
  <si>
    <t>I122</t>
  </si>
  <si>
    <t>InventoryNet=6331mm</t>
  </si>
  <si>
    <t>K122</t>
  </si>
  <si>
    <t>InventoryNet=6511mm</t>
  </si>
  <si>
    <t>L122</t>
  </si>
  <si>
    <t>InventoryNet=6232mm</t>
  </si>
  <si>
    <t>M122</t>
  </si>
  <si>
    <t>InventoryNet=6165mm</t>
  </si>
  <si>
    <t>N122</t>
  </si>
  <si>
    <t>InventoryNet=7286mm</t>
  </si>
  <si>
    <t>P122</t>
  </si>
  <si>
    <t>InventoryNet=6911mm</t>
  </si>
  <si>
    <t>Q122</t>
  </si>
  <si>
    <t>InventoryNet=6269mm</t>
  </si>
  <si>
    <t>R122</t>
  </si>
  <si>
    <t>InventoryNet=5925mm</t>
  </si>
  <si>
    <t>S122</t>
  </si>
  <si>
    <t>InventoryNet=5718mm</t>
  </si>
  <si>
    <t>U122</t>
  </si>
  <si>
    <t>InventoryNet=5875mm</t>
  </si>
  <si>
    <t>V122</t>
  </si>
  <si>
    <t>InventoryNet=6747mm</t>
  </si>
  <si>
    <t>F123</t>
  </si>
  <si>
    <t>AssetsCurrent=128777mm; CashAndCashEquivalentsAtCarryingValue=20535mm; AccountsReceivableNetCurrent=23752mm; InventoryNet=6820mm</t>
  </si>
  <si>
    <t>Assets, Current; Cash and Cash Equivalents, at Carrying Value; Accounts Receivable, after Allowance for Credit Loss, Current; Inventory, Net</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</si>
  <si>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t>
  </si>
  <si>
    <t>G123</t>
  </si>
  <si>
    <t>AssetsCurrent=112913mm; CashAndCashEquivalentsAtCarryingValue=24687mm; AccountsReceivableNetCurrent=17936mm; InventoryNet=7482mm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</si>
  <si>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t>
  </si>
  <si>
    <t>H123</t>
  </si>
  <si>
    <t>AssetsCurrent=122659mm; CashAndCashEquivalentsAtCarryingValue=28408mm; AccountsReceivableNetCurrent=19549mm; InventoryNet=7351mm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</si>
  <si>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t>
  </si>
  <si>
    <t>I123</t>
  </si>
  <si>
    <t>AssetsCurrent=143566mm; CashAndCashEquivalentsAtCarryingValue=29965mm; AccountsReceivableNetCurrent=29508mm; InventoryNet=6331mm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</si>
  <si>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</si>
  <si>
    <t>K123</t>
  </si>
  <si>
    <t>AssetsCurrent=143692mm; CashAndCashEquivalentsAtCarryingValue=40760mm; AccountsReceivableNetCurrent=23194mm; InventoryNet=6511mm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</si>
  <si>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t>
  </si>
  <si>
    <t>L123</t>
  </si>
  <si>
    <t>AssetsCurrent=128416mm; CashAndCashEquivalentsAtCarryingValue=32695mm; AccountsReceivableNetCurrent=21837mm; InventoryNet=6232mm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</si>
  <si>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t>
  </si>
  <si>
    <t>M123</t>
  </si>
  <si>
    <t>AssetsCurrent=125435mm; CashAndCashEquivalentsAtCarryingValue=25565mm; AccountsReceivableNetCurrent=22795mm; InventoryNet=6165mm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</si>
  <si>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t>
  </si>
  <si>
    <t>N123</t>
  </si>
  <si>
    <t>AssetsCurrent=152987mm; CashAndCashEquivalentsAtCarryingValue=29943mm; AccountsReceivableNetCurrent=33410mm; InventoryNet=7286mm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</si>
  <si>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</si>
  <si>
    <t>P123</t>
  </si>
  <si>
    <t>AssetsCurrent=133240mm; CashAndCashEquivalentsAtCarryingValue=30299mm; AccountsReceivableNetCurrent=29639mm; InventoryNet=6911mm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</si>
  <si>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</si>
  <si>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Q123</t>
  </si>
  <si>
    <t>AssetsCurrent=118674mm; CashAndCashEquivalentsAtCarryingValue=28162mm; AccountsReceivableNetCurrent=26136mm; InventoryNet=6269mm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</si>
  <si>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</si>
  <si>
    <t>R123</t>
  </si>
  <si>
    <t>AssetsCurrent=122491mm; CashAndCashEquivalentsAtCarryingValue=36269mm; AccountsReceivableNetCurrent=27557mm; InventoryNet=5925mm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</si>
  <si>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</si>
  <si>
    <t>S123</t>
  </si>
  <si>
    <t>AssetsCurrent=147957mm; CashAndCashEquivalentsAtCarryingValue=35934mm; AccountsReceivableNetCurrent=39777mm; InventoryNet=5718mm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</si>
  <si>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"product and service introductions can significantly impact net sales, cost of sales and operating expenses. The timing of product introductions can also impact the Company’s net sales to its indirect distribution channels as these channels are filled with new inventory following ..."</t>
  </si>
  <si>
    <t>U123</t>
  </si>
  <si>
    <t>AssetsCurrent=158104mm; CashAndCashEquivalentsAtCarryingValue=45317mm; AccountsReceivableNetCurrent=39921mm; InventoryNet=5875mm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</si>
  <si>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t>
  </si>
  <si>
    <t>V123</t>
  </si>
  <si>
    <t>AssetsCurrent=144114mm; CashAndCashEquivalentsAtCarryingValue=45572mm; AccountsReceivableNetCurrent=30339mm; InventoryNet=6747mm</t>
  </si>
  <si>
    <t>Grouped from EDGAR: Assets, Current, Cash and Cash Equivalents, at Carrying Value, Accounts Receivable, after Allowance for Credit Loss, Current, Inventory, Net. Included current assets less separately modeled cash/current investments, receivables, and inventory.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t>
  </si>
  <si>
    <t>F126</t>
  </si>
  <si>
    <t>PropertyPlantAndEquipmentNet=42951mm</t>
  </si>
  <si>
    <t>Property, Plant and Equipment, Net</t>
  </si>
  <si>
    <t>Grouped from EDGAR: Property, Plant and Equipment, Net. Filing commentary support: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</si>
  <si>
    <t>G126</t>
  </si>
  <si>
    <t>PropertyPlantAndEquipmentNet=43398mm</t>
  </si>
  <si>
    <t>Grouped from EDGAR: Property, Plant and Equipment, Net. Filing commentary support: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</si>
  <si>
    <t>H126</t>
  </si>
  <si>
    <t>PropertyPlantAndEquipmentNet=43550mm</t>
  </si>
  <si>
    <t>Grouped from EDGAR: Property, Plant and Equipment, Net. Filing commentary support: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</si>
  <si>
    <t>I126</t>
  </si>
  <si>
    <t>PropertyPlantAndEquipmentNet=43715mm</t>
  </si>
  <si>
    <t>Grouped from EDGAR: Property, Plant and Equipment, Net.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t>
  </si>
  <si>
    <t>K126</t>
  </si>
  <si>
    <t>PropertyPlantAndEquipmentNet=43666mm</t>
  </si>
  <si>
    <t>Grouped from EDGAR: Property, Plant and Equipment, Net. Filing commentary support: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</si>
  <si>
    <t>L126</t>
  </si>
  <si>
    <t>PropertyPlantAndEquipmentNet=43546mm</t>
  </si>
  <si>
    <t>Grouped from EDGAR: Property, Plant and Equipment, Net. Filing commentary support: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</si>
  <si>
    <t>M126</t>
  </si>
  <si>
    <t>PropertyPlantAndEquipmentNet=44502mm</t>
  </si>
  <si>
    <t>Grouped from EDGAR: Property, Plant and Equipment, Net. Filing commentary support: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</si>
  <si>
    <t>N126</t>
  </si>
  <si>
    <t>PropertyPlantAndEquipmentNet=45680mm</t>
  </si>
  <si>
    <t>Grouped from EDGAR: Property, Plant and Equipment, Net.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t>
  </si>
  <si>
    <t>P126</t>
  </si>
  <si>
    <t>PropertyPlantAndEquipmentNet=46069mm</t>
  </si>
  <si>
    <t>Grouped from EDGAR: Property, Plant and Equipment, Net.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</si>
  <si>
    <t>Q126</t>
  </si>
  <si>
    <t>PropertyPlantAndEquipmentNet=46876mm</t>
  </si>
  <si>
    <t>Grouped from EDGAR: Property, Plant and Equipment, Net.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</si>
  <si>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R126</t>
  </si>
  <si>
    <t>PropertyPlantAndEquipmentNet=48508mm</t>
  </si>
  <si>
    <t>Grouped from EDGAR: Property, Plant and Equipment, Net.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</si>
  <si>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S126</t>
  </si>
  <si>
    <t>PropertyPlantAndEquipmentNet=49834mm</t>
  </si>
  <si>
    <t>Grouped from EDGAR: Property, Plant and Equipment, Net.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</si>
  <si>
    <t>U126</t>
  </si>
  <si>
    <t>PropertyPlantAndEquipmentNet=50159mm</t>
  </si>
  <si>
    <t>Grouped from EDGAR: Property, Plant and Equipment, Net. Filing commentary support: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</si>
  <si>
    <t>V126</t>
  </si>
  <si>
    <t>PropertyPlantAndEquipmentNet=50116mm</t>
  </si>
  <si>
    <t>Grouped from EDGAR: Property, Plant and Equipment, Net.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</si>
  <si>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F127</t>
  </si>
  <si>
    <t>FiniteLivedIntangibleAssetsNet=0mm</t>
  </si>
  <si>
    <t>FiniteLivedIntangibleAssetsNet</t>
  </si>
  <si>
    <t>Grouped from EDGAR: Finite Lived Intangible Assets net. No separate intangible assets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SEC validation: Value is a zero/derived model support value with no direct SEC fact.</t>
  </si>
  <si>
    <t>G127</t>
  </si>
  <si>
    <t>Grouped from EDGAR: Finite Lived Intangible Assets net. No separate intangible assets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SEC validation: Value is a zero/derived model support value with no direct SEC fact.</t>
  </si>
  <si>
    <t>H127</t>
  </si>
  <si>
    <t>Grouped from EDGAR: Finite Lived Intangible Assets net. No separate intangible assets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SEC validation: Value is a zero/derived model support value with no direct SEC fact.</t>
  </si>
  <si>
    <t>I127</t>
  </si>
  <si>
    <t>Grouped from EDGAR: Finite Lived Intangible Assets net. No separate intangible assets line item was reported in the SEC balance sheet for this period, so stale template values were cleared. SEC validation: Value is a zero/derived model support value with no direct SEC fact.</t>
  </si>
  <si>
    <t>K127</t>
  </si>
  <si>
    <t>Grouped from EDGAR: Finite Lived Intangible Assets net. No separate intangible assets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SEC validation: Value is a zero/derived model support value with no direct SEC fact.</t>
  </si>
  <si>
    <t>L127</t>
  </si>
  <si>
    <t>Grouped from EDGAR: Finite Lived Intangible Assets net. No separate intangible assets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SEC validation: Value is a zero/derived model support value with no direct SEC fact.</t>
  </si>
  <si>
    <t>M127</t>
  </si>
  <si>
    <t>Grouped from EDGAR: Finite Lived Intangible Assets net. No separate intangible assets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SEC validation: Value is a zero/derived model support value with no direct SEC fact.</t>
  </si>
  <si>
    <t>N127</t>
  </si>
  <si>
    <t>P127</t>
  </si>
  <si>
    <t>Grouped from EDGAR: Finite Lived Intangible Assets net. No separate intangible assets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SEC validation: Value is a zero/derived model support value with no direct SEC fact.</t>
  </si>
  <si>
    <t>Q127</t>
  </si>
  <si>
    <t>Grouped from EDGAR: Finite Lived Intangible Assets net. No separate intangible assets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SEC validation: Value is a zero/derived model support value with no direct SEC fact.</t>
  </si>
  <si>
    <t>R127</t>
  </si>
  <si>
    <t>Grouped from EDGAR: Finite Lived Intangible Assets net. No separate intangible assets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SEC validation: Value is a zero/derived model support value with no direct SEC fact.</t>
  </si>
  <si>
    <t>S127</t>
  </si>
  <si>
    <t>IntangibleAssetsNetExcludingGoodwill=13301mm</t>
  </si>
  <si>
    <t>Intangible Assets, Net (Excluding Goodwill)</t>
  </si>
  <si>
    <t>Grouped from EDGAR: Intangible Assets, Net (Excluding Goodwill).</t>
  </si>
  <si>
    <t>U127</t>
  </si>
  <si>
    <t>Grouped from EDGAR: Finite Lived Intangible Assets net. No separate intangible assets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SEC validation: Value is a zero/derived model support value with no direct SEC fact.</t>
  </si>
  <si>
    <t>V127</t>
  </si>
  <si>
    <t>IntangibleAssetsNetExcludingGoodwill=25797mm</t>
  </si>
  <si>
    <t>Grouped from EDGAR: Intangible Assets, Net (Excluding Goodwill).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</si>
  <si>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F128</t>
  </si>
  <si>
    <t>Goodwill=0mm</t>
  </si>
  <si>
    <t>Grouped from EDGAR: Goodwill. No separate goodwill line item was reported in the SEC balance sheet for this period, so stale template values were cleared.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"nsolidated Financial Statements. Apple Inc. | Q1 2023 Form 10-Q | 2 Apple Inc. CONDENSED CONSOLIDATED BALANCE SHEETS (Unaudited) (In millions, except number of shares which are reflected in thousands and par value) December 31, 2022 September 24, 2022 ASSETS: Current assets: Cash..." SEC validation: Value is a zero/derived model support value with no direct SEC fact.</t>
  </si>
  <si>
    <t>G128</t>
  </si>
  <si>
    <t>Grouped from EDGAR: Goodwill. No separate goodwill line item was reported in the SEC balance sheet for this period, so stale template values were cleared.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"d Consolidated Financial Statements. Apple Inc. | Q2 2023 Form 10-Q | 2 Apple Inc. CONDENSED CONSOLIDATED BALANCE SHEETS (Unaudited) (In millions, except number of shares which are reflected in thousands and par value) April 1, 2023 September 24, 2022 ASSETS: Current assets: Cash..." SEC validation: Value is a zero/derived model support value with no direct SEC fact.</t>
  </si>
  <si>
    <t>H128</t>
  </si>
  <si>
    <t>Grouped from EDGAR: Goodwill. No separate goodwill line item was reported in the SEC balance sheet for this period, so stale template values were cleared.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"ed Consolidated Financial Statements. Apple Inc. | Q3 2023 Form 10-Q | 2 Apple Inc. CONDENSED CONSOLIDATED BALANCE SHEETS (Unaudited) (In millions, except number of shares which are reflected in thousands and par value) July 1, 2023 September 24, 2022 ASSETS: Current assets: Cash..." SEC validation: Value is a zero/derived model support value with no direct SEC fact.</t>
  </si>
  <si>
    <t>I128</t>
  </si>
  <si>
    <t>Grouped from EDGAR: Goodwill. No separate goodwill line item was reported in the SEC balance sheet for this period, so stale template values were cleared.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SEC validation: Value is a zero/derived model support value with no direct SEC fact.</t>
  </si>
  <si>
    <t>K128</t>
  </si>
  <si>
    <t>Grouped from EDGAR: Goodwill. No separate goodwill line item was reported in the SEC balance sheet for this period, so stale template values were cleared.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"olidated Financial Statements. Apple Inc. | Q1 2024 Form 10-Q | 2 Apple Inc. CONDENSED CONSOLIDATED BALANCE SHEETS (Unaudited) (In millions, except number of shares, which are reflected in thousands, and par value) December 30, 2023 September 30, 2023 ASSETS: Current assets: Cash..." SEC validation: Value is a zero/derived model support value with no direct SEC fact.</t>
  </si>
  <si>
    <t>L128</t>
  </si>
  <si>
    <t>Grouped from EDGAR: Goodwill. No separate goodwill line item was reported in the SEC balance sheet for this period, so stale template values were cleared.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"onsolidated Financial Statements. Apple Inc. | Q2 2024 Form 10-Q | 2 Apple Inc. CONDENSED CONSOLIDATED BALANCE SHEETS (Unaudited) (In millions, except number of shares, which are reflected in thousands, and par value) March 30, 2024 September 30, 2023 ASSETS: Current assets: Cash..." SEC validation: Value is a zero/derived model support value with no direct SEC fact.</t>
  </si>
  <si>
    <t>M128</t>
  </si>
  <si>
    <t>Grouped from EDGAR: Goodwill. No separate goodwill line item was reported in the SEC balance sheet for this period, so stale template values were cleared.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"Consolidated Financial Statements. Apple Inc. | Q3 2024 Form 10-Q | 2 Apple Inc. CONDENSED CONSOLIDATED BALANCE SHEETS (Unaudited) (In millions, except number of shares, which are reflected in thousands, and par value) June 29, 2024 September 30, 2023 ASSETS: Current assets: Cash..." SEC validation: Value is a zero/derived model support value with no direct SEC fact.</t>
  </si>
  <si>
    <t>N128</t>
  </si>
  <si>
    <t>Grouped from EDGAR: Goodwill. No separate goodwill line item was reported in the SEC balance sheet for this period, so stale template values were cleared.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SEC validation: Value is a zero/derived model support value with no direct SEC fact.</t>
  </si>
  <si>
    <t>P128</t>
  </si>
  <si>
    <t>Grouped from EDGAR: Goodwill. No separate goodwill line item was reported in the SEC balance sheet for this period, so stale template values were cleared.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SEC validation: Value is a zero/derived model support value with no direct SEC fact.</t>
  </si>
  <si>
    <t>Q128</t>
  </si>
  <si>
    <t>Grouped from EDGAR: Goodwill. No separate goodwill line item was reported in the SEC balance sheet for this period, so stale template values were cleared.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SEC validation: Value is a zero/derived model support value with no direct SEC fact.</t>
  </si>
  <si>
    <t>R128</t>
  </si>
  <si>
    <t>Grouped from EDGAR: Goodwill. No separate goodwill line item was reported in the SEC balance sheet for this period, so stale template values were cleared.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SEC validation: Value is a zero/derived model support value with no direct SEC fact.</t>
  </si>
  <si>
    <t>S128</t>
  </si>
  <si>
    <t>Grouped from EDGAR: Goodwill. No separate goodwill line item was reported in the SEC balance sheet for this period, so stale template values were cleared.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SEC validation: Value is a zero/derived model support value with no direct SEC fact.</t>
  </si>
  <si>
    <t>U128</t>
  </si>
  <si>
    <t>Grouped from EDGAR: Goodwill. No separate goodwill line item was reported in the SEC balance sheet for this period, so stale template values were cleared.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"olidated Financial Statements. Apple Inc. | Q1 2026 Form 10-Q | 2 Apple Inc. CONDENSED CONSOLIDATED BALANCE SHEETS (Unaudited) (In millions, except number of shares, which are reflected in thousands, and par value) December 27, 2025 September 27, 2025 ASSETS: Current assets: Cash..." SEC validation: Value is a zero/derived model support value with no direct SEC fact.</t>
  </si>
  <si>
    <t>V128</t>
  </si>
  <si>
    <t>Grouped from EDGAR: Goodwill. No separate goodwill line item was reported in the SEC balance sheet for this period, so stale template values were cleared. Filing commentary support: 10-Q filed 2026-05-01: "onsolidated Financial Statements. Apple Inc. | Q2 2026 Form 10-Q | 2 Apple Inc. CONDENSED CONSOLIDATED BALANCE SHEETS (Unaudited) (In millions, except number of shares, which are reflected in thousands, and par value) March 28, 2026 September 27, 2025 ASSETS: Current assets: Cash..." 10-Q filed 2026-05-01: "curities 78,088 77,723 Property, plant and equipment, net 50,116 49,834 Intangible assets, net 21,334 11,093 Other non-current assets 77,430 72,634 Total non-current assets 226,968 211,284 Total assets $ 371,082 $ 359,241 LIABILITIES AND SHAREHOLDERS’ EQUITY: Current liabilities:..." SEC validation: Value is a zero/derived model support value with no direct SEC fact.</t>
  </si>
  <si>
    <t>F129</t>
  </si>
  <si>
    <t>Assets=346747mm; AssetsCurrent=128777mm; PropertyPlantAndEquipmentNet=42951mm; FiniteLivedIntangibleAssetsNet=0mm; Goodwill=0mm</t>
  </si>
  <si>
    <t>Assets; Assets, Current; Property, Plant and Equipment, Net; FiniteLivedIntangibleAssetsNet; Goodwill</t>
  </si>
  <si>
    <t>G129</t>
  </si>
  <si>
    <t>Assets=332160mm; AssetsCurrent=112913mm; PropertyPlantAndEquipmentNet=43398mm; FiniteLivedIntangibleAssetsNet=0mm; Goodwill=0mm</t>
  </si>
  <si>
    <t>H129</t>
  </si>
  <si>
    <t>Assets=335038mm; AssetsCurrent=122659mm; PropertyPlantAndEquipmentNet=43550mm; FiniteLivedIntangibleAssetsNet=0mm; Goodwill=0mm</t>
  </si>
  <si>
    <t>I129</t>
  </si>
  <si>
    <t>Assets=352583mm; AssetsCurrent=143566mm; PropertyPlantAndEquipmentNet=43715mm; FiniteLivedIntangibleAssetsNet=0mm; Goodwill=0mm</t>
  </si>
  <si>
    <t>K129</t>
  </si>
  <si>
    <t>Assets=353514mm; AssetsCurrent=143692mm; PropertyPlantAndEquipmentNet=43666mm; FiniteLivedIntangibleAssetsNet=0mm; Goodwill=0mm</t>
  </si>
  <si>
    <t>L129</t>
  </si>
  <si>
    <t>Assets=337411mm; AssetsCurrent=128416mm; PropertyPlantAndEquipmentNet=43546mm; FiniteLivedIntangibleAssetsNet=0mm; Goodwill=0mm</t>
  </si>
  <si>
    <t>M129</t>
  </si>
  <si>
    <t>Assets=331612mm; AssetsCurrent=125435mm; PropertyPlantAndEquipmentNet=44502mm; FiniteLivedIntangibleAssetsNet=0mm; Goodwill=0mm</t>
  </si>
  <si>
    <t>N129</t>
  </si>
  <si>
    <t>Assets=364980mm; AssetsCurrent=152987mm; PropertyPlantAndEquipmentNet=45680mm; FiniteLivedIntangibleAssetsNet=0mm; Goodwill=0mm</t>
  </si>
  <si>
    <t>P129</t>
  </si>
  <si>
    <t>Assets=344085mm; AssetsCurrent=133240mm; PropertyPlantAndEquipmentNet=46069mm; FiniteLivedIntangibleAssetsNet=0mm; Goodwill=0mm</t>
  </si>
  <si>
    <t>Grouped from EDGAR: Assets, Assets, Current, Property, Plant and Equipment, Net, Finite Lived Intangible Assets net, Goodwill. Calculated from SEC total assets less current assets and separately modeled PP&amp;E, intangible assets, and goodwill. Filing commentary support: 10-Q filed 2025-01-31: "olidated Financial Statements. Apple Inc. | Q1 2025 Form 10-Q | 2 Apple Inc. CONDENSED CONSOLIDATED BALANCE SHEETS (Unaudited) (In millions, except number of shares, which are reflected in thousands, and par value) December 28, 2024 September 28, 2024 ASSETS: Current assets: Cash..."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</si>
  <si>
    <t>Q129</t>
  </si>
  <si>
    <t>Assets=331233mm; AssetsCurrent=118674mm; PropertyPlantAndEquipmentNet=46876mm; FiniteLivedIntangibleAssetsNet=0mm; Goodwill=0mm</t>
  </si>
  <si>
    <t>Grouped from EDGAR: Assets, Assets, Current, Property, Plant and Equipment, Net, Finite Lived Intangible Assets net, Goodwill. Calculated from SEC total assets less current assets and separately modeled PP&amp;E, intangible assets, and goodwill. Filing commentary support: 10-Q filed 2025-05-02: "onsolidated Financial Statements. Apple Inc. | Q2 2025 Form 10-Q | 2 Apple Inc. CONDENSED CONSOLIDATED BALANCE SHEETS (Unaudited) (In millions, except number of shares, which are reflected in thousands, and par value) March 29, 2025 September 28, 2024 ASSETS: Current assets: Cash..."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</si>
  <si>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R129</t>
  </si>
  <si>
    <t>Assets=331495mm; AssetsCurrent=122491mm; PropertyPlantAndEquipmentNet=48508mm; FiniteLivedIntangibleAssetsNet=0mm; Goodwill=0mm</t>
  </si>
  <si>
    <t>Grouped from EDGAR: Assets, Assets, Current, Property, Plant and Equipment, Net, Finite Lived Intangible Assets net, Goodwill. Calculated from SEC total assets less current assets and separately modeled PP&amp;E, intangible assets, and goodwill. Filing commentary support: 10-Q filed 2025-08-01: "Consolidated Financial Statements. Apple Inc. | Q3 2025 Form 10-Q | 2 Apple Inc. CONDENSED CONSOLIDATED BALANCE SHEETS (Unaudited) (In millions, except number of shares, which are reflected in thousands, and par value) June 28, 2025 September 28, 2024 ASSETS: Current assets: Cash..."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</si>
  <si>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S129</t>
  </si>
  <si>
    <t>Assets=359241mm; AssetsCurrent=147957mm; PropertyPlantAndEquipmentNet=49834mm; IntangibleAssetsNetExcludingGoodwill=13301mm; Goodwill=0mm</t>
  </si>
  <si>
    <t>Assets; Assets, Current; Property, Plant and Equipment, Net; Intangible Assets, Net (Excluding Goodwill); Goodwill</t>
  </si>
  <si>
    <t>Grouped from EDGAR: Assets, Assets, Current, Property, Plant and Equipment, Net, Intangible Assets, Net (Excluding Goodwill), Goodwill. Calculated from SEC total assets less current assets and separately modeled PP&amp;E, intangible assets, and goodwill.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</si>
  <si>
    <t>U129</t>
  </si>
  <si>
    <t>Assets=379297mm; AssetsCurrent=158104mm; PropertyPlantAndEquipmentNet=50159mm; FiniteLivedIntangibleAssetsNet=0mm; Goodwill=0mm</t>
  </si>
  <si>
    <t>V129</t>
  </si>
  <si>
    <t>Assets=371082mm; AssetsCurrent=144114mm; PropertyPlantAndEquipmentNet=50116mm; IntangibleAssetsNetExcludingGoodwill=25797mm; Goodwill=0mm</t>
  </si>
  <si>
    <t>F134</t>
  </si>
  <si>
    <t>AccountsPayableCurrent=57918mm</t>
  </si>
  <si>
    <t>Accounts Payable, Current</t>
  </si>
  <si>
    <t>Grouped from EDGAR: Accounts Payable, Current.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</si>
  <si>
    <t>G134</t>
  </si>
  <si>
    <t>AccountsPayableCurrent=42945mm</t>
  </si>
  <si>
    <t>Grouped from EDGAR: Accounts Payable, Current.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</si>
  <si>
    <t>H134</t>
  </si>
  <si>
    <t>AccountsPayableCurrent=46699mm</t>
  </si>
  <si>
    <t>Grouped from EDGAR: Accounts Payable, Current.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</si>
  <si>
    <t>I134</t>
  </si>
  <si>
    <t>AccountsPayableCurrent=62611mm</t>
  </si>
  <si>
    <t>Grouped from EDGAR: Accounts Payable, Current.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</si>
  <si>
    <t>K134</t>
  </si>
  <si>
    <t>AccountsPayableCurrent=58146mm</t>
  </si>
  <si>
    <t>Grouped from EDGAR: Accounts Payable, Current.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</si>
  <si>
    <t>L134</t>
  </si>
  <si>
    <t>AccountsPayableCurrent=45753mm</t>
  </si>
  <si>
    <t>Grouped from EDGAR: Accounts Payable, Current.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</si>
  <si>
    <t>M134</t>
  </si>
  <si>
    <t>AccountsPayableCurrent=47574mm</t>
  </si>
  <si>
    <t>Grouped from EDGAR: Accounts Payable, Current.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</si>
  <si>
    <t>N134</t>
  </si>
  <si>
    <t>AccountsPayableCurrent=68960mm</t>
  </si>
  <si>
    <t>Grouped from EDGAR: Accounts Payable, Current.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</si>
  <si>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P134</t>
  </si>
  <si>
    <t>AccountsPayableCurrent=61910mm</t>
  </si>
  <si>
    <t>Grouped from EDGAR: Accounts Payable, Current.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</si>
  <si>
    <t>Q134</t>
  </si>
  <si>
    <t>AccountsPayableCurrent=54126mm</t>
  </si>
  <si>
    <t>Grouped from EDGAR: Accounts Payable, Current.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</si>
  <si>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R134</t>
  </si>
  <si>
    <t>AccountsPayableCurrent=50374mm</t>
  </si>
  <si>
    <t>Grouped from EDGAR: Accounts Payable, Current.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</si>
  <si>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S134</t>
  </si>
  <si>
    <t>AccountsPayableCurrent=69860mm</t>
  </si>
  <si>
    <t>Grouped from EDGAR: Accounts Payable, Current.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</si>
  <si>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U134</t>
  </si>
  <si>
    <t>AccountsPayableCurrent=70587mm</t>
  </si>
  <si>
    <t>Grouped from EDGAR: Accounts Payable, Current.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</si>
  <si>
    <t>V134</t>
  </si>
  <si>
    <t>AccountsPayableCurrent=57349mm</t>
  </si>
  <si>
    <t>Grouped from EDGAR: Accounts Payable, Current.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</si>
  <si>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F135</t>
  </si>
  <si>
    <t>LiabilitiesCurrent=137286mm; AccountsPayableCurrent=57918mm; ContractWithCustomerLiabilityCurrent=7992mm; DebtCurrent=0mm</t>
  </si>
  <si>
    <t>Liabilities, Current; Accounts Payable, Current; Contract with Customer, Liability, Current; DebtCurrent</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</si>
  <si>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t>
  </si>
  <si>
    <t>G135</t>
  </si>
  <si>
    <t>LiabilitiesCurrent=120075mm; AccountsPayableCurrent=42945mm; ContractWithCustomerLiabilityCurrent=8131mm;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</si>
  <si>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</si>
  <si>
    <t>H135</t>
  </si>
  <si>
    <t>LiabilitiesCurrent=124963mm; AccountsPayableCurrent=46699mm; ContractWithCustomerLiabilityCurrent=8158mm;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</si>
  <si>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</si>
  <si>
    <t>I135</t>
  </si>
  <si>
    <t>LiabilitiesCurrent=145308mm; AccountsPayableCurrent=62611mm; ContractWithCustomerLiabilityCurrent=8061mm;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</si>
  <si>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</si>
  <si>
    <t>K135</t>
  </si>
  <si>
    <t>LiabilitiesCurrent=133973mm; AccountsPayableCurrent=58146mm; ContractWithCustomerLiabilityCurrent=8264mm;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</si>
  <si>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10-Q filed 2024-02-02: "66 Non-current assets: Marketable securities 99,475 100,544 Property, plant and equipment, net 43,666 43,715 Other non-current assets 66,681 64,758 Total non-current assets 209,822 209,017 Total assets $ 353,514 $ 352,583 LIABILITIES AND SHAREHOLDERS’ EQUITY: Current liabilities:..."</t>
  </si>
  <si>
    <t>L135</t>
  </si>
  <si>
    <t>LiabilitiesCurrent=123822mm; AccountsPayableCurrent=45753mm; ContractWithCustomerLiabilityCurrent=8012mm; DebtCurrent=0mm</t>
  </si>
  <si>
    <t>M135</t>
  </si>
  <si>
    <t>LiabilitiesCurrent=131624mm; AccountsPayableCurrent=47574mm; ContractWithCustomerLiabilityCurrent=8053mm;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</si>
  <si>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</si>
  <si>
    <t>N135</t>
  </si>
  <si>
    <t>LiabilitiesCurrent=176392mm; AccountsPayableCurrent=68960mm; ContractWithCustomerLiabilityCurrent=8249mm;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</si>
  <si>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</si>
  <si>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P135</t>
  </si>
  <si>
    <t>LiabilitiesCurrent=144365mm; AccountsPayableCurrent=61910mm; ContractWithCustomerLiabilityCurrent=8461mm;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</si>
  <si>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10-Q filed 2025-01-31: "987 Non-current assets: Marketable securities 87,593 91,479 Property, plant and equipment, net 46,069 45,680 Other non-current assets 77,183 74,834 Total non-current assets 210,845 211,993 Total assets $ 344,085 $ 364,980 LIABILITIES AND SHAREHOLDERS’ EQUITY: Current liabilities:..."</t>
  </si>
  <si>
    <t>Q135</t>
  </si>
  <si>
    <t>LiabilitiesCurrent=144571mm; AccountsPayableCurrent=54126mm; ContractWithCustomerLiabilityCurrent=8976mm;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</si>
  <si>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</si>
  <si>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R135</t>
  </si>
  <si>
    <t>LiabilitiesCurrent=141120mm; AccountsPayableCurrent=50374mm; ContractWithCustomerLiabilityCurrent=8979mm;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</si>
  <si>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</si>
  <si>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S135</t>
  </si>
  <si>
    <t>LiabilitiesCurrent=165631mm; AccountsPayableCurrent=69860mm; ContractWithCustomerLiabilityCurrent=9055mm;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</si>
  <si>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</si>
  <si>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U135</t>
  </si>
  <si>
    <t>LiabilitiesCurrent=162367mm; AccountsPayableCurrent=70587mm; ContractWithCustomerLiabilityCurrent=9413mm;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</si>
  <si>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 10-Q filed 2026-01-30: "957 Non-current assets: Marketable securities 77,888 77,723 Property, plant and equipment, net 50,159 49,834 Other non-current assets 93,146 83,727 Total non-current assets 221,193 211,284 Total assets $ 379,297 $ 359,241 LIABILITIES AND SHAREHOLDERS’ EQUITY: Current liabilities:..."</t>
  </si>
  <si>
    <t>V135</t>
  </si>
  <si>
    <t>LiabilitiesCurrent=134641mm; AccountsPayableCurrent=57349mm; ContractWithCustomerLiabilityCurrent=9331mm; DebtCurrent=0mm</t>
  </si>
  <si>
    <t>Grouped from EDGAR: Liabilities, Current, Accounts Payable, Current, Contract with Customer, Liability, Current, Debt Current. Derived from SEC current liabilities less separately modeled accounts payable and other current liabilities. Current debt remains in accrued liabilities when the template does not expose a separate current debt row.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</si>
  <si>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F136</t>
  </si>
  <si>
    <t>ContractWithCustomerLiabilityCurrent=7992mm</t>
  </si>
  <si>
    <t>Contract with Customer, Liability, Current</t>
  </si>
  <si>
    <t>G136</t>
  </si>
  <si>
    <t>ContractWithCustomerLiabilityCurrent=8131mm</t>
  </si>
  <si>
    <t>H136</t>
  </si>
  <si>
    <t>ContractWithCustomerLiabilityCurrent=8158mm</t>
  </si>
  <si>
    <t>I136</t>
  </si>
  <si>
    <t>ContractWithCustomerLiabilityCurrent=8061mm</t>
  </si>
  <si>
    <t>K136</t>
  </si>
  <si>
    <t>ContractWithCustomerLiabilityCurrent=8264mm</t>
  </si>
  <si>
    <t>L136</t>
  </si>
  <si>
    <t>ContractWithCustomerLiabilityCurrent=8012mm</t>
  </si>
  <si>
    <t>M136</t>
  </si>
  <si>
    <t>ContractWithCustomerLiabilityCurrent=8053mm</t>
  </si>
  <si>
    <t>N136</t>
  </si>
  <si>
    <t>ContractWithCustomerLiabilityCurrent=8249mm</t>
  </si>
  <si>
    <t>P136</t>
  </si>
  <si>
    <t>ContractWithCustomerLiabilityCurrent=8461mm</t>
  </si>
  <si>
    <t>Grouped from EDGAR: Contract with Customer, Liability, Current. Mapped to a direct SEC other current liability / current contract liability concept when reported.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</si>
  <si>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Q136</t>
  </si>
  <si>
    <t>ContractWithCustomerLiabilityCurrent=8976mm</t>
  </si>
  <si>
    <t>Grouped from EDGAR: Contract with Customer, Liability, Current. Mapped to a direct SEC other current liability / current contract liability concept when reported.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</si>
  <si>
    <t>R136</t>
  </si>
  <si>
    <t>ContractWithCustomerLiabilityCurrent=8979mm</t>
  </si>
  <si>
    <t>Grouped from EDGAR: Contract with Customer, Liability, Current. Mapped to a direct SEC other current liability / current contract liability concept when reported.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</si>
  <si>
    <t>S136</t>
  </si>
  <si>
    <t>ContractWithCustomerLiabilityCurrent=9055mm</t>
  </si>
  <si>
    <t>Grouped from EDGAR: Contract with Customer, Liability, Current. Mapped to a direct SEC other current liability / current contract liability concept when reported.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"987 Non-current assets: Marketable securities 77,723 91,479 Property, plant and equipment, net 49,834 45,680 Other non-current assets 83,727 74,834 Total non-current assets 211,284 211,993 Total assets $ 359,241 $ 364,980 LIABILITIES AND SHAREHOLDERS’ EQUITY: Current liabilities:..."</t>
  </si>
  <si>
    <t>U136</t>
  </si>
  <si>
    <t>ContractWithCustomerLiabilityCurrent=9413mm</t>
  </si>
  <si>
    <t>V136</t>
  </si>
  <si>
    <t>ContractWithCustomerLiabilityCurrent=9331mm</t>
  </si>
  <si>
    <t>F140</t>
  </si>
  <si>
    <t>LongTermDebtNoncurrent=99627mm</t>
  </si>
  <si>
    <t>Long-term Debt, Excluding Current Maturities</t>
  </si>
  <si>
    <t>G140</t>
  </si>
  <si>
    <t>LongTermDebtNoncurrent=97041mm</t>
  </si>
  <si>
    <t>H140</t>
  </si>
  <si>
    <t>LongTermDebtNoncurrent=98071mm</t>
  </si>
  <si>
    <t>I140</t>
  </si>
  <si>
    <t>LongTermDebtNoncurrent=95281mm</t>
  </si>
  <si>
    <t>K140</t>
  </si>
  <si>
    <t>LongTermDebtNoncurrent=95088mm</t>
  </si>
  <si>
    <t>L140</t>
  </si>
  <si>
    <t>LongTermDebtNoncurrent=91831mm</t>
  </si>
  <si>
    <t>M140</t>
  </si>
  <si>
    <t>LongTermDebtNoncurrent=86196mm</t>
  </si>
  <si>
    <t>N140</t>
  </si>
  <si>
    <t>LongTermDebtNoncurrent=85750mm</t>
  </si>
  <si>
    <t>P140</t>
  </si>
  <si>
    <t>LongTermDebtNoncurrent=83956mm</t>
  </si>
  <si>
    <t>Grouped from EDGAR: Long-term Debt, Excluding Current Maturities.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"8, 2024 and $ 3.5 billion of revenue recognized in the three months ended December 30, 2023 that was included in deferred revenue as of September 30, 2023. The Company’s proportion of net sales by disaggregated revenue source was generally consistent for each reportable segment i..."</t>
  </si>
  <si>
    <t>Q140</t>
  </si>
  <si>
    <t>LongTermDebtNoncurrent=78566mm</t>
  </si>
  <si>
    <t>Grouped from EDGAR: Long-term Debt, Excluding Current Maturities. Filing commentary support: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</si>
  <si>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R140</t>
  </si>
  <si>
    <t>LongTermDebtNoncurrent=82430mm</t>
  </si>
  <si>
    <t>Grouped from EDGAR: Long-term Debt, Excluding Current Maturities. Filing commentary support: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</si>
  <si>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S140</t>
  </si>
  <si>
    <t>LongTermDebtNoncurrent=78328mm</t>
  </si>
  <si>
    <t>Grouped from EDGAR: Long-term Debt, Excluding Current Maturities.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</si>
  <si>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U140</t>
  </si>
  <si>
    <t>LongTermDebtNoncurrent=76685mm</t>
  </si>
  <si>
    <t>V140</t>
  </si>
  <si>
    <t>LongTermDebtNoncurrent=74404mm</t>
  </si>
  <si>
    <t>F141</t>
  </si>
  <si>
    <t>DeferredTaxLiabilitiesNoncurrent=0mm</t>
  </si>
  <si>
    <t>DeferredTaxLiabilitiesNoncurrent</t>
  </si>
  <si>
    <t>Grouped from EDGAR: Deferred Tax Liabilities Noncurrent. No separate deferred tax liability was reported in the SEC balance sheet for this period. Filing commentary support: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 10-Q filed 2023-02-03: "5 Non-current assets: Marketable securities 114,095 120,805 Property, plant and equipment, net 42,951 42,117 Other non-current assets 60,924 54,428 Total non-current assets 217,970 217,350 Total assets $ 346,747 $ 352,755 LIABILITIES AND SHAREHOLDERS’ EQUITY: Current liabilities:..." SEC validation: Value is a zero/derived model support value with no direct SEC fact.</t>
  </si>
  <si>
    <t>G141</t>
  </si>
  <si>
    <t>Grouped from EDGAR: Deferred Tax Liabilities Noncurrent. No separate deferred tax liability was reported in the SEC balance sheet for this period. Filing commentary support: 10-Q filed 2023-05-05: "5 Non-current assets: Marketable securities 110,461 120,805 Property, plant and equipment, net 43,398 42,117 Other non-current assets 65,388 54,428 Total non-current assets 219,247 217,350 Total assets $ 332,160 $ 352,755 LIABILITIES AND SHAREHOLDERS’ EQUITY: Current liabilities:..."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SEC validation: Value is a zero/derived model support value with no direct SEC fact.</t>
  </si>
  <si>
    <t>H141</t>
  </si>
  <si>
    <t>Grouped from EDGAR: Deferred Tax Liabilities Noncurrent. No separate deferred tax liability was reported in the SEC balance sheet for this period. Filing commentary support: 10-Q filed 2023-08-04: "5 Non-current assets: Marketable securities 104,061 120,805 Property, plant and equipment, net 43,550 42,117 Other non-current assets 64,768 54,428 Total non-current assets 212,379 217,350 Total assets $ 335,038 $ 352,755 LIABILITIES AND SHAREHOLDERS’ EQUITY: Current liabilities:..."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SEC validation: Value is a zero/derived model support value with no direct SEC fact.</t>
  </si>
  <si>
    <t>I141</t>
  </si>
  <si>
    <t>Grouped from EDGAR: Deferred Tax Liabilities Noncurrent. No separate deferred tax liability was reported in the SEC balance sheet for this period. Filing commentary support: 10-K filed 2023-11-03: "5 Non-current assets: Marketable securities 100,544 120,805 Property, plant and equipment, net 43,715 42,117 Other non-current assets 64,758 54,428 Total non-current assets 209,017 217,350 Total assets $ 352,583 $ 352,755 LIABILITIES AND SHAREHOLDERS’ EQUITY: Current liabilities:..."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SEC validation: Value is a zero/derived model support value with no direct SEC fact.</t>
  </si>
  <si>
    <t>K141</t>
  </si>
  <si>
    <t>Grouped from EDGAR: Deferred Tax Liabilities Noncurrent. No separate deferred tax liability was reported in the SEC balance sheet for this period. Filing commentary support: 10-Q filed 2024-02-02: "66 Non-current assets: Marketable securities 99,475 100,544 Property, plant and equipment, net 43,666 43,715 Other non-current assets 66,681 64,758 Total non-current assets 209,822 209,017 Total assets $ 353,514 $ 352,583 LIABILITIES AND SHAREHOLDERS’ EQUITY: Current liabilities:..."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 SEC validation: Value is a zero/derived model support value with no direct SEC fact.</t>
  </si>
  <si>
    <t>L141</t>
  </si>
  <si>
    <t>Grouped from EDGAR: Deferred Tax Liabilities Noncurrent. No separate deferred tax liability was reported in the SEC balance sheet for this period. Filing commentary support: 10-Q filed 2024-05-03: "66 Non-current assets: Marketable securities 95,187 100,544 Property, plant and equipment, net 43,546 43,715 Other non-current assets 70,262 64,758 Total non-current assets 208,995 209,017 Total assets $ 337,411 $ 352,583 LIABILITIES AND SHAREHOLDERS’ EQUITY: Current liabilities:..."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SEC validation: Value is a zero/derived model support value with no direct SEC fact.</t>
  </si>
  <si>
    <t>M141</t>
  </si>
  <si>
    <t>Grouped from EDGAR: Deferred Tax Liabilities Noncurrent. No separate deferred tax liability was reported in the SEC balance sheet for this period. Filing commentary support: 10-Q filed 2024-08-02: "66 Non-current assets: Marketable securities 91,240 100,544 Property, plant and equipment, net 44,502 43,715 Other non-current assets 70,435 64,758 Total non-current assets 206,177 209,017 Total assets $ 331,612 $ 352,583 LIABILITIES AND SHAREHOLDERS’ EQUITY: Current liabilities:..."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SEC validation: Value is a zero/derived model support value with no direct SEC fact.</t>
  </si>
  <si>
    <t>N141</t>
  </si>
  <si>
    <t>Grouped from EDGAR: Deferred Tax Liabilities Noncurrent. No separate deferred tax liability was reported in the SEC balance sheet for this period. Filing commentary support: 10-K filed 2024-11-01: "66 Non-current assets: Marketable securities 91,479 100,544 Property, plant and equipment, net 45,680 43,715 Other non-current assets 74,834 64,758 Total non-current assets 211,993 209,017 Total assets $ 364,980 $ 352,583 LIABILITIES AND SHAREHOLDERS’ EQUITY: Current liabilities:..."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SEC validation: Value is a zero/derived model support value with no direct SEC fact.</t>
  </si>
  <si>
    <t>P141</t>
  </si>
  <si>
    <t>Grouped from EDGAR: Deferred Tax Liabilities Noncurrent. No separate deferred tax liability was reported in the SEC balance sheet for this period.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 SEC validation: Value is a zero/derived model support value with no direct SEC fact.</t>
  </si>
  <si>
    <t>Q141</t>
  </si>
  <si>
    <t>Grouped from EDGAR: Deferred Tax Liabilities Noncurrent. No separate deferred tax liability was reported in the SEC balance sheet for this period.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",753 $ 219,659 $ 210,328 Portion of total net sales that was included in deferred revenue as of the beginning of the period $ 3,672 $ 3,282 $ 5,440 $ 5,135 The Company’s proportion of net sales by disaggregated revenue source was generally consistent for each reportable segment i..." SEC validation: Value is a zero/derived model support value with no direct SEC fact.</t>
  </si>
  <si>
    <t>R141</t>
  </si>
  <si>
    <t>Grouped from EDGAR: Deferred Tax Liabilities Noncurrent. No separate deferred tax liability was reported in the SEC balance sheet for this period.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",777 $ 313,695 $ 296,105 Portion of total net sales that was included in deferred revenue as of the beginning of the period $ 4,015 $ 3,405 $ 6,958 $ 6,541 The Company’s proportion of net sales by disaggregated revenue source was generally consistent for each reportable segment i..." SEC validation: Value is a zero/derived model support value with no direct SEC fact.</t>
  </si>
  <si>
    <t>S141</t>
  </si>
  <si>
    <t>Grouped from EDGAR: Deferred Tax Liabilities Noncurrent. No separate deferred tax liability was reported in the SEC balance sheet for this period.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SEC validation: Value is a zero/derived model support value with no direct SEC fact.</t>
  </si>
  <si>
    <t>U141</t>
  </si>
  <si>
    <t>Grouped from EDGAR: Deferred Tax Liabilities Noncurrent. No separate deferred tax liability was reported in the SEC balance sheet for this period. Filing commentary support: 10-Q filed 2026-01-30: "957 Non-current assets: Marketable securities 77,888 77,723 Property, plant and equipment, net 50,159 49,834 Other non-current assets 93,146 83,727 Total non-current assets 221,193 211,284 Total assets $ 379,297 $ 359,241 LIABILITIES AND SHAREHOLDERS’ EQUITY: Current liabilities:..." 10-Q filed 2026-01-30: ",340 Total net sales $ 143,756 $ 124,300 Portion of total net sales that was included in deferred revenue as of the beginning of the period $ 4,050 $ 3,690 The Company’s proportion of net sales by disaggregated revenue source was generally consistent for each reportable segment i..." SEC validation: Value is a zero/derived model support value with no direct SEC fact.</t>
  </si>
  <si>
    <t>V141</t>
  </si>
  <si>
    <t>Grouped from EDGAR: Deferred Tax Liabilities Noncurrent. No separate deferred tax liability was reported in the SEC balance sheet for this period. Filing commentary support: 10-Q filed 2026-05-01: "curities 78,088 77,723 Property, plant and equipment, net 50,116 49,834 Intangible assets, net 21,334 11,093 Other non-current assets 77,430 72,634 Total non-current assets 226,968 211,284 Total assets $ 371,082 $ 359,241 LIABILITIES AND SHAREHOLDERS’ EQUITY: Current liabilities:..." 10-Q filed 2026-05-01: ",359 $ 254,940 $ 219,659 Portion of total net sales that was included in deferred revenue as of the beginning of the period $ 3,987 $ 3,672 $ 5,834 $ 5,440 The Company’s proportion of net sales by disaggregated revenue source was generally consistent for each reportable segment i..." SEC validation: Value is a zero/derived model support value with no direct SEC fact.</t>
  </si>
  <si>
    <t>F142</t>
  </si>
  <si>
    <t>Liabilities=290020mm; LiabilitiesCurrent=137286mm; DebtCurrent=0mm; LongTermDebtNoncurrent=99627mm;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</si>
  <si>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</si>
  <si>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G142</t>
  </si>
  <si>
    <t>Liabilities=270002mm; LiabilitiesCurrent=120075mm; DebtCurrent=0mm; LongTermDebtNoncurrent=97041mm; DeferredTaxLiabilitiesNoncurrent=0mm; OperatingLeaseLiabilityNoncurrent=0mm; PensionAndOtherPostretirementDefinedBenefitPlansLiabilityNoncurrent=0mm</t>
  </si>
  <si>
    <t>H142</t>
  </si>
  <si>
    <t>Liabilities=274764mm; LiabilitiesCurrent=124963mm; DebtCurrent=0mm; LongTermDebtNoncurrent=98071mm; DeferredTaxLiabilitiesNoncurrent=0mm; OperatingLeaseLiabilityNoncurrent=0mm; PensionAndOtherPostretirementDefinedBenefitPlansLiabilityNoncurrent=0mm</t>
  </si>
  <si>
    <t>I142</t>
  </si>
  <si>
    <t>Liabilities=290437mm; LiabilitiesCurrent=145308mm; DebtCurrent=0mm; LongTermDebtNoncurrent=95281mm; DeferredTaxLiabilitiesNoncurrent=0mm; OperatingLeaseLiabilityNoncurrent=0mm; PensionAndOtherPostretirementDefinedBenefitPlansLiabilityNoncurrent=0mm</t>
  </si>
  <si>
    <t>K142</t>
  </si>
  <si>
    <t>Liabilities=279414mm; LiabilitiesCurrent=133973mm; DebtCurrent=0mm; LongTermDebtNoncurrent=95088mm; DeferredTaxLiabilitiesNoncurrent=0mm; OperatingLeaseLiabilityNoncurrent=0mm; PensionAndOtherPostretirementDefinedBenefitPlansLiabilityNoncurrent=0mm</t>
  </si>
  <si>
    <t>L142</t>
  </si>
  <si>
    <t>Liabilities=263217mm; LiabilitiesCurrent=123822mm; DebtCurrent=0mm; LongTermDebtNoncurrent=91831mm; DeferredTaxLiabilitiesNoncurrent=0mm; OperatingLeaseLiabilityNoncurrent=0mm; PensionAndOtherPostretirementDefinedBenefitPlansLiabilityNoncurrent=0mm</t>
  </si>
  <si>
    <t>M142</t>
  </si>
  <si>
    <t>Liabilities=264904mm; LiabilitiesCurrent=131624mm; DebtCurrent=0mm; LongTermDebtNoncurrent=86196mm; DeferredTaxLiabilitiesNoncurrent=0mm; OperatingLeaseLiabilityNoncurrent=0mm; PensionAndOtherPostretirementDefinedBenefitPlansLiabilityNoncurrent=0mm</t>
  </si>
  <si>
    <t>N142</t>
  </si>
  <si>
    <t>Liabilities=308030mm; LiabilitiesCurrent=176392mm; DebtCurrent=0mm; LongTermDebtNoncurrent=85750mm; DeferredTaxLiabilitiesNoncurrent=0mm; OperatingLeaseLiabilityNoncurrent=0mm; PensionAndOtherPostretirementDefinedBenefitPlansLiabilityNoncurrent=0mm</t>
  </si>
  <si>
    <t>P142</t>
  </si>
  <si>
    <t>Liabilities=277327mm; LiabilitiesCurrent=144365mm; DebtCurrent=0mm; LongTermDebtNoncurrent=83956mm; DeferredTaxLiabilitiesNoncurrent=0mm; OperatingLeaseLiabilityNoncurrent=0mm; PensionAndOtherPostretirementDefinedBenefitPlansLiabilityNoncurrent=0mm</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</si>
  <si>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2025-01-31: "987 Non-current assets: Marketable securities 87,593 91,479 Property, plant and equipment, net 46,069 45,680 Other non-current assets 77,183 74,834 Total non-current assets 210,845 211,993 Total assets $ 344,085 $ 364,980 LIABILITIES AND SHAREHOLDERS’ EQUITY: Current liabilities:..."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</si>
  <si>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Q142</t>
  </si>
  <si>
    <t>Liabilities=264437mm; LiabilitiesCurrent=144571mm; DebtCurrent=0mm; LongTermDebtNoncurrent=78566mm; DeferredTaxLiabilitiesNoncurrent=0mm; OperatingLeaseLiabilityNoncurrent=0mm; PensionAndOtherPostretirementDefinedBenefitPlansLiabilityNoncurrent=0mm</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</si>
  <si>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2025-05-02: "987 Non-current assets: Marketable securities 84,424 91,479 Property, plant and equipment, net 46,876 45,680 Other non-current assets 81,259 74,834 Total non-current assets 212,559 211,993 Total assets $ 331,233 $ 364,980 LIABILITIES AND SHAREHOLDERS’ EQUITY: Current liabilities:..."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t>
  </si>
  <si>
    <t>R142</t>
  </si>
  <si>
    <t>Liabilities=265665mm; LiabilitiesCurrent=141120mm; DebtCurrent=0mm; LongTermDebtNoncurrent=82430mm; DeferredTaxLiabilitiesNoncurrent=0mm; OperatingLeaseLiabilityNoncurrent=0mm; PensionAndOtherPostretirementDefinedBenefitPlansLiabilityNoncurrent=0mm</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</si>
  <si>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10-Q filed 2025-08-01: "987 Non-current assets: Marketable securities 77,614 91,479 Property, plant and equipment, net 48,508 45,680 Other non-current assets 82,882 74,834 Total non-current assets 209,004 211,993 Total assets $ 331,495 $ 364,980 LIABILITIES AND SHAREHOLDERS’ EQUITY: Current liabilities:..."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t>
  </si>
  <si>
    <t>S142</t>
  </si>
  <si>
    <t>Liabilities=285508mm; LiabilitiesCurrent=165631mm; DebtCurrent=0mm; LongTermDebtNoncurrent=78328mm; DeferredTaxLiabilitiesNoncurrent=0mm; OperatingLeaseLiabilityNoncurrent=0mm; PensionAndOtherPostretirementDefinedBenefitPlansLiabilityNoncurrent=0mm</t>
  </si>
  <si>
    <t>Grouped from EDGAR: Liabilities, Liabilities, Current, Debt Current, Long-term Debt, Excluding Current Maturities, Deferred Tax Liabilities Noncurrent, Operating Lease Liability Noncurrent, Pension and Other Postretirement Defined Benefit Plans Liability Noncurrent. Derived from SEC total liabilities less current liabilities and separately modeled non-current debt, deferred tax, lease, and pension liabilities. Noncontrolling interests are equity, not a liability plug. Filing commentary support: 10-K filed 2025-10-31: "987 Non-current assets: Marketable securities 77,723 91,479 Property, plant and equipment, net 49,834 45,680 Other non-current assets 83,727 74,834 Total non-current assets 211,284 211,993 Total assets $ 359,241 $ 364,980 LIABILITIES AND SHAREHOLDERS’ EQUITY: Current liabilities:..."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</si>
  <si>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U142</t>
  </si>
  <si>
    <t>Liabilities=291107mm; LiabilitiesCurrent=162367mm; DebtCurrent=0mm; LongTermDebtNoncurrent=76685mm; DeferredTaxLiabilitiesNoncurrent=0mm; OperatingLeaseLiabilityNoncurrent=0mm; PensionAndOtherPostretirementDefinedBenefitPlansLiabilityNoncurrent=0mm</t>
  </si>
  <si>
    <t>V142</t>
  </si>
  <si>
    <t>Liabilities=264591mm; LiabilitiesCurrent=134641mm; DebtCurrent=0mm; LongTermDebtNoncurrent=74404mm; DeferredTaxLiabilitiesNoncurrent=0mm; OperatingLeaseLiabilityNoncurrent=0mm; PensionAndOtherPostretirementDefinedBenefitPlansLiabilityNoncurrent=0mm</t>
  </si>
  <si>
    <t>F147</t>
  </si>
  <si>
    <t>CommonStockValue=0mm; CommonStocksIncludingAdditionalPaidInCapital=66399mm</t>
  </si>
  <si>
    <t>CommonStockValue; Common Stocks, Including Additional Paid in Capital</t>
  </si>
  <si>
    <t>Grouped from EDGAR: Common Stock Value, Common Stocks, Including Additional Paid in Capital. Included common stock value plus additional paid-in capital.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"ree Months Ended December 31, 2022 December 25, 2021 Cash, cash equivalents and restricted cash, beginning balances $ 24,977 $ 35,929 Operating activities: Net income 29,998 34,630 Adjustments to reconcile net income to cash generated by operating activities: Depreciation and amo..."</t>
  </si>
  <si>
    <t>G147</t>
  </si>
  <si>
    <t>CommonStockValue=0mm; CommonStocksIncludingAdditionalPaidInCapital=69568mm</t>
  </si>
  <si>
    <t>Grouped from EDGAR: Common Stock Value, Common Stocks, Including Additional Paid in Capital. Included common stock value plus additional paid-in capital. Filing commentary support: 10-Q filed 2023-05-05: "lions) Six Months Ended April 1, 2023 March 26, 2022 Cash, cash equivalents and restricted cash, beginning balances $ 24,977 $ 35,929 Operating activities: Net income 54,158 59,640 Adjustments to reconcile net income to cash generated by operating activities: Depreciation and amo..." 10-Q filed 2023-05-05: "5 Non-current assets: Marketable securities 110,461 120,805 Property, plant and equipment, net 43,398 42,117 Other non-current assets 65,388 54,428 Total non-current assets 219,247 217,350 Total assets $ 332,160 $ 352,755 LIABILITIES AND SHAREHOLDERS’ EQUITY: Current liabilities:..."</t>
  </si>
  <si>
    <t>H147</t>
  </si>
  <si>
    <t>CommonStockValue=0mm; CommonStocksIncludingAdditionalPaidInCapital=70667mm</t>
  </si>
  <si>
    <t>Grouped from EDGAR: Common Stock Value, Common Stocks, Including Additional Paid in Capital. Included common stock value plus additional paid-in capital. Filing commentary support: 10-Q filed 2023-08-04: "llions) Nine Months Ended July 1, 2023 June 25, 2022 Cash, cash equivalents and restricted cash, beginning balances $ 24,977 $ 35,929 Operating activities: Net income 74,039 79,082 Adjustments to reconcile net income to cash generated by operating activities: Depreciation and amo..." 10-Q filed 2023-08-04: "5 Non-current assets: Marketable securities 104,061 120,805 Property, plant and equipment, net 43,550 42,117 Other non-current assets 64,768 54,428 Total non-current assets 212,379 217,350 Total assets $ 335,038 $ 352,755 LIABILITIES AND SHAREHOLDERS’ EQUITY: Current liabilities:..."</t>
  </si>
  <si>
    <t>I147</t>
  </si>
  <si>
    <t>CommonStockValue=0mm; CommonStocksIncludingAdditionalPaidInCapital=73812mm</t>
  </si>
  <si>
    <t>Grouped from EDGAR: Common Stock Value, Common Stocks, Including Additional Paid in Capital. Included common stock value plus additional paid-in capital.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10-K filed 2023-11-03: "offers exclusive original content and live sports. Payment Services The Company offers payment services, including Apple Card ® , a co-branded credit card, and Apple Pay ® , a cashless payment service. Segments The Company manages its business primarily on a geographic basis. The..."</t>
  </si>
  <si>
    <t>K147</t>
  </si>
  <si>
    <t>CommonStockValue=0mm; CommonStocksIncludingAdditionalPaidInCapital=75236mm</t>
  </si>
  <si>
    <t>Grouped from EDGAR: Common Stock Value, Common Stocks, Including Additional Paid in Capital. Included common stock value plus additional paid-in capital.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"ree Months Ended December 30, 2023 December 31, 2022 Cash, cash equivalents and restricted cash, beginning balances $ 30,737 $ 24,977 Operating activities: Net income 33,916 29,998 Adjustments to reconcile net income to cash generated by operating activities: Depreciation and amo..."</t>
  </si>
  <si>
    <t>L147</t>
  </si>
  <si>
    <t>CommonStockValue=0mm; CommonStocksIncludingAdditionalPaidInCapital=78815mm</t>
  </si>
  <si>
    <t>Grouped from EDGAR: Common Stock Value, Common Stocks, Including Additional Paid in Capital. Included common stock value plus additional paid-in capital. Filing commentary support: 10-Q filed 2024-05-03: "lions) Six Months Ended March 30, 2024 April 1, 2023 Cash, cash equivalents and restricted cash, beginning balances $ 30,737 $ 24,977 Operating activities: Net income 57,552 54,158 Adjustments to reconcile net income to cash generated by operating activities: Depreciation and amo..." 10-Q filed 2024-05-03: "66 Non-current assets: Marketable securities 95,187 100,544 Property, plant and equipment, net 43,546 43,715 Other non-current assets 70,262 64,758 Total non-current assets 208,995 209,017 Total assets $ 337,411 $ 352,583 LIABILITIES AND SHAREHOLDERS’ EQUITY: Current liabilities:..."</t>
  </si>
  <si>
    <t>M147</t>
  </si>
  <si>
    <t>CommonStockValue=0mm; CommonStocksIncludingAdditionalPaidInCapital=79850mm</t>
  </si>
  <si>
    <t>Grouped from EDGAR: Common Stock Value, Common Stocks, Including Additional Paid in Capital. Included common stock value plus additional paid-in capital. Filing commentary support: 10-Q filed 2024-08-02: "llions) Nine Months Ended June 29, 2024 July 1, 2023 Cash, cash equivalents and restricted cash, beginning balances $ 30,737 $ 24,977 Operating activities: Net income 79,000 74,039 Adjustments to reconcile net income to cash generated by operating activities: Depreciation and amo..." 10-Q filed 2024-08-02: "66 Non-current assets: Marketable securities 91,240 100,544 Property, plant and equipment, net 44,502 43,715 Other non-current assets 70,435 64,758 Total non-current assets 206,177 209,017 Total assets $ 331,612 $ 352,583 LIABILITIES AND SHAREHOLDERS’ EQUITY: Current liabilities:..."</t>
  </si>
  <si>
    <t>N147</t>
  </si>
  <si>
    <t>CommonStockValue=0mm; CommonStocksIncludingAdditionalPaidInCapital=83276mm</t>
  </si>
  <si>
    <t>Grouped from EDGAR: Common Stock Value, Common Stocks, Including Additional Paid in Capital. Included common stock value plus additional paid-in capital.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10-K filed 2024-11-01: "offers exclusive original content and live sports. Payment Services The Company offers payment services, including Apple Card ® , a co-branded credit card, and Apple Pay ® , a cashless payment service. Segments The Company manages its business primarily on a geographic basis. The..."</t>
  </si>
  <si>
    <t>P147</t>
  </si>
  <si>
    <t>CommonStockValue=0mm; CommonStocksIncludingAdditionalPaidInCapital=84768mm</t>
  </si>
  <si>
    <t>Grouped from EDGAR: Common Stock Value, Common Stocks, Including Additional Paid in Capital. Included common stock value plus additional paid-in capital.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"ber 28, 2024 December 30, 2023 Cash, cash equivalents, and restricted cash and cash equivalents, beginning balances $ 29,943 $ 30,737 Operating activities: Net income 36,330 33,916 Adjustments to reconcile net income to cash generated by operating activities: Depreciation and amo..."</t>
  </si>
  <si>
    <t>Q147</t>
  </si>
  <si>
    <t>CommonStockValue=0mm; CommonStocksIncludingAdditionalPaidInCapital=88711mm</t>
  </si>
  <si>
    <t>Grouped from EDGAR: Common Stock Value, Common Stocks, Including Additional Paid in Capital. Included common stock value plus additional paid-in capital. Filing commentary support: 10-Q filed 2025-05-02: "March 29, 2025 March 30, 2024 Cash, cash equivalents, and restricted cash and cash equivalents, beginning balances $ 29,943 $ 30,737 Operating activities: Net income 61,110 57,552 Adjustments to reconcile net income to cash generated by operating activities: Depreciation and amor..." 10-Q filed 2025-05-02: "987 Non-current assets: Marketable securities 84,424 91,479 Property, plant and equipment, net 46,876 45,680 Other non-current assets 81,259 74,834 Total non-current assets 212,559 211,993 Total assets $ 331,233 $ 364,980 LIABILITIES AND SHAREHOLDERS’ EQUITY: Current liabilities:..."</t>
  </si>
  <si>
    <t>R147</t>
  </si>
  <si>
    <t>CommonStockValue=0mm; CommonStocksIncludingAdditionalPaidInCapital=89806mm</t>
  </si>
  <si>
    <t>Grouped from EDGAR: Common Stock Value, Common Stocks, Including Additional Paid in Capital. Included common stock value plus additional paid-in capital. Filing commentary support: 10-Q filed 2025-08-01: "ed June 28, 2025 June 29, 2024 Cash, cash equivalents, and restricted cash and cash equivalents, beginning balances $ 29,943 $ 30,737 Operating activities: Net income 84,544 79,000 Adjustments to reconcile net income to cash generated by operating activities: Depreciation and amo..." 10-Q filed 2025-08-01: "987 Non-current assets: Marketable securities 77,614 91,479 Property, plant and equipment, net 48,508 45,680 Other non-current assets 82,882 74,834 Total non-current assets 209,004 211,993 Total assets $ 331,495 $ 364,980 LIABILITIES AND SHAREHOLDERS’ EQUITY: Current liabilities:..."</t>
  </si>
  <si>
    <t>S147</t>
  </si>
  <si>
    <t>CommonStockValue=0mm; CommonStocksIncludingAdditionalPaidInCapital=93568mm</t>
  </si>
  <si>
    <t>Grouped from EDGAR: Common Stock Value, Common Stocks, Including Additional Paid in Capital. Included common stock value plus additional paid-in capital.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10-K filed 2025-10-31: "offers exclusive original content and live sports. Payment Services The Company offers payment services, including Apple Card ® , a co-branded credit card, and Apple Pay ® , a cashless payment service. Segments The Company manages its business primarily on a geographic basis. The..."</t>
  </si>
  <si>
    <t>U147</t>
  </si>
  <si>
    <t>CommonStockValue=0mm; CommonStocksIncludingAdditionalPaidInCapital=95221mm</t>
  </si>
  <si>
    <t>Grouped from EDGAR: Common Stock Value, Common Stocks, Including Additional Paid in Capital. Included common stock value plus additional paid-in capital.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"ber 27, 2025 December 28, 2024 Cash, cash equivalents, and restricted cash and cash equivalents, beginning balances $ 35,934 $ 29,943 Operating activities: Net income 42,097 36,330 Adjustments to reconcile net income to cash generated by operating activities: Depreciation and amo..."</t>
  </si>
  <si>
    <t>V147</t>
  </si>
  <si>
    <t>CommonStockValue=0mm; CommonStocksIncludingAdditionalPaidInCapital=99507mm</t>
  </si>
  <si>
    <t>Grouped from EDGAR: Common Stock Value, Common Stocks, Including Additional Paid in Capital. Included common stock value plus additional paid-in capital. Filing commentary support: 10-Q filed 2026-05-01: "March 28, 2026 March 29, 2025 Cash, cash equivalents, and restricted cash and cash equivalents, beginning balances $ 35,934 $ 29,943 Operating activities: Net income 71,675 61,110 Adjustments to reconcile net income to cash generated by operating activities: Depreciation and amor..." 10-Q filed 2026-05-01: "curities 78,088 77,723 Property, plant and equipment, net 50,116 49,834 Intangible assets, net 21,334 11,093 Other non-current assets 77,430 72,634 Total non-current assets 226,968 211,284 Total assets $ 371,082 $ 359,241 LIABILITIES AND SHAREHOLDERS’ EQUITY: Current liabilities:..."</t>
  </si>
  <si>
    <t>F148</t>
  </si>
  <si>
    <t>RetainedEarningsAccumulatedDeficit=3240mm</t>
  </si>
  <si>
    <t>Retained Earnings (Accumulated Deficit)</t>
  </si>
  <si>
    <t>G148</t>
  </si>
  <si>
    <t>RetainedEarningsAccumulatedDeficit=4336mm</t>
  </si>
  <si>
    <t>H148</t>
  </si>
  <si>
    <t>RetainedEarningsAccumulatedDeficit=1408mm</t>
  </si>
  <si>
    <t>I148</t>
  </si>
  <si>
    <t>RetainedEarningsAccumulatedDeficit=-214mm</t>
  </si>
  <si>
    <t>K148</t>
  </si>
  <si>
    <t>RetainedEarningsAccumulatedDeficit=8242mm</t>
  </si>
  <si>
    <t>L148</t>
  </si>
  <si>
    <t>RetainedEarningsAccumulatedDeficit=4339mm</t>
  </si>
  <si>
    <t>M148</t>
  </si>
  <si>
    <t>RetainedEarningsAccumulatedDeficit=-4726mm</t>
  </si>
  <si>
    <t>N148</t>
  </si>
  <si>
    <t>RetainedEarningsAccumulatedDeficit=-19154mm</t>
  </si>
  <si>
    <t>P148</t>
  </si>
  <si>
    <t>RetainedEarningsAccumulatedDeficit=-11221mm</t>
  </si>
  <si>
    <t>Q148</t>
  </si>
  <si>
    <t>RetainedEarningsAccumulatedDeficit=-15552mm</t>
  </si>
  <si>
    <t>R148</t>
  </si>
  <si>
    <t>RetainedEarningsAccumulatedDeficit=-17607mm</t>
  </si>
  <si>
    <t>S148</t>
  </si>
  <si>
    <t>RetainedEarningsAccumulatedDeficit=-14264mm</t>
  </si>
  <si>
    <t>U148</t>
  </si>
  <si>
    <t>RetainedEarningsAccumulatedDeficit=-2177mm</t>
  </si>
  <si>
    <t>V148</t>
  </si>
  <si>
    <t>RetainedEarningsAccumulatedDeficit=12359mm</t>
  </si>
  <si>
    <t>F149</t>
  </si>
  <si>
    <t>TreasuryStockValue=0mm</t>
  </si>
  <si>
    <t>TreasuryStockValue</t>
  </si>
  <si>
    <t>Grouped from EDGAR: Treasury Stock Value. Filing commentary support: 10-Q filed 2023-02-03: "ths Ended December 31, 2022 December 25, 2021 Net sales: Products $ 96,388 $ 104,429 Services 20,766 19,516 Total net sales 117,154 123,945 Cost of sales: Products 60,765 64,309 Services 6,057 5,393 Total cost of sales 66,822 69,702 Gross margin 50,332 54,243 Operating expenses: ..." 10-Q filed 2023-02-03: "fair value of derivative instruments ( 988 ) 362 Adjustment for net (gains)/losses realized and included in net income ( 1,766 ) 93 Total change in unrealized gains/losses on derivative instruments ( 2,754 ) 455 Change in unrealized gains/losses on marketable debt securities, net..." SEC validation: Value is a zero/derived model support value with no direct SEC fact.</t>
  </si>
  <si>
    <t>G149</t>
  </si>
  <si>
    <t>Grouped from EDGAR: Treasury Stock Value. Filing commentary support: 10-Q filed 2023-05-05: "34 ( 1,001 ) 696 Adjustment for net (gains)/losses realized and included in net income ( 191 ) ( 301 ) ( 1,957 ) ( 208 ) Total change in unrealized gains/losses on derivative instruments ( 204 ) 33 ( 2,958 ) 488 Change in unrealized gains/losses on marketable debt securities, net..." SEC validation: Value is a zero/derived model support value with no direct SEC fact.</t>
  </si>
  <si>
    <t>H149</t>
  </si>
  <si>
    <t>Grouped from EDGAR: Treasury Stock Value. Filing commentary support: 10-Q filed 2023-08-04: "ents 509 852 ( 492 ) 1,548 Adjustment for net (gains)/losses realized and included in net income 103 121 ( 1,854 ) ( 87 ) Total change in unrealized gains/losses on derivative instruments 612 973 ( 2,346 ) 1,461 Change in unrealized gains/losses on marketable debt securities, net..." SEC validation: Value is a zero/derived model support value with no direct SEC fact.</t>
  </si>
  <si>
    <t>I149</t>
  </si>
  <si>
    <t>Grouped from EDGAR: Treasury Stock Value.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 SEC validation: Value is a zero/derived model support value with no direct SEC fact.</t>
  </si>
  <si>
    <t>K149</t>
  </si>
  <si>
    <t>Grouped from EDGAR: Treasury Stock Value. Filing commentary support: 10-Q filed 2024-02-02: "nths Ended December 30, 2023 December 31, 2022 Net sales: Products $ 96,458 $ 96,388 Services 23,117 20,766 Total net sales 119,575 117,154 Cost of sales: Products 58,440 60,765 Services 6,280 6,057 Total cost of sales 64,720 66,822 Gross margin 54,855 50,332 Operating expenses: ..." 10-Q filed 2024-02-02: "erivative instruments ( 531 ) ( 988 ) Adjustment for net (gains)/losses realized and included in net income ( 823 ) ( 1,766 ) Total change in unrealized gains/losses on derivative instruments ( 1,354 ) ( 2,754 ) Change in unrealized gains/losses on marketable debt securities, net..." SEC validation: Value is a zero/derived model support value with no direct SEC fact.</t>
  </si>
  <si>
    <t>L149</t>
  </si>
  <si>
    <t>Grouped from EDGAR: Treasury Stock Value. Filing commentary support: 10-Q filed 2024-05-03: "75 ) ( 1,001 ) Adjustment for net (gains)/losses realized and included in net income 232 ( 191 ) ( 591 ) ( 1,957 ) Total change in unrealized gains/losses on derivative instruments 688 ( 204 ) ( 666 ) ( 2,958 ) Change in unrealized gains/losses on marketable debt securities, net ..." SEC validation: Value is a zero/derived model support value with no direct SEC fact.</t>
  </si>
  <si>
    <t>M149</t>
  </si>
  <si>
    <t>Grouped from EDGAR: Treasury Stock Value. Filing commentary support: 10-Q filed 2024-08-02: "406 509 331 ( 492 ) Adjustment for net (gains)/losses realized and included in net income ( 87 ) 103 ( 678 ) ( 1,854 ) Total change in unrealized gains/losses on derivative instruments 319 612 ( 347 ) ( 2,346 ) Change in unrealized gains/losses on marketable debt securities, net ..." SEC validation: Value is a zero/derived model support value with no direct SEC fact.</t>
  </si>
  <si>
    <t>N149</t>
  </si>
  <si>
    <t>Grouped from EDGAR: Treasury Stock Value.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 SEC validation: Value is a zero/derived model support value with no direct SEC fact.</t>
  </si>
  <si>
    <t>P149</t>
  </si>
  <si>
    <t>Grouped from EDGAR: Treasury Stock Value. Filing commentary support: 10-Q filed 2025-01-31: "nths Ended December 28, 2024 December 30, 2023 Net sales: Products $ 97,960 $ 96,458 Services 26,340 23,117 Total net sales 124,300 119,575 Cost of sales: Products 59,447 58,440 Services 6,578 6,280 Total cost of sales 66,025 64,720 Gross margin 58,275 54,855 Operating expenses: ..." 10-Q filed 2025-01-31: "r value of derivative instruments 1,651 ( 531 ) Adjustment for net (gains)/losses realized and included in net income 784 ( 823 ) Total change in unrealized gains/losses on derivative instruments 2,435 ( 1,354 ) Change in unrealized gains/losses on marketable debt securities, net..." SEC validation: Value is a zero/derived model support value with no direct SEC fact.</t>
  </si>
  <si>
    <t>Q149</t>
  </si>
  <si>
    <t>Grouped from EDGAR: Treasury Stock Value. Filing commentary support: 10-Q filed 2025-05-02: "( 318 ) 456 1,333 ( 75 ) Adjustment for net (gains)/losses realized and included in net income ( 628 ) 232 156 ( 591 ) Total change in unrealized gains/losses on derivative instruments ( 946 ) 688 1,489 ( 666 ) Change in unrealized gains/losses on marketable debt securities, net ..." SEC validation: Value is a zero/derived model support value with no direct SEC fact.</t>
  </si>
  <si>
    <t>R149</t>
  </si>
  <si>
    <t>Grouped from EDGAR: Treasury Stock Value. Filing commentary support: 10-Q filed 2025-08-01: "523 ) 406 810 331 Adjustment for net (gains)/losses realized and included in net income ( 571 ) ( 87 ) ( 415 ) ( 678 ) Total change in unrealized gains/losses on derivative instruments ( 1,094 ) 319 395 ( 347 ) Change in unrealized gains/losses on marketable debt securities, net ..." SEC validation: Value is a zero/derived model support value with no direct SEC fact.</t>
  </si>
  <si>
    <t>S149</t>
  </si>
  <si>
    <t>Grouped from EDGAR: Treasury Stock Value.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 SEC validation: Value is a zero/derived model support value with no direct SEC fact.</t>
  </si>
  <si>
    <t>U149</t>
  </si>
  <si>
    <t>Grouped from EDGAR: Treasury Stock Value. Filing commentary support: 10-Q filed 2026-01-30: "ths Ended December 27, 2025 December 28, 2024 Net sales: Products $ 113,743 $ 97,960 Services 30,013 26,340 Total net sales 143,756 124,300 Cost of sales: Products 67,478 59,447 Services 7,047 6,578 Total cost of sales 74,525 66,025 Gross margin 69,231 58,275 Operating expenses: ..." 10-Q filed 2026-01-30: "Change in fair value of derivative instruments 211 1,651 Adjustment for net (gains)/losses realized and included in net income 237 784 Total change in unrealized gains/losses on derivative instruments 448 2,435 Change in unrealized gains/losses on marketable debt securities, net ..." SEC validation: Value is a zero/derived model support value with no direct SEC fact.</t>
  </si>
  <si>
    <t>V149</t>
  </si>
  <si>
    <t>Grouped from EDGAR: Treasury Stock Value. Filing commentary support: 10-Q filed 2026-05-01: "instruments 162 ( 318 ) 373 1,333 Adjustment for net (gains)/losses realized and included in net income 44 ( 628 ) 281 156 Total change in unrealized gains/losses on derivative instruments 206 ( 946 ) 654 1,489 Change in unrealized gains/losses on marketable debt securities, net ..." SEC validation: Value is a zero/derived model support value with no direct SEC fact.</t>
  </si>
  <si>
    <t>F150</t>
  </si>
  <si>
    <t>AccumulatedOtherComprehensiveIncomeLossNetOfTax=-12912mm</t>
  </si>
  <si>
    <t>Accumulated Other Comprehensive Income (Loss), Net of Tax</t>
  </si>
  <si>
    <t>G150</t>
  </si>
  <si>
    <t>AccumulatedOtherComprehensiveIncomeLossNetOfTax=-11746mm</t>
  </si>
  <si>
    <t>H150</t>
  </si>
  <si>
    <t>AccumulatedOtherComprehensiveIncomeLossNetOfTax=-11801mm</t>
  </si>
  <si>
    <t>I150</t>
  </si>
  <si>
    <t>AccumulatedOtherComprehensiveIncomeLossNetOfTax=-11452mm</t>
  </si>
  <si>
    <t>K150</t>
  </si>
  <si>
    <t>AccumulatedOtherComprehensiveIncomeLossNetOfTax=-9378mm</t>
  </si>
  <si>
    <t>L150</t>
  </si>
  <si>
    <t>AccumulatedOtherComprehensiveIncomeLossNetOfTax=-8960mm</t>
  </si>
  <si>
    <t>M150</t>
  </si>
  <si>
    <t>AccumulatedOtherComprehensiveIncomeLossNetOfTax=-8416mm</t>
  </si>
  <si>
    <t>N150</t>
  </si>
  <si>
    <t>AccumulatedOtherComprehensiveIncomeLossNetOfTax=-7172mm</t>
  </si>
  <si>
    <t>P150</t>
  </si>
  <si>
    <t>AccumulatedOtherComprehensiveIncomeLossNetOfTax=-6789mm</t>
  </si>
  <si>
    <t>Q150</t>
  </si>
  <si>
    <t>AccumulatedOtherComprehensiveIncomeLossNetOfTax=-6363mm</t>
  </si>
  <si>
    <t>R150</t>
  </si>
  <si>
    <t>AccumulatedOtherComprehensiveIncomeLossNetOfTax=-6369mm</t>
  </si>
  <si>
    <t>S150</t>
  </si>
  <si>
    <t>AccumulatedOtherComprehensiveIncomeLossNetOfTax=-5571mm</t>
  </si>
  <si>
    <t>U150</t>
  </si>
  <si>
    <t>AccumulatedOtherComprehensiveIncomeLossNetOfTax=-4854mm</t>
  </si>
  <si>
    <t>V150</t>
  </si>
  <si>
    <t>AccumulatedOtherComprehensiveIncomeLossNetOfTax=-5375mm</t>
  </si>
  <si>
    <t>F246</t>
  </si>
  <si>
    <t>skipped</t>
  </si>
  <si>
    <t>ShareBasedCompensation=2905mm</t>
  </si>
  <si>
    <t>Share-based Payment Arrangement, Noncash Expense</t>
  </si>
  <si>
    <t>support</t>
  </si>
  <si>
    <t>Unit mismatch: ShareBasedCompensation is reported in USD, expected shares.</t>
  </si>
  <si>
    <t>would copy</t>
  </si>
  <si>
    <t>blocked: Unit mismatch: ShareBasedCompensation is reported in USD, expected shares.</t>
  </si>
  <si>
    <t>Value was flagged for review instead of written. Unit mismatch: ShareBasedCompensation is reported in USD, expected shares.</t>
  </si>
  <si>
    <t>G246</t>
  </si>
  <si>
    <t>ShareBasedCompensation=2686mm</t>
  </si>
  <si>
    <t>Share-based Payment Arrangement, Noncash Expense (derived Q2)</t>
  </si>
  <si>
    <t>H246</t>
  </si>
  <si>
    <t>ShareBasedCompensation=2617mm</t>
  </si>
  <si>
    <t>Share-based Payment Arrangement, Noncash Expense (derived Q3)</t>
  </si>
  <si>
    <t>I246</t>
  </si>
  <si>
    <t>ShareBasedCompensation=2625mm</t>
  </si>
  <si>
    <t>Share-based Payment Arrangement, Noncash Expense (derived Q4)</t>
  </si>
  <si>
    <t>K246</t>
  </si>
  <si>
    <t>ShareBasedCompensation=2997mm</t>
  </si>
  <si>
    <t>L246</t>
  </si>
  <si>
    <t>ShareBasedCompensation=2964mm</t>
  </si>
  <si>
    <t>M246</t>
  </si>
  <si>
    <t>ShareBasedCompensation=2869mm</t>
  </si>
  <si>
    <t>N246</t>
  </si>
  <si>
    <t>ShareBasedCompensation=2858mm</t>
  </si>
  <si>
    <t>P246</t>
  </si>
  <si>
    <t>ShareBasedCompensation=3286mm</t>
  </si>
  <si>
    <t>Q246</t>
  </si>
  <si>
    <t>ShareBasedCompensation=3226mm</t>
  </si>
  <si>
    <t>R246</t>
  </si>
  <si>
    <t>ShareBasedCompensation=3168mm</t>
  </si>
  <si>
    <t>S246</t>
  </si>
  <si>
    <t>ShareBasedCompensation=3183mm</t>
  </si>
  <si>
    <t>U246</t>
  </si>
  <si>
    <t>ShareBasedCompensation=3594mm</t>
  </si>
  <si>
    <t>V246</t>
  </si>
  <si>
    <t>ShareBasedCompensation=3528mm</t>
  </si>
  <si>
    <t>F252</t>
  </si>
  <si>
    <t>G252</t>
  </si>
  <si>
    <t>H252</t>
  </si>
  <si>
    <t>I252</t>
  </si>
  <si>
    <t>K252</t>
  </si>
  <si>
    <t>L252</t>
  </si>
  <si>
    <t>M252</t>
  </si>
  <si>
    <t>N252</t>
  </si>
  <si>
    <t>P252</t>
  </si>
  <si>
    <t>Q252</t>
  </si>
  <si>
    <t>R252</t>
  </si>
  <si>
    <t>S252</t>
  </si>
  <si>
    <t>U252</t>
  </si>
  <si>
    <t>V252</t>
  </si>
  <si>
    <t>F254</t>
  </si>
  <si>
    <t>PaymentsOfDividends=3768mm</t>
  </si>
  <si>
    <t>Payments of Dividends</t>
  </si>
  <si>
    <t>Dividends normalized from EDGAR cash dividends paid concepts.</t>
  </si>
  <si>
    <t>G254</t>
  </si>
  <si>
    <t>PaymentsOfDividends=3650mm</t>
  </si>
  <si>
    <t>Payments of Dividends (derived Q2)</t>
  </si>
  <si>
    <t>Grouped from EDGAR: Payments of Dividends (derived Q2). Dividends normalized from EDGAR cash dividends paid concepts. Quarterly value was derived from Payments of Dividends less 1Q23.</t>
  </si>
  <si>
    <t>H254</t>
  </si>
  <si>
    <t>PaymentsOfDividends=3849mm</t>
  </si>
  <si>
    <t>Payments of Dividends (derived Q3)</t>
  </si>
  <si>
    <t>Grouped from EDGAR: Payments of Dividends (derived Q3). Dividends normalized from EDGAR cash dividends paid concepts. Quarterly value was derived from Payments of Dividends less 1Q23, 2Q23.</t>
  </si>
  <si>
    <t>I254</t>
  </si>
  <si>
    <t>PaymentsOfDividends=3758mm</t>
  </si>
  <si>
    <t>Payments of Dividends (derived Q4)</t>
  </si>
  <si>
    <t>Grouped from EDGAR: Payments of Dividends (derived Q4). Dividends normalized from EDGAR cash dividends paid concepts. Quarterly value was derived from Payments of Dividends less 1Q23, 2Q23, 3Q23. Filing commentary support: 10-K filed 2023-11-03: "bilities were (in millions): 2023 2022 Deferred tax assets: Tax credit carryforwards $ 8,302 $ 6,962 Accrued liabilities and other reserves 6,365 6,515 Capitalized research and development 6,294 1,267 Deferred revenue 4,571 5,742 Unrealized losses 2,447 2,913 Lease liabilities 2,..."</t>
  </si>
  <si>
    <t>K254</t>
  </si>
  <si>
    <t>PaymentsOfDividends=3825mm</t>
  </si>
  <si>
    <t>L254</t>
  </si>
  <si>
    <t>PaymentsOfDividends=3710mm</t>
  </si>
  <si>
    <t>Grouped from EDGAR: Payments of Dividends (derived Q2). Dividends normalized from EDGAR cash dividends paid concepts. Quarterly value was derived from Payments of Dividends less 1Q24.</t>
  </si>
  <si>
    <t>M254</t>
  </si>
  <si>
    <t>PaymentsOfDividends=3895mm</t>
  </si>
  <si>
    <t>Grouped from EDGAR: Payments of Dividends (derived Q3). Dividends normalized from EDGAR cash dividends paid concepts. Quarterly value was derived from Payments of Dividends less 1Q24, 2Q24.</t>
  </si>
  <si>
    <t>N254</t>
  </si>
  <si>
    <t>PaymentsOfDividends=3804mm</t>
  </si>
  <si>
    <t>Grouped from EDGAR: Payments of Dividends (derived Q4). Dividends normalized from EDGAR cash dividends paid concepts. Quarterly value was derived from Payments of Dividends less 1Q24, 2Q24, 3Q24. Filing commentary support: 10-K filed 2024-11-01: "s deferred tax assets and liabilities were (in millions): 2024 2023 Deferred tax assets: Capitalized research and development $ 10,739 $ 6,294 Tax credit carryforwards 8,856 8,302 Accrued liabilities and other reserves 6,114 6,365 Deferred revenue 3,413 4,571 Lease liabilities 2,..."</t>
  </si>
  <si>
    <t>P254</t>
  </si>
  <si>
    <t>PaymentsOfDividends=3856mm</t>
  </si>
  <si>
    <t>Q254</t>
  </si>
  <si>
    <t>Grouped from EDGAR: Payments of Dividends (derived Q2). Dividends normalized from EDGAR cash dividends paid concepts. Quarterly value was derived from Payments of Dividends less 1Q25.</t>
  </si>
  <si>
    <t>R254</t>
  </si>
  <si>
    <t>PaymentsOfDividends=3945mm</t>
  </si>
  <si>
    <t>Grouped from EDGAR: Payments of Dividends (derived Q3). Dividends normalized from EDGAR cash dividends paid concepts. Quarterly value was derived from Payments of Dividends less 1Q25, 2Q25.</t>
  </si>
  <si>
    <t>S254</t>
  </si>
  <si>
    <t>PaymentsOfDividends=3862mm</t>
  </si>
  <si>
    <t>Grouped from EDGAR: Payments of Dividends (derived Q4). Dividends normalized from EDGAR cash dividends paid concepts. Quarterly value was derived from Payments of Dividends less 1Q25, 2Q25, 3Q25. Filing commentary support: 10-K filed 2025-10-31: "ax assets and liabilities were as follows (in millions): 2025 2024 Deferred tax assets: Capitalized research and development $ 15,041 $ 10,739 Tax credit carryforwards 8,643 8,856 Accrued liabilities and other reserves 6,154 6,114 Deferred revenue 2,953 3,413 Lease liabilities 2,..."</t>
  </si>
  <si>
    <t>U254</t>
  </si>
  <si>
    <t>PaymentsOfDividends=3921mm</t>
  </si>
  <si>
    <t>V254</t>
  </si>
  <si>
    <t>PaymentsOfDividends=3822mm</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</si>
  <si>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</si>
  <si>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</si>
  <si>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</si>
  <si>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</si>
  <si>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</si>
  <si>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</si>
  <si>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</si>
  <si>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</si>
  <si>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</si>
  <si>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</si>
  <si>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</si>
  <si>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</si>
  <si>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</si>
  <si>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</si>
  <si>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</si>
  <si>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</si>
  <si>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</si>
  <si>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</si>
  <si>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</si>
  <si>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</si>
  <si>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</si>
  <si>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</si>
  <si>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</si>
  <si>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</si>
  <si>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</si>
  <si>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</si>
  <si>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</si>
  <si>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</si>
  <si>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</si>
  <si>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</si>
  <si>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</si>
  <si>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</si>
  <si>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</si>
  <si>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</si>
  <si>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</si>
  <si>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</si>
  <si>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</si>
  <si>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</si>
  <si>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</si>
  <si>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</si>
  <si>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</si>
  <si>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</si>
  <si>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</si>
  <si>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</si>
  <si>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Services Revenue=20766mm</t>
  </si>
  <si>
    <t>not_run</t>
  </si>
  <si>
    <t>Matched reportable segment "Services" from filing segment tables.</t>
  </si>
  <si>
    <t>G8</t>
  </si>
  <si>
    <t>Services Revenue=20907mm</t>
  </si>
  <si>
    <t>H8</t>
  </si>
  <si>
    <t>Services Revenue=21213mm</t>
  </si>
  <si>
    <t>I8</t>
  </si>
  <si>
    <t>Services Revenue=22314mm</t>
  </si>
  <si>
    <t>K8</t>
  </si>
  <si>
    <t>Services Revenue=23117mm</t>
  </si>
  <si>
    <t>L8</t>
  </si>
  <si>
    <t>Services Revenue=23867mm</t>
  </si>
  <si>
    <t>M8</t>
  </si>
  <si>
    <t>Services Revenue=24213mm</t>
  </si>
  <si>
    <t>N8</t>
  </si>
  <si>
    <t>Services Revenue=24972mm</t>
  </si>
  <si>
    <t>P8</t>
  </si>
  <si>
    <t>Services Revenue=26340mm</t>
  </si>
  <si>
    <t>Q8</t>
  </si>
  <si>
    <t>Services Revenue=26645mm</t>
  </si>
  <si>
    <t>R8</t>
  </si>
  <si>
    <t>Services Revenue=27423mm</t>
  </si>
  <si>
    <t>S8</t>
  </si>
  <si>
    <t>Services Revenue=28750mm</t>
  </si>
  <si>
    <t>U8</t>
  </si>
  <si>
    <t>Services Revenue=30013mm</t>
  </si>
  <si>
    <t>V8</t>
  </si>
  <si>
    <t>Services Revenue=30976mm</t>
  </si>
  <si>
    <t>F9</t>
  </si>
  <si>
    <t>iPhone Revenue=65775mm</t>
  </si>
  <si>
    <t>Matched reportable segment "iPhone" from filing segment tables.</t>
  </si>
  <si>
    <t>G9</t>
  </si>
  <si>
    <t>iPhone Revenue=51334mm</t>
  </si>
  <si>
    <t>H9</t>
  </si>
  <si>
    <t>iPhone Revenue=39669mm</t>
  </si>
  <si>
    <t>I9</t>
  </si>
  <si>
    <t>iPhone Revenue=43805mm</t>
  </si>
  <si>
    <t>K9</t>
  </si>
  <si>
    <t>iPhone Revenue=69702mm</t>
  </si>
  <si>
    <t>L9</t>
  </si>
  <si>
    <t>iPhone Revenue=45963mm</t>
  </si>
  <si>
    <t>M9</t>
  </si>
  <si>
    <t>iPhone Revenue=39296mm</t>
  </si>
  <si>
    <t>N9</t>
  </si>
  <si>
    <t>iPhone Revenue=46222mm</t>
  </si>
  <si>
    <t>P9</t>
  </si>
  <si>
    <t>iPhone Revenue=69138mm</t>
  </si>
  <si>
    <t>Q9</t>
  </si>
  <si>
    <t>iPhone Revenue=46841mm</t>
  </si>
  <si>
    <t>R9</t>
  </si>
  <si>
    <t>iPhone Revenue=44582mm</t>
  </si>
  <si>
    <t>S9</t>
  </si>
  <si>
    <t>iPhone Revenue=49025mm</t>
  </si>
  <si>
    <t>U9</t>
  </si>
  <si>
    <t>iPhone Revenue=85269mm</t>
  </si>
  <si>
    <t>V9</t>
  </si>
  <si>
    <t>iPhone Revenue=56994mm</t>
  </si>
  <si>
    <t>F10</t>
  </si>
  <si>
    <t>Mac Revenue=7735mm</t>
  </si>
  <si>
    <t>Matched reportable segment "Mac" from filing segment tables.</t>
  </si>
  <si>
    <t>G10</t>
  </si>
  <si>
    <t>Mac Revenue=7168mm</t>
  </si>
  <si>
    <t>H10</t>
  </si>
  <si>
    <t>Mac Revenue=6840mm</t>
  </si>
  <si>
    <t>I10</t>
  </si>
  <si>
    <t>Mac Revenue=7614mm</t>
  </si>
  <si>
    <t>K10</t>
  </si>
  <si>
    <t>Mac Revenue=7780mm</t>
  </si>
  <si>
    <t>L10</t>
  </si>
  <si>
    <t>Mac Revenue=7451mm</t>
  </si>
  <si>
    <t>M10</t>
  </si>
  <si>
    <t>Mac Revenue=7009mm</t>
  </si>
  <si>
    <t>N10</t>
  </si>
  <si>
    <t>Mac Revenue=7744mm</t>
  </si>
  <si>
    <t>P10</t>
  </si>
  <si>
    <t>Mac Revenue=8987mm</t>
  </si>
  <si>
    <t>Q10</t>
  </si>
  <si>
    <t>Mac Revenue=7949mm</t>
  </si>
  <si>
    <t>R10</t>
  </si>
  <si>
    <t>Mac Revenue=8046mm</t>
  </si>
  <si>
    <t>S10</t>
  </si>
  <si>
    <t>Mac Revenue=8726mm</t>
  </si>
  <si>
    <t>U10</t>
  </si>
  <si>
    <t>Mac Revenue=8386mm</t>
  </si>
  <si>
    <t>V10</t>
  </si>
  <si>
    <t>Mac Revenue=8399mm</t>
  </si>
  <si>
    <t>F11</t>
  </si>
  <si>
    <t>iPad</t>
  </si>
  <si>
    <t>iPad Revenue=9396mm</t>
  </si>
  <si>
    <t>Matched reportable segment "iPad" from filing segment tables.</t>
  </si>
  <si>
    <t>G11</t>
  </si>
  <si>
    <t>iPad Revenue=6670mm</t>
  </si>
  <si>
    <t>H11</t>
  </si>
  <si>
    <t>iPad Revenue=5791mm</t>
  </si>
  <si>
    <t>I11</t>
  </si>
  <si>
    <t>iPad Revenue=6443mm</t>
  </si>
  <si>
    <t>K11</t>
  </si>
  <si>
    <t>iPad Revenue=7023mm</t>
  </si>
  <si>
    <t>L11</t>
  </si>
  <si>
    <t>iPad Revenue=5559mm</t>
  </si>
  <si>
    <t>M11</t>
  </si>
  <si>
    <t>iPad Revenue=7162mm</t>
  </si>
  <si>
    <t>N11</t>
  </si>
  <si>
    <t>iPad Revenue=6950mm</t>
  </si>
  <si>
    <t>P11</t>
  </si>
  <si>
    <t>iPad Revenue=8088mm</t>
  </si>
  <si>
    <t>Q11</t>
  </si>
  <si>
    <t>iPad Revenue=6402mm</t>
  </si>
  <si>
    <t>R11</t>
  </si>
  <si>
    <t>iPad Revenue=6581mm</t>
  </si>
  <si>
    <t>S11</t>
  </si>
  <si>
    <t>iPad Revenue=6952mm</t>
  </si>
  <si>
    <t>U11</t>
  </si>
  <si>
    <t>iPad Revenue=8595mm</t>
  </si>
  <si>
    <t>V11</t>
  </si>
  <si>
    <t>iPad Revenue=6914mm</t>
  </si>
  <si>
    <t>F12</t>
  </si>
  <si>
    <t>Wearables, Home and Accessories Revenue=13482mm</t>
  </si>
  <si>
    <t>Matched reportable segment "Wearables, Home and Accessories" from filing segment tables.</t>
  </si>
  <si>
    <t>G12</t>
  </si>
  <si>
    <t>Wearables, Home and Accessories Revenue=8757mm</t>
  </si>
  <si>
    <t>H12</t>
  </si>
  <si>
    <t>Wearables, Home and Accessories Revenue=8284mm</t>
  </si>
  <si>
    <t>I12</t>
  </si>
  <si>
    <t>Wearables, Home and Accessories Revenue=9322mm</t>
  </si>
  <si>
    <t>K12</t>
  </si>
  <si>
    <t>Wearables, Home and Accessories Revenue=11953mm</t>
  </si>
  <si>
    <t>L12</t>
  </si>
  <si>
    <t>Wearables, Home and Accessories Revenue=7913mm</t>
  </si>
  <si>
    <t>M12</t>
  </si>
  <si>
    <t>Wearables, Home and Accessories Revenue=8097mm</t>
  </si>
  <si>
    <t>N12</t>
  </si>
  <si>
    <t>Wearables, Home and Accessories Revenue=9042mm</t>
  </si>
  <si>
    <t>P12</t>
  </si>
  <si>
    <t>Wearables, Home and Accessories Revenue=11747mm</t>
  </si>
  <si>
    <t>Q12</t>
  </si>
  <si>
    <t>Wearables, Home and Accessories Revenue=7522mm</t>
  </si>
  <si>
    <t>R12</t>
  </si>
  <si>
    <t>Wearables, Home and Accessories Revenue=7404mm</t>
  </si>
  <si>
    <t>S12</t>
  </si>
  <si>
    <t>Wearables, Home and Accessories Revenue=9013mm</t>
  </si>
  <si>
    <t>U12</t>
  </si>
  <si>
    <t>Wearables, Home and Accessories Revenue=11493mm</t>
  </si>
  <si>
    <t>V12</t>
  </si>
  <si>
    <t>Wearables, Home and Accessories Revenue=7901mm</t>
  </si>
  <si>
    <t>Americas Segment</t>
  </si>
  <si>
    <t>Americas Segment Operating Income=17864mm</t>
  </si>
  <si>
    <t>Matched reportable segment "Americas Segment" from filing segment tables.</t>
  </si>
  <si>
    <t>Americas Segment Operating Income=13927mm</t>
  </si>
  <si>
    <t>Americas Segment Operating Income=13117mm</t>
  </si>
  <si>
    <t>Americas Segment Operating Income=15600mm</t>
  </si>
  <si>
    <t>Americas Segment Operating Income=20357mm</t>
  </si>
  <si>
    <t>Americas Segment Operating Income=15074mm</t>
  </si>
  <si>
    <t>Americas Segment Operating Income=15209mm</t>
  </si>
  <si>
    <t>Americas Segment Operating Income=17016mm</t>
  </si>
  <si>
    <t>Americas Segment Operating Income=21509mm</t>
  </si>
  <si>
    <t>Americas Segment Operating Income=16774mm</t>
  </si>
  <si>
    <t>Americas Segment Operating Income=16511mm</t>
  </si>
  <si>
    <t>Americas Segment Operating Income=17686mm</t>
  </si>
  <si>
    <t>Americas Segment Operating Income=23953mm</t>
  </si>
  <si>
    <t>Americas Segment Operating Income=19373mm</t>
  </si>
  <si>
    <t>Greater China Segment</t>
  </si>
  <si>
    <t>Greater China Segment Operating Income=10437mm</t>
  </si>
  <si>
    <t>Matched reportable segment "Greater China Segment" from filing segment tables.</t>
  </si>
  <si>
    <t>Greater China Segment Operating Income=7531mm</t>
  </si>
  <si>
    <t>Greater China Segment Operating Income=6207mm</t>
  </si>
  <si>
    <t>Greater China Segment Operating Income=6153mm</t>
  </si>
  <si>
    <t>Greater China Segment Operating Income=8622mm</t>
  </si>
  <si>
    <t>Greater China Segment Operating Income=6700mm</t>
  </si>
  <si>
    <t>Greater China Segment Operating Income=5562mm</t>
  </si>
  <si>
    <t>Greater China Segment Operating Income=6198mm</t>
  </si>
  <si>
    <t>Greater China Segment Operating Income=8160mm</t>
  </si>
  <si>
    <t>Greater China Segment Operating Income=6626mm</t>
  </si>
  <si>
    <t>Greater China Segment Operating Income=5822mm</t>
  </si>
  <si>
    <t>Greater China Segment Operating Income=6309mm</t>
  </si>
  <si>
    <t>Greater China Segment Operating Income=11792mm</t>
  </si>
  <si>
    <t>Greater China Segment Operating Income=9189mm</t>
  </si>
  <si>
    <t>F36</t>
  </si>
  <si>
    <t>Japan Segment</t>
  </si>
  <si>
    <t>Japan Segment Operating Income=3236mm</t>
  </si>
  <si>
    <t>Matched reportable segment "Japan Segment" from filing segment tables.</t>
  </si>
  <si>
    <t>G36</t>
  </si>
  <si>
    <t>Japan Segment Operating Income=3394mm</t>
  </si>
  <si>
    <t>H36</t>
  </si>
  <si>
    <t>Japan Segment Operating Income=2443mm</t>
  </si>
  <si>
    <t>I36</t>
  </si>
  <si>
    <t>Japan Segment Operating Income=2815mm</t>
  </si>
  <si>
    <t>K36</t>
  </si>
  <si>
    <t>Japan Segment Operating Income=3819mm</t>
  </si>
  <si>
    <t>L36</t>
  </si>
  <si>
    <t>Japan Segment Operating Income=3135mm</t>
  </si>
  <si>
    <t>M36</t>
  </si>
  <si>
    <t>Japan Segment Operating Income=2544mm</t>
  </si>
  <si>
    <t>N36</t>
  </si>
  <si>
    <t>Japan Segment Operating Income=2956mm</t>
  </si>
  <si>
    <t>P36</t>
  </si>
  <si>
    <t>Japan Segment Operating Income=4314mm</t>
  </si>
  <si>
    <t>Q36</t>
  </si>
  <si>
    <t>Japan Segment Operating Income=3434mm</t>
  </si>
  <si>
    <t>R36</t>
  </si>
  <si>
    <t>Japan Segment Operating Income=2872mm</t>
  </si>
  <si>
    <t>S36</t>
  </si>
  <si>
    <t>Japan Segment Operating Income=3335mm</t>
  </si>
  <si>
    <t>U36</t>
  </si>
  <si>
    <t>Japan Segment Operating Income=4613mm</t>
  </si>
  <si>
    <t>V36</t>
  </si>
  <si>
    <t>Japan Segment Operating Income=3839mm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</si>
  <si>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</si>
  <si>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</si>
  <si>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</si>
  <si>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</si>
  <si>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</si>
  <si>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</si>
  <si>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</si>
  <si>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</si>
  <si>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</si>
  <si>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</si>
  <si>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</si>
  <si>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</si>
  <si>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</si>
  <si>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</si>
  <si>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</si>
  <si>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</si>
  <si>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</si>
  <si>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F37</t>
  </si>
  <si>
    <t>Other / Reconciliation Operating Income</t>
  </si>
  <si>
    <t>calculated</t>
  </si>
  <si>
    <t>OperatingIncomeLoss, IncomeLossFromContinuingOperationsBeforeIncomeTaxesExtraordinaryItemsNoncontrollingInterest</t>
  </si>
  <si>
    <t>residual</t>
  </si>
  <si>
    <t>Calculated as the residual needed for Segment Analysis Operating Income rows to tie to EDGAR consolidated operating income.</t>
  </si>
  <si>
    <t>G37</t>
  </si>
  <si>
    <t>H37</t>
  </si>
  <si>
    <t>I37</t>
  </si>
  <si>
    <t>K37</t>
  </si>
  <si>
    <t>L37</t>
  </si>
  <si>
    <t>M37</t>
  </si>
  <si>
    <t>N37</t>
  </si>
  <si>
    <t>P37</t>
  </si>
  <si>
    <t>Q37</t>
  </si>
  <si>
    <t>R37</t>
  </si>
  <si>
    <t>S37</t>
  </si>
  <si>
    <t>U37</t>
  </si>
  <si>
    <t>V37</t>
  </si>
  <si>
    <t>Sum of Segment Analysis total company operating income rows</t>
  </si>
  <si>
    <t>Rebuilt Total Company Operating Income formula so every filled segment row is included in the Segment Analysis total.</t>
  </si>
  <si>
    <t>F28</t>
  </si>
  <si>
    <t>RevenueFromContractWithCustomerExcludingAssessedTax</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</si>
  <si>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</si>
  <si>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</si>
  <si>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</si>
  <si>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</si>
  <si>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</si>
  <si>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</si>
  <si>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</si>
  <si>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</si>
  <si>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</si>
  <si>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</si>
  <si>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</si>
  <si>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</si>
  <si>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</si>
  <si>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V28</t>
  </si>
  <si>
    <t>OperatingIncomeLoss</t>
  </si>
  <si>
    <t>Calculated as the residual needed for the Income Statement EBIT formula to tie to EDGAR pre-tax operating income.</t>
  </si>
  <si>
    <t>IncomeLossFromContinuingOperationsBeforeIncomeTaxesExtraordinaryItemsNoncontrollingInterest</t>
  </si>
  <si>
    <t>Calculated as the residual needed for the model's pre-tax income formula to tie to EDGAR income before taxes.</t>
  </si>
  <si>
    <t>K41</t>
  </si>
  <si>
    <t>L41</t>
  </si>
  <si>
    <t>M41</t>
  </si>
  <si>
    <t>N41</t>
  </si>
  <si>
    <t>P41</t>
  </si>
  <si>
    <t>Q41</t>
  </si>
  <si>
    <t>R41</t>
  </si>
  <si>
    <t>U41</t>
  </si>
  <si>
    <t>V41</t>
  </si>
  <si>
    <t>NetIncomeLoss, ProfitLoss, IncomeLossFromContinuingOperationsIncludingPortionAttributableToNoncontrollingInterest</t>
  </si>
  <si>
    <t>Calculated as the residual needed for the model's net income formula to tie to EDGAR net income.</t>
  </si>
  <si>
    <t>V45</t>
  </si>
  <si>
    <t>NetIncomeLoss</t>
  </si>
  <si>
    <t>Refreshed net income formula result from EDGAR after dependent formula caches were updated.</t>
  </si>
  <si>
    <t>J120</t>
  </si>
  <si>
    <t>FY23</t>
  </si>
  <si>
    <t>balance-sheet formula replaced with EDGAR period-end value</t>
  </si>
  <si>
    <t>Replaced the balance-sheet formula with the EDGAR period-end value so annual and 4Q instant balances are not derived from quarterly activity.</t>
  </si>
  <si>
    <t>O120</t>
  </si>
  <si>
    <t>FY24</t>
  </si>
  <si>
    <t>T120</t>
  </si>
  <si>
    <t>FY25</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</si>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</sst>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117154</v>
      </c>
      <c r="G28" s="353">
        <f>'Segment Analysis'!G7</f>
        <v>94836</v>
      </c>
      <c r="H28" s="353">
        <f>'Segment Analysis'!H7</f>
        <v>81797</v>
      </c>
      <c r="I28" s="353">
        <f>'Segment Analysis'!I7</f>
        <v>89498</v>
      </c>
      <c r="J28" s="282">
        <f>SUM(F28:I28)</f>
        <v>383285</v>
      </c>
      <c r="K28" s="353">
        <f>'Segment Analysis'!K7</f>
        <v>119575</v>
      </c>
      <c r="L28" s="353">
        <f>'Segment Analysis'!L7</f>
        <v>90753</v>
      </c>
      <c r="M28" s="353">
        <f>'Segment Analysis'!M7</f>
        <v>85777</v>
      </c>
      <c r="N28" s="353">
        <f>'Segment Analysis'!N7</f>
        <v>94930</v>
      </c>
      <c r="O28" s="282">
        <f>SUM(K28:N28)</f>
        <v>391035</v>
      </c>
      <c r="P28" s="353">
        <f>'Segment Analysis'!P7</f>
        <v>124300</v>
      </c>
      <c r="Q28" s="353">
        <f>'Segment Analysis'!Q7</f>
        <v>95359</v>
      </c>
      <c r="R28" s="353">
        <f>'Segment Analysis'!R7</f>
        <v>94036</v>
      </c>
      <c r="S28" s="353">
        <f>'Segment Analysis'!S7</f>
        <v>102466</v>
      </c>
      <c r="T28" s="282">
        <f>SUM(P28:S28)</f>
        <v>416161</v>
      </c>
      <c r="U28" s="353">
        <f>'Segment Analysis'!U7</f>
        <v>143756</v>
      </c>
      <c r="V28" s="353">
        <f>'Segment Analysis'!V7</f>
        <v>111184</v>
      </c>
      <c r="W28" s="353">
        <f>'Segment Analysis'!W7</f>
        <v>22918</v>
      </c>
      <c r="X28" s="281">
        <f>'Segment Analysis'!X7</f>
        <v>21772.1</v>
      </c>
      <c r="Y28" s="282">
        <f t="shared" ref="Y28:Y30" si="7">SUM(U28:X28)</f>
        <v>96682.1</v>
      </c>
      <c r="Z28" s="281">
        <f>'Segment Analysis'!Z7</f>
        <v>25691.077999999998</v>
      </c>
      <c r="AA28" s="281">
        <f>'Segment Analysis'!AA7</f>
        <v>29287.82892</v>
      </c>
      <c r="AB28" s="281">
        <f>'Segment Analysis'!AB7</f>
        <v>25773.2894496</v>
      </c>
      <c r="AC28" s="281">
        <f>'Segment Analysis'!AC7</f>
        <v>24484.62497712</v>
      </c>
      <c r="AD28" s="282">
        <f t="shared" ref="AD28:AD30" si="8">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-66822</v>
      </c>
      <c r="G29" s="354">
        <v>-52860</v>
      </c>
      <c r="H29" s="354">
        <v>-45384</v>
      </c>
      <c r="I29" s="354">
        <f>-214137-SUM(F29:H29)</f>
        <v>-49071</v>
      </c>
      <c r="J29" s="355">
        <f>SUM(F29:I29)</f>
        <v>-214137</v>
      </c>
      <c r="K29" s="354">
        <v>-64720</v>
      </c>
      <c r="L29" s="354">
        <v>-48482</v>
      </c>
      <c r="M29" s="354">
        <v>-46099</v>
      </c>
      <c r="N29" s="354">
        <v>-51051</v>
      </c>
      <c r="O29" s="355">
        <f>SUM(K29:N29)</f>
        <v>-210352</v>
      </c>
      <c r="P29" s="354">
        <f>-13162</f>
        <v>-13162</v>
      </c>
      <c r="Q29" s="354">
        <f>-17998</f>
        <v>-17998</v>
      </c>
      <c r="R29" s="354">
        <f>-15009</f>
        <v>-15009</v>
      </c>
      <c r="S29" s="354">
        <v>-54125</v>
      </c>
      <c r="T29" s="355">
        <f>SUM(P29:S29)</f>
        <v>-100294</v>
      </c>
      <c r="U29" s="354">
        <f>-16292</f>
        <v>-16292</v>
      </c>
      <c r="V29" s="354">
        <f>-18258</f>
        <v>-18258</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SUM(F28:F29)</f>
        <v>50332</v>
      </c>
      <c r="G30" s="353">
        <f>SUM(G28:G29)</f>
        <v>41976</v>
      </c>
      <c r="H30" s="353">
        <f>SUM(H28:H29)</f>
        <v>36413</v>
      </c>
      <c r="I30" s="353">
        <f>SUM(I28:I29)</f>
        <v>40427</v>
      </c>
      <c r="J30" s="282">
        <f>SUM(F30:I30)</f>
        <v>169148</v>
      </c>
      <c r="K30" s="353">
        <f>SUM(K28:K29)</f>
        <v>54855</v>
      </c>
      <c r="L30" s="353">
        <f>SUM(L28:L29)</f>
        <v>42271</v>
      </c>
      <c r="M30" s="353">
        <f>SUM(M28:M29)</f>
        <v>39678</v>
      </c>
      <c r="N30" s="353">
        <f>SUM(N28:N29)</f>
        <v>43879</v>
      </c>
      <c r="O30" s="282">
        <f>SUM(K30:N30)</f>
        <v>180683</v>
      </c>
      <c r="P30" s="353">
        <f>SUM(P28:P29)</f>
        <v>111138</v>
      </c>
      <c r="Q30" s="353">
        <f>SUM(Q28:Q29)</f>
        <v>77361</v>
      </c>
      <c r="R30" s="353">
        <f>SUM(R28:R29)</f>
        <v>79027</v>
      </c>
      <c r="S30" s="353">
        <f>SUM(S28:S29)</f>
        <v>48341</v>
      </c>
      <c r="T30" s="282">
        <f>SUM(P30:S30)</f>
        <v>315867</v>
      </c>
      <c r="U30" s="353">
        <f>SUM(U28:U29)</f>
        <v>127464</v>
      </c>
      <c r="V30" s="353">
        <f>SUM(V28:V29)</f>
        <v>92926</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-6607</v>
      </c>
      <c r="G32" s="358">
        <v>-6201</v>
      </c>
      <c r="H32" s="358">
        <v>-5973</v>
      </c>
      <c r="I32" s="358">
        <f>-24932-SUM(F32:H32)</f>
        <v>-6151</v>
      </c>
      <c r="J32" s="162">
        <f t="shared" ref="J32:J36" si="9">SUM(F32:I32)</f>
        <v>-24932</v>
      </c>
      <c r="K32" s="358">
        <v>-6786</v>
      </c>
      <c r="L32" s="358">
        <v>-6468</v>
      </c>
      <c r="M32" s="358">
        <v>-6320</v>
      </c>
      <c r="N32" s="358">
        <v>-6523</v>
      </c>
      <c r="O32" s="162">
        <f t="shared" ref="O32:O36" si="10">SUM(K32:N32)</f>
        <v>-26097</v>
      </c>
      <c r="P32" s="358">
        <f>-4196</f>
        <v>-4196</v>
      </c>
      <c r="Q32" s="358">
        <f>-5020</f>
        <v>-5020</v>
      </c>
      <c r="R32" s="358">
        <f>-4770</f>
        <v>-4770</v>
      </c>
      <c r="S32" s="358">
        <v>-7048</v>
      </c>
      <c r="T32" s="162">
        <f t="shared" ref="T32:T36" si="11">SUM(P32:S32)</f>
        <v>-21034</v>
      </c>
      <c r="U32" s="358">
        <v>-7492</v>
      </c>
      <c r="V32" s="358">
        <f>-4693</f>
        <v>-4693</v>
      </c>
      <c r="W32" s="358">
        <v>-4373</v>
      </c>
      <c r="X32" s="359">
        <f t="shared" ref="X32:X33" si="12">X67*X$28</f>
        <v>-4789.862</v>
      </c>
      <c r="Y32" s="162">
        <f t="shared" ref="Y32:Y36" si="13">SUM(U32:X32)</f>
        <v>-18349.862</v>
      </c>
      <c r="Z32" s="359">
        <f t="shared" ref="Z32:AC32" si="14">Z67*Z$28</f>
        <v>-5780.49255</v>
      </c>
      <c r="AA32" s="359">
        <f>AA67*AA$28</f>
        <v>-6589.761507</v>
      </c>
      <c r="AB32" s="359">
        <f>AB67*AB$28</f>
        <v>-5670.123678912</v>
      </c>
      <c r="AC32" s="359">
        <f>AC67*AC$28</f>
        <v>-5386.6174949664</v>
      </c>
      <c r="AD32" s="162">
        <f t="shared" ref="AD32:AD36" si="15">SUM(Z32:AC32)</f>
        <v>-23426.995230878398</v>
      </c>
      <c r="AE32" s="162">
        <f t="shared" ref="AE32:AG32" si="16">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-7709</v>
      </c>
      <c r="G33" s="358">
        <v>-7457</v>
      </c>
      <c r="H33" s="358">
        <v>-7442</v>
      </c>
      <c r="I33" s="358">
        <v>-7307</v>
      </c>
      <c r="J33" s="162">
        <f>SUM(F33:I33)</f>
        <v>-29915</v>
      </c>
      <c r="K33" s="358">
        <v>-7696</v>
      </c>
      <c r="L33" s="358">
        <v>-7903</v>
      </c>
      <c r="M33" s="358">
        <v>-8006</v>
      </c>
      <c r="N33" s="358">
        <v>-7765</v>
      </c>
      <c r="O33" s="162">
        <f>SUM(K33:N33)</f>
        <v>-31370</v>
      </c>
      <c r="P33" s="358">
        <v>-8268</v>
      </c>
      <c r="Q33" s="358">
        <v>-8550</v>
      </c>
      <c r="R33" s="358">
        <v>-8866</v>
      </c>
      <c r="S33" s="358">
        <v>-8866</v>
      </c>
      <c r="T33" s="162">
        <f>SUM(P33:S33)</f>
        <v>-34550</v>
      </c>
      <c r="U33" s="358">
        <v>-10887</v>
      </c>
      <c r="V33" s="358">
        <v>-11419</v>
      </c>
      <c r="W33" s="358">
        <v>0</v>
      </c>
      <c r="X33" s="359">
        <f>X68*X$28</f>
      </c>
      <c r="Y33" s="162">
        <f>SUM(U33:X33)</f>
      </c>
      <c r="Z33" s="359">
        <f t="shared" ref="Z33:AC33" si="17">Z68*Z$28</f>
        <v>0</v>
      </c>
      <c r="AA33" s="359">
        <f>AA68*AA$28</f>
      </c>
      <c r="AB33" s="359">
        <f>AB68*AB$28</f>
      </c>
      <c r="AC33" s="359">
        <f>AC68*AC$28</f>
      </c>
      <c r="AD33" s="162">
        <f>SUM(Z33:AC33)</f>
      </c>
      <c r="AE33" s="162">
        <f t="shared" ref="AE33:AG33" si="18">AE68*AE$28</f>
        <v>0</v>
      </c>
      <c r="AF33" s="162">
        <f>AF68*AF$28</f>
      </c>
      <c r="AG33" s="162">
        <f>AG68*AG$28</f>
      </c>
      <c r="AH33" s="16"/>
      <c r="AI33" s="16"/>
      <c r="AJ33" s="16"/>
      <c r="AK33" s="16"/>
    </row>
    <row r="34" ht="13.5" customHeight="1" spans="1:37" x14ac:dyDescent="0.25">
      <c r="A34" s="264"/>
      <c r="B34" s="16"/>
      <c r="C34" s="139" t="s">
        <v>273</v>
      </c>
      <c r="D34" s="16"/>
      <c r="E34" s="16"/>
      <c r="F34" s="358">
        <v>0</v>
      </c>
      <c r="G34" s="358">
        <v>0</v>
      </c>
      <c r="H34" s="358">
        <v>0</v>
      </c>
      <c r="I34" s="358">
        <f>0-SUM(F34:H34)</f>
        <v>1e-12</v>
      </c>
      <c r="J34" s="162">
        <f>SUM(F34:I34)</f>
        <v>-1477</v>
      </c>
      <c r="K34" s="358">
        <v>0</v>
      </c>
      <c r="L34" s="358">
        <v>0</v>
      </c>
      <c r="M34" s="358">
        <v>0</v>
      </c>
      <c r="N34" s="358">
        <v>0</v>
      </c>
      <c r="O34" s="162">
        <f>SUM(K34:N34)</f>
        <v>1e-12</v>
      </c>
      <c r="P34" s="358">
        <f>-326</f>
        <v>-326</v>
      </c>
      <c r="Q34" s="358">
        <f>-327</f>
        <v>-327</v>
      </c>
      <c r="R34" s="358">
        <f>-355</f>
        <v>-355</v>
      </c>
      <c r="S34" s="358">
        <v>0</v>
      </c>
      <c r="T34" s="162">
        <f>SUM(P34:S34)</f>
        <v>-1008</v>
      </c>
      <c r="U34" s="358">
        <v>0</v>
      </c>
      <c r="V34" s="358">
        <v>0</v>
      </c>
      <c r="W34" s="358">
        <v>-425</v>
      </c>
      <c r="X34" s="359">
        <f>-X76</f>
        <v>-331.18750000000006</v>
      </c>
      <c r="Y34" s="162">
        <f>SUM(U34:X34)</f>
        <v>-1556.1875</v>
      </c>
      <c r="Z34" s="359">
        <f t="shared" ref="Z34:AC34" si="19">-Z76</f>
        <v>-331.86891850000006</v>
      </c>
      <c r="AA34" s="359">
        <f>-AA76</f>
        <v>-336.85146518625004</v>
      </c>
      <c r="AB34" s="359">
        <f>-AB76</f>
        <v>-342.23237867969067</v>
      </c>
      <c r="AC34" s="359">
        <f>-AC76</f>
        <v>-343.91086566405204</v>
      </c>
      <c r="AD34" s="162">
        <f>SUM(Z34:AC34)</f>
        <v>-1354.863628029993</v>
      </c>
      <c r="AE34" s="162">
        <f t="shared" ref="AE34:AG34" si="20">-AE76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SUM(F35:I35)</f>
        <v>1e-12</v>
      </c>
      <c r="K35" s="354">
        <v>0</v>
      </c>
      <c r="L35" s="354">
        <v>0</v>
      </c>
      <c r="M35" s="354">
        <v>0</v>
      </c>
      <c r="N35" s="354">
        <v>0</v>
      </c>
      <c r="O35" s="355">
        <f>SUM(K35:N35)</f>
        <v>1e-12</v>
      </c>
      <c r="P35" s="354">
        <v>-55516</v>
      </c>
      <c r="Q35" s="354">
        <v>-33875</v>
      </c>
      <c r="R35" s="354">
        <v>-36834</v>
      </c>
      <c r="S35" s="354">
        <v>0</v>
      </c>
      <c r="T35" s="355">
        <f>SUM(P35:S35)</f>
        <v>-126225</v>
      </c>
      <c r="U35" s="354">
        <v>-58233</v>
      </c>
      <c r="V35" s="354">
        <v>-40929</v>
      </c>
      <c r="W35" s="354">
        <v>0</v>
      </c>
      <c r="X35" s="356">
        <f>X69*X$28</f>
        <v>0</v>
      </c>
      <c r="Y35" s="355">
        <f>SUM(U35:X35)</f>
      </c>
      <c r="Z35" s="356">
        <f t="shared" ref="Z35:AC35" si="21">Z69*Z$28</f>
        <v>0</v>
      </c>
      <c r="AA35" s="356">
        <f>AA69*AA$28</f>
      </c>
      <c r="AB35" s="356">
        <f>AB69*AB$28</f>
      </c>
      <c r="AC35" s="356">
        <f>AC69*AC$28</f>
      </c>
      <c r="AD35" s="355">
        <f>SUM(Z35:AC35)</f>
      </c>
      <c r="AE35" s="355">
        <f t="shared" ref="AE35:AG35" si="22">AE69*AE$28</f>
        <v>0</v>
      </c>
      <c r="AF35" s="355">
        <f>AF69*AF$28</f>
      </c>
      <c r="AG35" s="355">
        <f>AG69*AG$28</f>
      </c>
      <c r="AH35" s="16"/>
      <c r="AI35" s="16"/>
      <c r="AJ35" s="16"/>
      <c r="AK35" s="16"/>
    </row>
    <row r="36" ht="13.5" customHeight="1" spans="1:37" x14ac:dyDescent="0.25">
      <c r="A36" s="264"/>
      <c r="B36" s="16"/>
      <c r="C36" s="139" t="s">
        <v>275</v>
      </c>
      <c r="D36" s="16"/>
      <c r="E36" s="16"/>
      <c r="F36" s="353">
        <f t="shared" ref="F36:I36" si="23">IF($C$34="Depreciation &amp; Amortization (incl. in SG&amp;A)",F30+SUM(F32:F33,F35),F30+SUM(F32:F35))</f>
        <v>36016</v>
      </c>
      <c r="G36" s="353">
        <f>IF($C$34="Depreciation &amp; Amortization (incl. in SG&amp;A)",G30+SUM(G32:G33,G35),G30+SUM(G32:G35))</f>
        <v>28318</v>
      </c>
      <c r="H36" s="353">
        <f>IF($C$34="Depreciation &amp; Amortization (incl. in SG&amp;A)",H30+SUM(H32:H33,H35),H30+SUM(H32:H35))</f>
        <v>22998</v>
      </c>
      <c r="I36" s="353">
        <f>IF($C$34="Depreciation &amp; Amortization (incl. in SG&amp;A)",I30+SUM(I32:I33,I35),I30+SUM(I32:I35))</f>
        <v>26969</v>
      </c>
      <c r="J36" s="282">
        <f>SUM(F36:I36)</f>
        <v>114301</v>
      </c>
      <c r="K36" s="353">
        <f t="shared" ref="K36:N36" si="24">IF($C$34="Depreciation &amp; Amortization (incl. in SG&amp;A)",K30+SUM(K32:K33,K35),K30+SUM(K32:K35))</f>
        <v>40373</v>
      </c>
      <c r="L36" s="353">
        <f>IF($C$34="Depreciation &amp; Amortization (incl. in SG&amp;A)",L30+SUM(L32:L33,L35),L30+SUM(L32:L35))</f>
        <v>27900</v>
      </c>
      <c r="M36" s="353">
        <f>IF($C$34="Depreciation &amp; Amortization (incl. in SG&amp;A)",M30+SUM(M32:M33,M35),M30+SUM(M32:M35))</f>
        <v>25352</v>
      </c>
      <c r="N36" s="353">
        <f>IF($C$34="Depreciation &amp; Amortization (incl. in SG&amp;A)",N30+SUM(N32:N33,N35),N30+SUM(N32:N35))</f>
        <v>29591</v>
      </c>
      <c r="O36" s="282">
        <f>SUM(K36:N36)</f>
        <v>123216</v>
      </c>
      <c r="P36" s="353">
        <f t="shared" ref="P36:S36" si="25">IF($C$34="Depreciation &amp; Amortization (incl. in SG&amp;A)",P30+SUM(P32:P33,P35),P30+SUM(P32:P35))</f>
        <v>42832</v>
      </c>
      <c r="Q36" s="353">
        <f>IF($C$34="Depreciation &amp; Amortization (incl. in SG&amp;A)",Q30+SUM(Q32:Q33,Q35),Q30+SUM(Q32:Q35))</f>
        <v>29589</v>
      </c>
      <c r="R36" s="353">
        <f>IF($C$34="Depreciation &amp; Amortization (incl. in SG&amp;A)",R30+SUM(R32:R33,R35),R30+SUM(R32:R35))</f>
        <v>28202</v>
      </c>
      <c r="S36" s="353">
        <f>IF($C$34="Depreciation &amp; Amortization (incl. in SG&amp;A)",S30+SUM(S32:S33,S35),S30+SUM(S32:S35))</f>
        <v>32427</v>
      </c>
      <c r="T36" s="282">
        <f>SUM(P36:S36)</f>
        <v>133050</v>
      </c>
      <c r="U36" s="353">
        <f t="shared" ref="U36:W36" si="26">IF($C$34="Depreciation &amp; Amortization (incl. in SG&amp;A)",U30+SUM(U32:U33,U35),U30+SUM(U32:U35))</f>
        <v>50852</v>
      </c>
      <c r="V36" s="353">
        <f>IF($C$34="Depreciation &amp; Amortization (incl. in SG&amp;A)",V30+SUM(V32:V33,V35),V30+SUM(V32:V35))</f>
        <v>35885</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7">SUM(F38:I38)</f>
        <v>1e-12</v>
      </c>
      <c r="K38" s="358">
        <v>0</v>
      </c>
      <c r="L38" s="358">
        <v>0</v>
      </c>
      <c r="M38" s="358">
        <v>0</v>
      </c>
      <c r="N38" s="358">
        <v>0</v>
      </c>
      <c r="O38" s="162">
        <f t="shared" ref="O38:O42" si="28">SUM(K38:N38)</f>
        <v>1e-12</v>
      </c>
      <c r="P38" s="358">
        <v>0</v>
      </c>
      <c r="Q38" s="358">
        <v>0</v>
      </c>
      <c r="R38" s="358">
        <v>0</v>
      </c>
      <c r="S38" s="358">
        <v>0</v>
      </c>
      <c r="T38" s="162">
        <f t="shared" ref="T38:T42" si="29">SUM(P38:S38)</f>
        <v>1e-12</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-1003</v>
      </c>
      <c r="G39" s="358">
        <v>-930</v>
      </c>
      <c r="H39" s="358">
        <v>-998</v>
      </c>
      <c r="I39" s="358">
        <f>-3933-SUM(F39:H39)</f>
        <v>-1002</v>
      </c>
      <c r="J39" s="162">
        <f>SUM(F39:I39)</f>
        <v>-3933</v>
      </c>
      <c r="K39" s="358">
        <v>-162</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v>1e-12</v>
      </c>
      <c r="K40" s="358">
        <v>0</v>
      </c>
      <c r="L40" s="358">
        <v>0</v>
      </c>
      <c r="M40" s="358">
        <v>0</v>
      </c>
      <c r="N40" s="358">
        <v>0</v>
      </c>
      <c r="O40" s="162">
        <f>SUM(K40:N40)</f>
        <v>1e-12</v>
      </c>
      <c r="P40" s="358">
        <v>0</v>
      </c>
      <c r="Q40" s="358">
        <v>0</v>
      </c>
      <c r="R40" s="358">
        <v>0</v>
      </c>
      <c r="S40" s="358">
        <v>0</v>
      </c>
      <c r="T40" s="162">
        <f>SUM(P40:S40)</f>
        <v>1e-12</v>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610</v>
      </c>
      <c r="G41" s="354">
        <v>994</v>
      </c>
      <c r="H41" s="354">
        <v>733</v>
      </c>
      <c r="I41" s="354">
        <v>1031</v>
      </c>
      <c r="J41" s="355">
        <f>SUM(F41:I41)</f>
        <v>3368</v>
      </c>
      <c r="K41" s="354">
        <v>112</v>
      </c>
      <c r="L41" s="354">
        <v>327</v>
      </c>
      <c r="M41" s="354">
        <v>319</v>
      </c>
      <c r="N41" s="354">
        <v>202</v>
      </c>
      <c r="O41" s="355">
        <f>SUM(K41:N41)</f>
        <v>960</v>
      </c>
      <c r="P41" s="354">
        <v>-43</v>
      </c>
      <c r="Q41" s="354">
        <v>-60</v>
      </c>
      <c r="R41" s="354">
        <v>50</v>
      </c>
      <c r="S41" s="354">
        <v>581</v>
      </c>
      <c r="T41" s="355">
        <f>SUM(P41:S41)</f>
        <v>528</v>
      </c>
      <c r="U41" s="354">
        <v>361</v>
      </c>
      <c r="V41" s="354">
        <v>164</v>
      </c>
      <c r="W41" s="354">
        <v>0</v>
      </c>
      <c r="X41" s="356">
        <f>X70*X28</f>
        <v>0</v>
      </c>
      <c r="Y41" s="355">
        <f>SUM(U41:X41)</f>
      </c>
      <c r="Z41" s="356">
        <f t="shared" ref="Z41:AC41" si="30">Z70*Z28</f>
        <v>0</v>
      </c>
      <c r="AA41" s="356">
        <f>AA70*AA28</f>
      </c>
      <c r="AB41" s="356">
        <f>AB70*AB28</f>
      </c>
      <c r="AC41" s="356">
        <f>AC70*AC28</f>
      </c>
      <c r="AD41" s="355">
        <f>SUM(Z41:AC41)</f>
      </c>
      <c r="AE41" s="355">
        <f t="shared" ref="AE41:AG41" si="31">AE70*AE28</f>
        <v>0</v>
      </c>
      <c r="AF41" s="355">
        <f>AF70*AF28</f>
      </c>
      <c r="AG41" s="355">
        <f>AG70*AG28</f>
      </c>
      <c r="AH41" s="16"/>
      <c r="AI41" s="16"/>
      <c r="AJ41" s="16"/>
      <c r="AK41" s="16"/>
    </row>
    <row r="42" ht="13.5" customHeight="1" spans="1:37" x14ac:dyDescent="0.25">
      <c r="A42" s="264"/>
      <c r="B42" s="16"/>
      <c r="C42" s="139" t="s">
        <v>280</v>
      </c>
      <c r="D42" s="16"/>
      <c r="E42" s="16"/>
      <c r="F42" s="353">
        <f t="shared" ref="F42:I42" si="32">F36+SUM(F38:F41)</f>
        <v>35623</v>
      </c>
      <c r="G42" s="353">
        <f>G36+SUM(G38:G41)</f>
        <v>28382</v>
      </c>
      <c r="H42" s="353">
        <f>H36+SUM(H38:H41)</f>
        <v>22733</v>
      </c>
      <c r="I42" s="353">
        <f>I36+SUM(I38:I41)</f>
        <v>26998</v>
      </c>
      <c r="J42" s="282">
        <f>SUM(F42:I42)</f>
        <v>113736</v>
      </c>
      <c r="K42" s="353">
        <f t="shared" ref="K42:N42" si="33">K36+SUM(K38:K41)</f>
        <v>40323</v>
      </c>
      <c r="L42" s="353">
        <f>L36+SUM(L38:L41)</f>
        <v>28058</v>
      </c>
      <c r="M42" s="353">
        <f>M36+SUM(M38:M41)</f>
        <v>25494</v>
      </c>
      <c r="N42" s="353">
        <f>N36+SUM(N38:N41)</f>
        <v>29610</v>
      </c>
      <c r="O42" s="282">
        <f>SUM(K42:N42)</f>
        <v>123485</v>
      </c>
      <c r="P42" s="353">
        <f t="shared" ref="P42:Q42" si="34">P36+SUM(P38:P41)</f>
        <v>42584</v>
      </c>
      <c r="Q42" s="353">
        <f>Q36+SUM(Q38:Q41)</f>
        <v>29310</v>
      </c>
      <c r="R42" s="353">
        <f t="shared" ref="R42:S42" si="35">IF($C$8="On",R36+SUM(R38:R41),IF($C$8="off",R36+SUM(R40:R41),"N/A"))</f>
        <v>28031</v>
      </c>
      <c r="S42" s="353">
        <f>IF($C$8="On",S36+SUM(S38:S41),IF($C$8="off",S36+SUM(S40:S41),"N/A"))</f>
        <v>32804</v>
      </c>
      <c r="T42" s="282">
        <f>SUM(P42:S42)</f>
        <v>132729</v>
      </c>
      <c r="U42" s="353">
        <f t="shared" ref="U42:V42" si="36">U36+SUM(U38:U41)</f>
        <v>51002</v>
      </c>
      <c r="V42" s="353">
        <f>V36+SUM(V38:V41)</f>
        <v>35833</v>
      </c>
      <c r="W42" s="353">
        <f>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-5625</v>
      </c>
      <c r="G44" s="354">
        <v>-4222</v>
      </c>
      <c r="H44" s="354">
        <v>-2852</v>
      </c>
      <c r="I44" s="354">
        <f>-16741-SUM(F44:H44)</f>
        <v>-4042</v>
      </c>
      <c r="J44" s="355">
        <f t="shared" ref="J44:J45" si="37">SUM(F44:I44)</f>
        <v>-16741</v>
      </c>
      <c r="K44" s="354">
        <v>-6407</v>
      </c>
      <c r="L44" s="354">
        <v>-4422</v>
      </c>
      <c r="M44" s="354">
        <v>-4046</v>
      </c>
      <c r="N44" s="354">
        <v>-14874</v>
      </c>
      <c r="O44" s="355">
        <f t="shared" ref="O44:O45" si="38">SUM(K44:N44)</f>
        <v>-29749</v>
      </c>
      <c r="P44" s="354">
        <v>-6254</v>
      </c>
      <c r="Q44" s="354">
        <v>-4530</v>
      </c>
      <c r="R44" s="354">
        <v>-4597</v>
      </c>
      <c r="S44" s="354">
        <v>-5338</v>
      </c>
      <c r="T44" s="355">
        <f t="shared" ref="T44:T45" si="39">SUM(P44:S44)</f>
        <v>-20719</v>
      </c>
      <c r="U44" s="354">
        <v>-8905</v>
      </c>
      <c r="V44" s="354">
        <v>-11534</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0">F42+F44</f>
        <v>29998</v>
      </c>
      <c r="G45" s="353">
        <f>G42+G44</f>
        <v>24160</v>
      </c>
      <c r="H45" s="353">
        <f>H42+H44</f>
        <v>19881</v>
      </c>
      <c r="I45" s="353">
        <f>I42+I44</f>
        <v>22956</v>
      </c>
      <c r="J45" s="282">
        <f>SUM(F45:I45)</f>
        <v>96995</v>
      </c>
      <c r="K45" s="353">
        <f t="shared" ref="K45:N45" si="41">K42+K44</f>
        <v>33916</v>
      </c>
      <c r="L45" s="353">
        <f>L42+L44</f>
        <v>23636</v>
      </c>
      <c r="M45" s="353">
        <f>M42+M44</f>
        <v>21448</v>
      </c>
      <c r="N45" s="353">
        <f>N42+N44</f>
        <v>14736</v>
      </c>
      <c r="O45" s="282">
        <f>SUM(K45:N45)</f>
        <v>93736</v>
      </c>
      <c r="P45" s="353">
        <f t="shared" ref="P45:S45" si="42">P42+P44</f>
        <v>36330</v>
      </c>
      <c r="Q45" s="353">
        <f>Q42+Q44</f>
        <v>24780</v>
      </c>
      <c r="R45" s="353">
        <f>R42+R44</f>
        <v>23434</v>
      </c>
      <c r="S45" s="353">
        <f>S42+S44</f>
        <v>27466</v>
      </c>
      <c r="T45" s="282">
        <f>SUM(P45:S45)</f>
        <v>112010</v>
      </c>
      <c r="U45" s="353">
        <f t="shared" ref="U45:X45" si="43">U42+U44</f>
        <v>42097</v>
      </c>
      <c r="V45" s="353">
        <f>V42+V44</f>
        <v>24299</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SUM(F47:I47)</f>
        <v>1e-12</v>
      </c>
      <c r="K47" s="358">
        <v>0</v>
      </c>
      <c r="L47" s="358">
        <v>0</v>
      </c>
      <c r="M47" s="358">
        <v>0</v>
      </c>
      <c r="N47" s="358">
        <v>0</v>
      </c>
      <c r="O47" s="162">
        <f>SUM(K47:N47)</f>
        <v>1e-12</v>
      </c>
      <c r="P47" s="358">
        <v>0</v>
      </c>
      <c r="Q47" s="358">
        <v>0</v>
      </c>
      <c r="R47" s="358">
        <v>0</v>
      </c>
      <c r="S47" s="358">
        <v>0</v>
      </c>
      <c r="T47" s="162">
        <f>SUM(P47:S47)</f>
        <v>1e-12</v>
      </c>
      <c r="U47" s="358">
        <v>0</v>
      </c>
      <c r="V47" s="358">
        <v>0</v>
      </c>
      <c r="W47" s="358">
        <v>0</v>
      </c>
      <c r="X47" s="365">
        <v>0</v>
      </c>
      <c r="Y47" s="162">
        <f t="shared" ref="Y47:Y51" si="44">SUM(U47:X47)</f>
        <v>0</v>
      </c>
      <c r="Z47" s="365">
        <v>0</v>
      </c>
      <c r="AA47" s="365">
        <v>0</v>
      </c>
      <c r="AB47" s="365">
        <v>0</v>
      </c>
      <c r="AC47" s="365">
        <v>0</v>
      </c>
      <c r="AD47" s="162">
        <f t="shared" ref="AD47:AD51" si="45">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SUM(F48:I48)</f>
        <v>1e-12</v>
      </c>
      <c r="K48" s="358">
        <v>0</v>
      </c>
      <c r="L48" s="358">
        <v>0</v>
      </c>
      <c r="M48" s="358">
        <v>0</v>
      </c>
      <c r="N48" s="358">
        <v>0</v>
      </c>
      <c r="O48" s="162">
        <f>SUM(K48:N48)</f>
        <v>1e-12</v>
      </c>
      <c r="P48" s="358">
        <v>0</v>
      </c>
      <c r="Q48" s="358">
        <v>0</v>
      </c>
      <c r="R48" s="358">
        <v>0</v>
      </c>
      <c r="S48" s="358">
        <v>0</v>
      </c>
      <c r="T48" s="162">
        <f>SUM(P48:S48)</f>
        <v>1e-12</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v>1e-12</v>
      </c>
      <c r="K49" s="358">
        <v>0</v>
      </c>
      <c r="L49" s="358">
        <v>0</v>
      </c>
      <c r="M49" s="358">
        <v>0</v>
      </c>
      <c r="N49" s="358">
        <v>0</v>
      </c>
      <c r="O49" s="162">
        <f>SUM(K49:N49)</f>
        <v>1e-12</v>
      </c>
      <c r="P49" s="358">
        <v>0</v>
      </c>
      <c r="Q49" s="358">
        <v>0</v>
      </c>
      <c r="R49" s="358">
        <v>0</v>
      </c>
      <c r="S49" s="358">
        <v>0</v>
      </c>
      <c r="T49" s="162">
        <f>SUM(P49:S49)</f>
        <v>1e-12</v>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v>1e-12</v>
      </c>
      <c r="K50" s="354">
        <v>0</v>
      </c>
      <c r="L50" s="354">
        <v>0</v>
      </c>
      <c r="M50" s="354">
        <v>0</v>
      </c>
      <c r="N50" s="354">
        <v>0</v>
      </c>
      <c r="O50" s="355">
        <f>SUM(K50:N50)</f>
        <v>1e-12</v>
      </c>
      <c r="P50" s="354">
        <v>0</v>
      </c>
      <c r="Q50" s="354">
        <v>0</v>
      </c>
      <c r="R50" s="354">
        <v>0</v>
      </c>
      <c r="S50" s="354">
        <v>0</v>
      </c>
      <c r="T50" s="355">
        <f>SUM(P50:S50)</f>
        <v>1e-12</v>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SUM(F45:F50)</f>
        <v>29998</v>
      </c>
      <c r="G51" s="353">
        <f>SUM(G45:G50)</f>
        <v>24160</v>
      </c>
      <c r="H51" s="353">
        <f>SUM(H45:H50)</f>
        <v>19881</v>
      </c>
      <c r="I51" s="353">
        <f>SUM(I45:I50)</f>
        <v>22956</v>
      </c>
      <c r="J51" s="282">
        <f>SUM(F51:I51)</f>
        <v>96995</v>
      </c>
      <c r="K51" s="353">
        <f>SUM(K45:K50)</f>
        <v>33916</v>
      </c>
      <c r="L51" s="353">
        <f>SUM(L45:L50)</f>
        <v>23636</v>
      </c>
      <c r="M51" s="353">
        <f>SUM(M45:M50)</f>
        <v>21448</v>
      </c>
      <c r="N51" s="353">
        <f>SUM(N45:N50)</f>
        <v>14736</v>
      </c>
      <c r="O51" s="282">
        <f>SUM(K51:N51)</f>
        <v>93736</v>
      </c>
      <c r="P51" s="353">
        <f>SUM(P45:P50)</f>
        <v>36330</v>
      </c>
      <c r="Q51" s="353">
        <f>SUM(Q45:Q50)</f>
        <v>24780</v>
      </c>
      <c r="R51" s="353">
        <f>SUM(R45:R50)</f>
        <v>23434</v>
      </c>
      <c r="S51" s="353">
        <f>SUM(S45:S50)</f>
        <v>27466</v>
      </c>
      <c r="T51" s="282">
        <f>SUM(P51:S51)</f>
        <v>112010</v>
      </c>
      <c r="U51" s="353">
        <f>SUM(U45:U50)</f>
        <v>42097</v>
      </c>
      <c r="V51" s="353">
        <f>SUM(V45:V50)</f>
        <v>24299</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6">(F45)/F282</f>
        <v>36.36121212121212</v>
      </c>
      <c r="G53" s="370">
        <f>(G45)/G282</f>
        <v>29.71709717097171</v>
      </c>
      <c r="H53" s="370">
        <f>(H45)/H282</f>
        <v>24.666253101736974</v>
      </c>
      <c r="I53" s="370">
        <f>(I45)/I282</f>
        <v>28.65917602996255</v>
      </c>
      <c r="J53" s="127">
        <f>J45/J282</f>
        <v>121.09238451935082</v>
      </c>
      <c r="K53" s="370">
        <f t="shared" ref="K53:N53" si="47">(K45)/K282</f>
        <v>41.11030303030303</v>
      </c>
      <c r="L53" s="370">
        <f>(L45)/L282</f>
        <v>29.07257072570726</v>
      </c>
      <c r="M53" s="370">
        <f>(M45)/M282</f>
        <v>26.610421836228287</v>
      </c>
      <c r="N53" s="370">
        <f>(N45)/N282</f>
        <v>18.39700374531835</v>
      </c>
      <c r="O53" s="127">
        <f>O45/O282</f>
        <v>117.02372034956305</v>
      </c>
      <c r="P53" s="370">
        <f t="shared" ref="P53:S53" si="48">(P45)/P282</f>
        <v>48.11920529801324</v>
      </c>
      <c r="Q53" s="370">
        <f>(Q45)/Q282</f>
        <v>32.952127659574465</v>
      </c>
      <c r="R53" s="370">
        <f>(R45)/R282</f>
        <v>31.16223404255319</v>
      </c>
      <c r="S53" s="370">
        <f>(S45)/S282</f>
        <v>36.719251336898395</v>
      </c>
      <c r="T53" s="127">
        <f>T45/T282</f>
        <v>149.74598930481284</v>
      </c>
      <c r="U53" s="370">
        <f t="shared" ref="U53:W53" si="49">(U45)/U282</f>
        <v>58.63091922005571</v>
      </c>
      <c r="V53" s="370">
        <f>(V45)/V282</f>
        <v>34.46666666666667</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50">(F45)/F284</f>
        <v>36.31719128329298</v>
      </c>
      <c r="G54" s="370">
        <f>(G45)/G284</f>
        <v>29.68058968058968</v>
      </c>
      <c r="H54" s="370">
        <f>(H45)/H284</f>
        <v>24.635687732342006</v>
      </c>
      <c r="I54" s="370">
        <f>(I45)/I284</f>
        <v>28.65917602996255</v>
      </c>
      <c r="J54" s="127">
        <f>J45/J284</f>
        <v>121.09238451935082</v>
      </c>
      <c r="K54" s="370">
        <f t="shared" ref="K54:N54" si="51">(K45)/K284</f>
        <v>41.06053268765133</v>
      </c>
      <c r="L54" s="370">
        <f>(L45)/L284</f>
        <v>29.036855036855037</v>
      </c>
      <c r="M54" s="370">
        <f>(M45)/M284</f>
        <v>26.577447335811648</v>
      </c>
      <c r="N54" s="370">
        <f>(N45)/N284</f>
        <v>18.39700374531835</v>
      </c>
      <c r="O54" s="127">
        <f>O45/O284</f>
        <v>117.02372034956305</v>
      </c>
      <c r="P54" s="370">
        <f t="shared" ref="P54:S54" si="52">(P45)/P284</f>
        <v>48.05555555555556</v>
      </c>
      <c r="Q54" s="370">
        <f>(Q45)/Q284</f>
        <v>32.908366533864545</v>
      </c>
      <c r="R54" s="370">
        <f>(R45)/R284</f>
        <v>31.079575596816976</v>
      </c>
      <c r="S54" s="370">
        <f>(S45)/S284</f>
        <v>36.62133333333333</v>
      </c>
      <c r="T54" s="127">
        <f>T45/T284</f>
        <v>149.34666666666666</v>
      </c>
      <c r="U54" s="370">
        <f t="shared" ref="U54:W54" si="53">(U45)/U284</f>
        <v>58.46805555555556</v>
      </c>
      <c r="V54" s="370">
        <f>(V45)/V284</f>
        <v>34.36916548797737</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4">F51/F282</f>
        <v>36.36121212121212</v>
      </c>
      <c r="G56" s="370">
        <f>G51/G282</f>
        <v>29.71709717097171</v>
      </c>
      <c r="H56" s="370">
        <f>H51/H282</f>
        <v>24.666253101736974</v>
      </c>
      <c r="I56" s="370">
        <f>I51/I282</f>
        <v>28.65917602996255</v>
      </c>
      <c r="J56" s="127">
        <f>J51/J282</f>
        <v>121.09238451935082</v>
      </c>
      <c r="K56" s="370">
        <f>K51/K282</f>
        <v>41.11030303030303</v>
      </c>
      <c r="L56" s="370">
        <f>L51/L282</f>
        <v>29.07257072570726</v>
      </c>
      <c r="M56" s="370">
        <f>M51/M282</f>
        <v>26.610421836228287</v>
      </c>
      <c r="N56" s="370">
        <f>N51/N282</f>
        <v>18.39700374531835</v>
      </c>
      <c r="O56" s="127">
        <f>O51/O282</f>
        <v>117.02372034956305</v>
      </c>
      <c r="P56" s="370">
        <f>P51/P282</f>
        <v>48.11920529801324</v>
      </c>
      <c r="Q56" s="370">
        <f>Q51/Q282</f>
        <v>32.952127659574465</v>
      </c>
      <c r="R56" s="370">
        <f>R51/R282</f>
        <v>31.16223404255319</v>
      </c>
      <c r="S56" s="370">
        <f>S51/S282</f>
        <v>36.719251336898395</v>
      </c>
      <c r="T56" s="127">
        <f>T51/T282</f>
        <v>149.74598930481284</v>
      </c>
      <c r="U56" s="370">
        <f>U51/U282</f>
        <v>58.63091922005571</v>
      </c>
      <c r="V56" s="370">
        <f>V51/V282</f>
        <v>34.46666666666667</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55">F51/F284</f>
        <v>36.31719128329298</v>
      </c>
      <c r="G57" s="370">
        <f>G51/G284</f>
        <v>29.68058968058968</v>
      </c>
      <c r="H57" s="370">
        <f>H51/H284</f>
        <v>24.635687732342006</v>
      </c>
      <c r="I57" s="370">
        <f>I51/I284</f>
        <v>28.65917602996255</v>
      </c>
      <c r="J57" s="127">
        <f>J51/J284</f>
        <v>121.09238451935082</v>
      </c>
      <c r="K57" s="370">
        <f>K51/K284</f>
        <v>41.06053268765133</v>
      </c>
      <c r="L57" s="370">
        <f>L51/L284</f>
        <v>29.036855036855037</v>
      </c>
      <c r="M57" s="370">
        <f>M51/M284</f>
        <v>26.577447335811648</v>
      </c>
      <c r="N57" s="370">
        <f>N51/N284</f>
        <v>18.39700374531835</v>
      </c>
      <c r="O57" s="127">
        <f>O51/O284</f>
        <v>117.02372034956305</v>
      </c>
      <c r="P57" s="370">
        <f>P51/P284</f>
        <v>48.05555555555556</v>
      </c>
      <c r="Q57" s="370">
        <f>Q51/Q284</f>
        <v>32.908366533864545</v>
      </c>
      <c r="R57" s="370">
        <f>R51/R284</f>
        <v>31.079575596816976</v>
      </c>
      <c r="S57" s="370">
        <f>S51/S284</f>
        <v>36.62133333333333</v>
      </c>
      <c r="T57" s="127">
        <f>T51/T284</f>
        <v>149.34666666666666</v>
      </c>
      <c r="U57" s="370">
        <f>U51/U284</f>
        <v>58.46805555555556</v>
      </c>
      <c r="V57" s="370">
        <f>V51/V284</f>
        <v>34.36916548797737</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6">F51-F44-F41-F40-F39-F38</f>
        <v>36016</v>
      </c>
      <c r="G59" s="353">
        <f>G51-G44-G41-G40-G39-G38</f>
        <v>28318</v>
      </c>
      <c r="H59" s="353">
        <f>H51-H44-H41-H40-H39-H38</f>
        <v>22998</v>
      </c>
      <c r="I59" s="353">
        <f>I51-I44-I41-I40-I39-I38</f>
        <v>26969</v>
      </c>
      <c r="J59" s="282">
        <f t="shared" ref="J59:J61" si="57">SUM(F59:I59)</f>
        <v>114301</v>
      </c>
      <c r="K59" s="353">
        <f t="shared" ref="K59:N59" si="58">K51-K44-K41-K40-K39-K38</f>
        <v>40373</v>
      </c>
      <c r="L59" s="353">
        <f>L51-L44-L41-L40-L39-L38</f>
        <v>27900</v>
      </c>
      <c r="M59" s="353">
        <f>M51-M44-M41-M40-M39-M38</f>
        <v>25352</v>
      </c>
      <c r="N59" s="353">
        <f>N51-N44-N41-N40-N39-N38</f>
        <v>29591</v>
      </c>
      <c r="O59" s="282">
        <f t="shared" ref="O59:O61" si="59">SUM(K59:N59)</f>
        <v>123216</v>
      </c>
      <c r="P59" s="353">
        <f t="shared" ref="P59:S59" si="60">P51-P44-P41-P40-P39-P38</f>
        <v>42832</v>
      </c>
      <c r="Q59" s="353">
        <f>Q51-Q44-Q41-Q40-Q39-Q38</f>
        <v>29589</v>
      </c>
      <c r="R59" s="353">
        <f>R51-R44-R41-R40-R39-R38</f>
        <v>28202</v>
      </c>
      <c r="S59" s="353">
        <f>S51-S44-S41-S40-S39-S38</f>
        <v>32427</v>
      </c>
      <c r="T59" s="282">
        <f t="shared" ref="T59:T61" si="61">SUM(P59:S59)</f>
        <v>133050</v>
      </c>
      <c r="U59" s="353">
        <f t="shared" ref="U59:X59" si="62">U51-U44-U41-U40-U39-U38</f>
        <v>50852</v>
      </c>
      <c r="V59" s="353">
        <f>V51-V44-V41-V40-V39-V38</f>
        <v>35885</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63">-F34</f>
        <v>1e-12</v>
      </c>
      <c r="G60" s="372">
        <f>-G34</f>
        <v>1e-12</v>
      </c>
      <c r="H60" s="372">
        <f>-H34</f>
        <v>1e-12</v>
      </c>
      <c r="I60" s="372">
        <f>-I34</f>
        <v>339</v>
      </c>
      <c r="J60" s="355">
        <f>SUM(F60:I60)</f>
        <v>339.000000000003</v>
      </c>
      <c r="K60" s="372">
        <f t="shared" ref="K60:N60" si="64">-K34</f>
        <v>1e-12</v>
      </c>
      <c r="L60" s="372">
        <f>-L34</f>
        <v>1e-12</v>
      </c>
      <c r="M60" s="372">
        <f>-M34</f>
        <v>1e-12</v>
      </c>
      <c r="N60" s="372">
        <f>-N34</f>
        <v>1e-12</v>
      </c>
      <c r="O60" s="355">
        <f>SUM(K60:N60)</f>
        <v>1262</v>
      </c>
      <c r="P60" s="372">
        <f t="shared" ref="P60:S60" si="65">-P34</f>
        <v>326</v>
      </c>
      <c r="Q60" s="372">
        <f>-Q34</f>
        <v>327</v>
      </c>
      <c r="R60" s="372">
        <f>-R34</f>
        <v>355</v>
      </c>
      <c r="S60" s="372">
        <f>-S34</f>
        <v>1e-12</v>
      </c>
      <c r="T60" s="355">
        <f>SUM(P60:S60)</f>
        <v>1008.000000000001</v>
      </c>
      <c r="U60" s="372">
        <f t="shared" ref="U60:X60" si="66">-U34</f>
        <v>1e-12</v>
      </c>
      <c r="V60" s="372">
        <f>-V34</f>
        <v>1e-12</v>
      </c>
      <c r="W60" s="372">
        <f>-W34</f>
        <v>425</v>
      </c>
      <c r="X60" s="356">
        <f>-X34</f>
        <v>331.18750000000006</v>
      </c>
      <c r="Y60" s="355">
        <f>SUM(U60:X60)</f>
        <v>1556.1875</v>
      </c>
      <c r="Z60" s="356">
        <f t="shared" ref="Z60:AC60" si="67">-Z34</f>
        <v>331.86891850000006</v>
      </c>
      <c r="AA60" s="356">
        <f>-AA34</f>
        <v>336.85146518625004</v>
      </c>
      <c r="AB60" s="356">
        <f>-AB34</f>
        <v>342.23237867969067</v>
      </c>
      <c r="AC60" s="356">
        <f>-AC34</f>
        <v>343.91086566405204</v>
      </c>
      <c r="AD60" s="355">
        <f>SUM(Z60:AC60)</f>
        <v>1354.863628029993</v>
      </c>
      <c r="AE60" s="355">
        <f t="shared" ref="AE60:AG60" si="68">-AE34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69">SUM(F59:F60)</f>
        <v>36016</v>
      </c>
      <c r="G61" s="353">
        <f>SUM(G59:G60)</f>
        <v>28318</v>
      </c>
      <c r="H61" s="353">
        <f>SUM(H59:H60)</f>
        <v>22998</v>
      </c>
      <c r="I61" s="353">
        <f>SUM(I59:I60)</f>
        <v>27308</v>
      </c>
      <c r="J61" s="282">
        <f>SUM(F61:I61)</f>
        <v>114640</v>
      </c>
      <c r="K61" s="353">
        <f t="shared" ref="K61:N61" si="70">SUM(K59:K60)</f>
        <v>40373</v>
      </c>
      <c r="L61" s="353">
        <f>SUM(L59:L60)</f>
        <v>27900</v>
      </c>
      <c r="M61" s="353">
        <f>SUM(M59:M60)</f>
        <v>25352</v>
      </c>
      <c r="N61" s="353">
        <f>SUM(N59:N60)</f>
        <v>29591</v>
      </c>
      <c r="O61" s="282">
        <f>SUM(K61:N61)</f>
        <v>123216</v>
      </c>
      <c r="P61" s="353">
        <f t="shared" ref="P61:S61" si="71">SUM(P59:P60)</f>
        <v>43158</v>
      </c>
      <c r="Q61" s="353">
        <f>SUM(Q59:Q60)</f>
        <v>29916</v>
      </c>
      <c r="R61" s="353">
        <f>SUM(R59:R60)</f>
        <v>28557</v>
      </c>
      <c r="S61" s="353">
        <f>SUM(S59:S60)</f>
        <v>32427</v>
      </c>
      <c r="T61" s="282">
        <f>SUM(P61:S61)</f>
        <v>134058</v>
      </c>
      <c r="U61" s="353">
        <f t="shared" ref="U61:X61" si="72">SUM(U59:U60)</f>
        <v>50852</v>
      </c>
      <c r="V61" s="353">
        <f>SUM(V59:V60)</f>
        <v>35885</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3">F$25</f>
        <v>1e-12</v>
      </c>
      <c r="G63" s="194">
        <f>G$25</f>
        <v>1e-12</v>
      </c>
      <c r="H63" s="194">
        <f>H$25</f>
        <v>1e-12</v>
      </c>
      <c r="I63" s="194">
        <f>I$25</f>
        <v>1e-12</v>
      </c>
      <c r="J63" s="194">
        <f>J$25</f>
        <v>2023</v>
      </c>
      <c r="K63" s="194">
        <f>K$25</f>
        <v>1e-12</v>
      </c>
      <c r="L63" s="194">
        <f>L$25</f>
        <v>1e-12</v>
      </c>
      <c r="M63" s="194">
        <f>M$25</f>
        <v>1e-12</v>
      </c>
      <c r="N63" s="194">
        <f>N$25</f>
        <v>1e-12</v>
      </c>
      <c r="O63" s="194">
        <f>O$25</f>
        <v>2024</v>
      </c>
      <c r="P63" s="194">
        <f>P$25</f>
        <v>1e-12</v>
      </c>
      <c r="Q63" s="194">
        <f>Q$25</f>
        <v>1e-12</v>
      </c>
      <c r="R63" s="194">
        <f>R$25</f>
        <v>1e-12</v>
      </c>
      <c r="S63" s="194">
        <f>S$25</f>
        <v>1e-12</v>
      </c>
      <c r="T63" s="194">
        <f>T$25</f>
        <v>2025</v>
      </c>
      <c r="U63" s="194">
        <f>U$25</f>
        <v>1e-12</v>
      </c>
      <c r="V63" s="194">
        <f>V$25</f>
        <v>1e-12</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4">F30/F28</f>
        <v>0.42962254809908323</v>
      </c>
      <c r="G66" s="377">
        <f>G30/G28</f>
        <v>0.44261672782487665</v>
      </c>
      <c r="H66" s="377">
        <f>H30/H28</f>
        <v>0.44516302553883397</v>
      </c>
      <c r="I66" s="377">
        <f>I30/I28</f>
        <v>0.4517084180652082</v>
      </c>
      <c r="J66" s="378">
        <f>J30/J28</f>
        <v>0.4413112957720756</v>
      </c>
      <c r="K66" s="377">
        <f>K30/K28</f>
        <v>0.4587497386577462</v>
      </c>
      <c r="L66" s="377">
        <f>L30/L28</f>
        <v>0.46578074554009236</v>
      </c>
      <c r="M66" s="377">
        <f>M30/M28</f>
        <v>0.462571551814589</v>
      </c>
      <c r="N66" s="377">
        <f>N30/N28</f>
        <v>0.4622247972190035</v>
      </c>
      <c r="O66" s="378">
        <f>O30/O28</f>
        <v>0.4620634981523393</v>
      </c>
      <c r="P66" s="377">
        <f>P30/P28</f>
        <v>0.8941110217216411</v>
      </c>
      <c r="Q66" s="377">
        <f>Q30/Q28</f>
        <v>0.8112606046623811</v>
      </c>
      <c r="R66" s="377">
        <f>R30/R28</f>
        <v>0.8403909141179974</v>
      </c>
      <c r="S66" s="377">
        <f>S30/S28</f>
        <v>0.47177600374758455</v>
      </c>
      <c r="T66" s="378">
        <f>T30/T28</f>
        <v>0.7590019247358595</v>
      </c>
      <c r="U66" s="377">
        <f>U30/U28</f>
        <v>0.8866690781602159</v>
      </c>
      <c r="V66" s="377">
        <f>V30/V28</f>
        <v>0.8357857245646856</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75">F32/F28</f>
        <v>-0.056395855028424126</v>
      </c>
      <c r="G67" s="377">
        <f>G32/G28</f>
        <v>-0.0653865620650386</v>
      </c>
      <c r="H67" s="377">
        <f>H32/H28</f>
        <v>-0.07302223797938799</v>
      </c>
      <c r="I67" s="377">
        <f>I32/I28</f>
        <v>-0.06872779279983911</v>
      </c>
      <c r="J67" s="378">
        <f>J32/J28</f>
        <v>-0.06504820172978332</v>
      </c>
      <c r="K67" s="377">
        <f>K32/K28</f>
        <v>-0.0567509931005645</v>
      </c>
      <c r="L67" s="377">
        <f>L32/L28</f>
        <v>-0.07127037122739745</v>
      </c>
      <c r="M67" s="377">
        <f>M32/M28</f>
        <v>-0.07367942455436773</v>
      </c>
      <c r="N67" s="377">
        <f>N32/N28</f>
        <v>-0.06871378910776361</v>
      </c>
      <c r="O67" s="378">
        <f>O32/O28</f>
        <v>-0.06673827151022287</v>
      </c>
      <c r="P67" s="377">
        <f>P32/P28</f>
        <v>-0.03375703942075624</v>
      </c>
      <c r="Q67" s="377">
        <f>Q32/Q28</f>
        <v>-0.052643169496324416</v>
      </c>
      <c r="R67" s="377">
        <f>R32/R28</f>
        <v>-0.05072525415798205</v>
      </c>
      <c r="S67" s="377">
        <f>S32/S28</f>
        <v>-0.06878379169675795</v>
      </c>
      <c r="T67" s="378">
        <f>T32/T28</f>
        <v>-0.05054293891066198</v>
      </c>
      <c r="U67" s="377">
        <f>U32/U28</f>
        <v>-0.05211608558947105</v>
      </c>
      <c r="V67" s="377">
        <f>V32/V28</f>
        <v>-0.042209310692185927</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76">F33/F28</f>
        <v>-0.06580227734435017</v>
      </c>
      <c r="G68" s="377">
        <f>G33/G28</f>
        <v>-0.07863047787759922</v>
      </c>
      <c r="H68" s="377">
        <f>H33/H28</f>
        <v>-0.09098133183368583</v>
      </c>
      <c r="I68" s="377">
        <f>I33/I28</f>
        <v>-0.08164428255380009</v>
      </c>
      <c r="J68" s="378">
        <f>J33/J28</f>
        <v>-0.07804897139204509</v>
      </c>
      <c r="K68" s="377">
        <f>K33/K28</f>
        <v>-0.06436127953167468</v>
      </c>
      <c r="L68" s="377">
        <f>L33/L28</f>
        <v>-0.08708252068802133</v>
      </c>
      <c r="M68" s="377">
        <f>M33/M28</f>
        <v>-0.09333504319339683</v>
      </c>
      <c r="N68" s="377">
        <f>N33/N28</f>
        <v>-0.08179711366269883</v>
      </c>
      <c r="O68" s="378">
        <f>O33/O28</f>
        <v>-0.08022299794136074</v>
      </c>
      <c r="P68" s="377">
        <f>P33/P28</f>
        <v>-0.06651649235720032</v>
      </c>
      <c r="Q68" s="377">
        <f>Q33/Q28</f>
        <v>-0.0896611751381621</v>
      </c>
      <c r="R68" s="377">
        <f>R33/R28</f>
        <v>-0.09428304053766642</v>
      </c>
      <c r="S68" s="377">
        <f>S33/S28</f>
        <v>-0.08652626236995686</v>
      </c>
      <c r="T68" s="378">
        <f>T33/T28</f>
        <v>-0.08302075398703868</v>
      </c>
      <c r="U68" s="377">
        <f>U33/U28</f>
        <v>-0.07573249116558613</v>
      </c>
      <c r="V68" s="377">
        <f>V33/V28</f>
        <v>-0.10270362642106778</v>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77">F35/F28</f>
        <v>1e-12</v>
      </c>
      <c r="G69" s="377">
        <f>G35/G28</f>
        <v>1e-12</v>
      </c>
      <c r="H69" s="377">
        <f>H35/H28</f>
        <v>1e-12</v>
      </c>
      <c r="I69" s="377">
        <f>I35/I28</f>
        <v>1e-12</v>
      </c>
      <c r="J69" s="378">
        <f>J35/J28</f>
        <v>1e-12</v>
      </c>
      <c r="K69" s="377">
        <f>K35/K28</f>
        <v>1e-12</v>
      </c>
      <c r="L69" s="377">
        <f>L35/L28</f>
        <v>1e-12</v>
      </c>
      <c r="M69" s="377">
        <f>M35/M28</f>
        <v>1e-12</v>
      </c>
      <c r="N69" s="377">
        <f>N35/N28</f>
        <v>1e-12</v>
      </c>
      <c r="O69" s="378">
        <f>O35/O28</f>
        <v>1e-12</v>
      </c>
      <c r="P69" s="377">
        <f>P35/P28</f>
        <v>-0.4466291230893001</v>
      </c>
      <c r="Q69" s="377">
        <f>Q35/Q28</f>
        <v>-0.3552365272286832</v>
      </c>
      <c r="R69" s="377">
        <f>R35/R28</f>
        <v>-0.3917010506614488</v>
      </c>
      <c r="S69" s="377">
        <f>S35/S28</f>
        <v>1e-12</v>
      </c>
      <c r="T69" s="378">
        <f>T35/T28</f>
        <v>-0.30330809470373243</v>
      </c>
      <c r="U69" s="377">
        <f>U35/U28</f>
        <v>-0.4050822226550544</v>
      </c>
      <c r="V69" s="377">
        <f>V35/V28</f>
        <v>-0.368119513599079</v>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78">F41/F28</f>
        <v>0.005206821790122403</v>
      </c>
      <c r="G70" s="377">
        <f>G41/G28</f>
        <v>0.010481251845290819</v>
      </c>
      <c r="H70" s="377">
        <f>H41/H28</f>
        <v>0.008961208846290206</v>
      </c>
      <c r="I70" s="377">
        <f>I41/I28</f>
        <v>0.011519810498558627</v>
      </c>
      <c r="J70" s="378">
        <f>J41/J28</f>
        <v>0.00878719490718395</v>
      </c>
      <c r="K70" s="377">
        <f>K41/K28</f>
        <v>0.0009366506376750993</v>
      </c>
      <c r="L70" s="377">
        <f>L41/L28</f>
        <v>0.003603186671514991</v>
      </c>
      <c r="M70" s="377">
        <f>M41/M28</f>
        <v>0.0037189456381081175</v>
      </c>
      <c r="N70" s="377">
        <f>N41/N28</f>
        <v>0.002127883703781734</v>
      </c>
      <c r="O70" s="378">
        <f>O41/O28</f>
        <v>0.00245502320764126</v>
      </c>
      <c r="P70" s="377">
        <f>P41/P28</f>
        <v>-0.00034593724859211585</v>
      </c>
      <c r="Q70" s="377">
        <f>Q41/Q28</f>
        <v>-0.000629201229039734</v>
      </c>
      <c r="R70" s="377">
        <f>R41/R28</f>
        <v>0.0005317112595176316</v>
      </c>
      <c r="S70" s="377">
        <f>S41/S28</f>
        <v>0.005670173520972811</v>
      </c>
      <c r="T70" s="378">
        <f>T41/T28</f>
        <v>0.0012687397425515607</v>
      </c>
      <c r="U70" s="377">
        <f>U41/U28</f>
        <v>0.0025111995325412507</v>
      </c>
      <c r="V70" s="377">
        <f>V41/V28</f>
        <v>0.0014750323787595338</v>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79">-F44/F42</f>
        <v>0.15790360160570419</v>
      </c>
      <c r="G71" s="377">
        <f>-G44/G42</f>
        <v>0.14875625396377987</v>
      </c>
      <c r="H71" s="377">
        <f>-H44/H42</f>
        <v>0.12545638499098227</v>
      </c>
      <c r="I71" s="377">
        <f>-I44/I42</f>
        <v>0.14971479368842136</v>
      </c>
      <c r="J71" s="378">
        <f>-J44/J42</f>
        <v>0.14719174228036858</v>
      </c>
      <c r="K71" s="377">
        <f>-K44/K42</f>
        <v>0.15889194752374575</v>
      </c>
      <c r="L71" s="377">
        <f>-L44/L42</f>
        <v>0.1576021099151757</v>
      </c>
      <c r="M71" s="377">
        <f>-M44/M42</f>
        <v>0.1587040087863811</v>
      </c>
      <c r="N71" s="377">
        <f>-N44/N42</f>
        <v>0.5023302938196555</v>
      </c>
      <c r="O71" s="378">
        <f>-O44/O42</f>
        <v>0.24091185164189982</v>
      </c>
      <c r="P71" s="377">
        <f>-P44/P42</f>
        <v>0.14686267142588766</v>
      </c>
      <c r="Q71" s="377">
        <f>-Q44/Q42</f>
        <v>0.15455475946775846</v>
      </c>
      <c r="R71" s="377">
        <f>-R44/R42</f>
        <v>0.16399700331775535</v>
      </c>
      <c r="S71" s="377">
        <f>-S44/S42</f>
        <v>0.16272405804170223</v>
      </c>
      <c r="T71" s="378">
        <f>-T44/T42</f>
        <v>0.15610002335586043</v>
      </c>
      <c r="U71" s="377">
        <f>-U44/U42</f>
        <v>0.17460099603937101</v>
      </c>
      <c r="V71" s="377">
        <f>-V44/V42</f>
        <v>0.32188206401920016</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F$25</f>
        <v>1e-12</v>
      </c>
      <c r="G73" s="63" t="str">
        <f t="shared" ref="G73:AG73" si="80">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81">-(Z194+Z208)</f>
        <v>331.86891850000006</v>
      </c>
      <c r="AA76" s="359">
        <f>-(AA194+AA208)</f>
        <v>336.85146518625004</v>
      </c>
      <c r="AB76" s="359">
        <f>-(AB194+AB208)</f>
        <v>342.23237867969067</v>
      </c>
      <c r="AC76" s="359">
        <f>-(AC194+AC208)</f>
        <v>343.91086566405204</v>
      </c>
      <c r="AD76" s="162">
        <f>SUM(Z76:AC76)</f>
        <v>1354.863628029993</v>
      </c>
      <c r="AE76" s="162">
        <f t="shared" ref="AE76:AG76" si="82">-(AE194+AE208)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83">Z246</f>
        <v>60.534</v>
      </c>
      <c r="AA77" s="359">
        <f>AA246</f>
        <v>69.00876</v>
      </c>
      <c r="AB77" s="359">
        <f>AB246</f>
        <v>60.7277088</v>
      </c>
      <c r="AC77" s="359">
        <f>AC246</f>
        <v>57.69132336</v>
      </c>
      <c r="AD77" s="162">
        <f>SUM(Z77:AC77)</f>
        <v>247.96179216000002</v>
      </c>
      <c r="AE77" s="162">
        <f t="shared" ref="AE77:AG77" si="84">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85">Z174</f>
        <v>-3218.803117167892</v>
      </c>
      <c r="AA78" s="359">
        <f>AA174</f>
        <v>1362.6979720093877</v>
      </c>
      <c r="AB78" s="359">
        <f>AB174</f>
        <v>1373.9746146900507</v>
      </c>
      <c r="AC78" s="359">
        <f>AC174</f>
        <v>-901.3647696096486</v>
      </c>
      <c r="AD78" s="162">
        <f>SUM(Z78:AC78)</f>
        <v>-1383.4953000781024</v>
      </c>
      <c r="AE78" s="162">
        <f t="shared" ref="AE78:AG78" si="86">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87">Z228</f>
        <v>-114.77040000000034</v>
      </c>
      <c r="AA79" s="356">
        <f>AA228</f>
        <v>-117.06580800000029</v>
      </c>
      <c r="AB79" s="356">
        <f>AB228</f>
        <v>-119.40712416000042</v>
      </c>
      <c r="AC79" s="356">
        <f>AC228</f>
        <v>-121.7952666432002</v>
      </c>
      <c r="AD79" s="355">
        <f>SUM(Z79:AC79)</f>
        <v>-473.03859880320124</v>
      </c>
      <c r="AE79" s="355">
        <f t="shared" ref="AE79:AG79" si="88">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89">SUM(U82:X82)</f>
        <v>-370.1257</v>
      </c>
      <c r="Z82" s="359">
        <f t="shared" ref="Z82:AC82" si="90">-Z193</f>
        <v>-616.585872</v>
      </c>
      <c r="AA82" s="359">
        <f>-AA193</f>
        <v>-644.3322362399999</v>
      </c>
      <c r="AB82" s="359">
        <f>-AB193</f>
        <v>-438.14592064320004</v>
      </c>
      <c r="AC82" s="359">
        <f>-AC193</f>
        <v>-416.23862461104</v>
      </c>
      <c r="AD82" s="162">
        <f t="shared" ref="AD82:AD85" si="91">SUM(Z82:AC82)</f>
        <v>-2115.30265349424</v>
      </c>
      <c r="AE82" s="162">
        <f t="shared" ref="AE82:AG82" si="92">-AE193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93">-Z207</f>
        <v>0</v>
      </c>
      <c r="AA83" s="359">
        <f>-AA207</f>
      </c>
      <c r="AB83" s="359">
        <f>-AB207</f>
      </c>
      <c r="AC83" s="359">
        <f>-AC207</f>
      </c>
      <c r="AD83" s="162">
        <f>SUM(Z83:AC83)</f>
      </c>
      <c r="AE83" s="162">
        <f t="shared" ref="AE83:AG83" si="94">-AE207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95">SUM(Z82:Z84)</f>
        <v>-616.585872</v>
      </c>
      <c r="AA85" s="281">
        <f>SUM(AA82:AA84)</f>
        <v>-644.3322362399999</v>
      </c>
      <c r="AB85" s="281">
        <f>SUM(AB82:AB84)</f>
        <v>-438.14592064320004</v>
      </c>
      <c r="AC85" s="281">
        <f>SUM(AC82:AC84)</f>
        <v>-416.23862461104</v>
      </c>
      <c r="AD85" s="282">
        <f>SUM(Z85:AC85)</f>
        <v>-2115.30265349424</v>
      </c>
      <c r="AE85" s="282">
        <f t="shared" ref="AE85:AG85" si="96">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7">X308</f>
        <v>0</v>
      </c>
      <c r="Y90" s="162">
        <f>SUM(U90:X90)</f>
      </c>
      <c r="Z90" s="359">
        <f t="shared" ref="Z90:AC90" si="98">Z308</f>
        <v>0</v>
      </c>
      <c r="AA90" s="359">
        <f>AA308</f>
      </c>
      <c r="AB90" s="359">
        <f>AB308</f>
      </c>
      <c r="AC90" s="359">
        <f>AC308</f>
      </c>
      <c r="AD90" s="162">
        <f>SUM(Z90:AC90)</f>
      </c>
      <c r="AE90" s="162">
        <f t="shared" ref="AE90:AG90" si="99">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00">Z309</f>
        <v>-500</v>
      </c>
      <c r="AA91" s="359">
        <f>AA309</f>
        <v>-500</v>
      </c>
      <c r="AB91" s="359">
        <f>AB309</f>
        <v>-500</v>
      </c>
      <c r="AC91" s="359">
        <f>AC309</f>
        <v>-500</v>
      </c>
      <c r="AD91" s="162">
        <f>SUM(Z91:AC91)</f>
        <v>-2000</v>
      </c>
      <c r="AE91" s="162">
        <f t="shared" ref="AE91:AG91" si="101">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02">Z245</f>
        <v>0</v>
      </c>
      <c r="AA92" s="359">
        <f>AA245</f>
      </c>
      <c r="AB92" s="359">
        <f>AB245</f>
      </c>
      <c r="AC92" s="359">
        <f>AC245</f>
      </c>
      <c r="AD92" s="162">
        <f>SUM(Z92:AC92)</f>
      </c>
      <c r="AE92" s="162">
        <f t="shared" ref="AE92:AG92" si="103">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04">-Z241</f>
        <v>-500</v>
      </c>
      <c r="AA93" s="359">
        <f>-AA241</f>
        <v>-500</v>
      </c>
      <c r="AB93" s="359">
        <f>-AB241</f>
        <v>-500</v>
      </c>
      <c r="AC93" s="359">
        <f>-AC241</f>
        <v>-500</v>
      </c>
      <c r="AD93" s="162">
        <f>SUM(Z93:AC93)</f>
        <v>-2000</v>
      </c>
      <c r="AE93" s="162">
        <f t="shared" ref="AE93:AG93" si="105">-AE241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06">-Z267</f>
        <v>-505.99999999999994</v>
      </c>
      <c r="AA94" s="359">
        <f>-AA267</f>
        <v>-494.49999999999994</v>
      </c>
      <c r="AB94" s="359">
        <f>-AB267</f>
        <v>-647.4499999999999</v>
      </c>
      <c r="AC94" s="359">
        <f>-AC267</f>
        <v>-597.7699999999999</v>
      </c>
      <c r="AD94" s="162">
        <f>SUM(Z94:AC94)</f>
        <v>-2245.72</v>
      </c>
      <c r="AE94" s="162">
        <f t="shared" ref="AE94:AG94" si="107">-AE267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08">SUM(U98:X98)</f>
        <v>0</v>
      </c>
      <c r="Z98" s="361">
        <f>Drivers!Z108</f>
        <v>0</v>
      </c>
      <c r="AA98" s="361">
        <f>Drivers!AA108</f>
        <v>0</v>
      </c>
      <c r="AB98" s="361">
        <f>Drivers!AB108</f>
        <v>0</v>
      </c>
      <c r="AC98" s="361">
        <f>Drivers!AC108</f>
        <v>0</v>
      </c>
      <c r="AD98" s="162">
        <f t="shared" ref="AD98:AD100" si="109">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0">F45</f>
        <v>29998</v>
      </c>
      <c r="G108" s="384">
        <f>G45</f>
        <v>24160</v>
      </c>
      <c r="H108" s="384">
        <f>H45</f>
        <v>19881</v>
      </c>
      <c r="I108" s="384">
        <f>I45</f>
        <v>22956</v>
      </c>
      <c r="J108" s="162">
        <f>J45</f>
        <v>96995</v>
      </c>
      <c r="K108" s="384">
        <f>K45</f>
        <v>33916</v>
      </c>
      <c r="L108" s="384">
        <f>L45</f>
        <v>23636</v>
      </c>
      <c r="M108" s="384">
        <f>M45</f>
        <v>21448</v>
      </c>
      <c r="N108" s="384">
        <f>N45</f>
        <v>14736</v>
      </c>
      <c r="O108" s="162">
        <f>O45</f>
        <v>93736</v>
      </c>
      <c r="P108" s="384">
        <f>P45</f>
        <v>36330</v>
      </c>
      <c r="Q108" s="384">
        <f>Q45</f>
        <v>24780</v>
      </c>
      <c r="R108" s="384">
        <f>R45</f>
        <v>23434</v>
      </c>
      <c r="S108" s="384">
        <f>S45</f>
        <v>27466</v>
      </c>
      <c r="T108" s="162">
        <f>T45</f>
        <v>112010</v>
      </c>
      <c r="U108" s="384">
        <f>U45</f>
        <v>42097</v>
      </c>
      <c r="V108" s="384">
        <f>V45</f>
        <v>24299</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11">-F194+-F208</f>
        <v>1e-12</v>
      </c>
      <c r="G109" s="384">
        <f>-G194+-G208</f>
        <v>1e-12</v>
      </c>
      <c r="H109" s="384">
        <f>-H194+-H208</f>
        <v>1e-12</v>
      </c>
      <c r="I109" s="384">
        <f>-I194+-I208</f>
        <v>1e-12</v>
      </c>
      <c r="J109" s="162">
        <f t="shared" ref="J109:J111" si="112">SUM(F109:I109)</f>
        <v>1477</v>
      </c>
      <c r="K109" s="384">
        <f t="shared" ref="K109:N109" si="113">-K194+-K208</f>
        <v>1e-12</v>
      </c>
      <c r="L109" s="384">
        <f>-L194+-L208</f>
        <v>1e-12</v>
      </c>
      <c r="M109" s="384">
        <f>-M194+-M208</f>
        <v>1e-12</v>
      </c>
      <c r="N109" s="384">
        <f>-N194+-N208</f>
        <v>1e-12</v>
      </c>
      <c r="O109" s="162">
        <f t="shared" ref="O109:O111" si="114">SUM(K109:N109)</f>
        <v>1262</v>
      </c>
      <c r="P109" s="384">
        <f t="shared" ref="P109:S109" si="115">-P194+-P208</f>
        <v>326</v>
      </c>
      <c r="Q109" s="384">
        <f>-Q194+-Q208</f>
        <v>327</v>
      </c>
      <c r="R109" s="384">
        <f>-R194+-R208</f>
        <v>355</v>
      </c>
      <c r="S109" s="384">
        <f>-S194+-S208</f>
        <v>1e-12</v>
      </c>
      <c r="T109" s="162">
        <f t="shared" ref="T109:T111" si="116">SUM(P109:S109)</f>
        <v>1008.000000000001</v>
      </c>
      <c r="U109" s="384">
        <f t="shared" ref="U109:X109" si="117">-U194+-U208</f>
        <v>1e-12</v>
      </c>
      <c r="V109" s="384">
        <f>-V194+-V208</f>
        <v>1e-12</v>
      </c>
      <c r="W109" s="384">
        <f>-W194+-W208</f>
        <v>425</v>
      </c>
      <c r="X109" s="359">
        <f>-X194+-X208</f>
        <v>331.18750000000006</v>
      </c>
      <c r="Y109" s="162">
        <f t="shared" ref="Y109:Y111" si="118">SUM(U109:X109)</f>
        <v>1556.1875</v>
      </c>
      <c r="Z109" s="359">
        <f t="shared" ref="Z109:AC109" si="119">-Z194+-Z208</f>
        <v>331.86891850000006</v>
      </c>
      <c r="AA109" s="359">
        <f>-AA194+-AA208</f>
        <v>336.85146518625004</v>
      </c>
      <c r="AB109" s="359">
        <f>-AB194+-AB208</f>
        <v>342.23237867969067</v>
      </c>
      <c r="AC109" s="359">
        <f>-AC194+-AC208</f>
        <v>343.91086566405204</v>
      </c>
      <c r="AD109" s="162">
        <f t="shared" ref="AD109:AD111" si="120">SUM(Z109:AC109)</f>
        <v>1354.863628029993</v>
      </c>
      <c r="AE109" s="162">
        <f t="shared" ref="AE109:AG109" si="121">-AE194+-AE208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22">F178</f>
        <v>1e-12</v>
      </c>
      <c r="G110" s="384">
        <f>G178</f>
        <v>9819</v>
      </c>
      <c r="H110" s="384">
        <f>H178</f>
        <v>-2272</v>
      </c>
      <c r="I110" s="384">
        <f>I178</f>
        <v>-6973</v>
      </c>
      <c r="J110" s="162">
        <f>SUM(F110:I110)</f>
        <v>574.0000000000018</v>
      </c>
      <c r="K110" s="384">
        <f t="shared" ref="K110:N110" si="123">K178</f>
        <v>1669</v>
      </c>
      <c r="L110" s="384">
        <f>L178</f>
        <v>-10757</v>
      </c>
      <c r="M110" s="384">
        <f>M178</f>
        <v>930</v>
      </c>
      <c r="N110" s="384">
        <f>N178</f>
        <v>9650</v>
      </c>
      <c r="O110" s="162">
        <f>SUM(K110:N110)</f>
        <v>1492</v>
      </c>
      <c r="P110" s="384">
        <f t="shared" ref="P110:S110" si="124">P178</f>
        <v>-2904</v>
      </c>
      <c r="Q110" s="384">
        <f>Q178</f>
        <v>-3639</v>
      </c>
      <c r="R110" s="384">
        <f>R178</f>
        <v>-4829</v>
      </c>
      <c r="S110" s="384">
        <f>S178</f>
        <v>7473</v>
      </c>
      <c r="T110" s="162">
        <f>SUM(P110:S110)</f>
        <v>-3899</v>
      </c>
      <c r="U110" s="384">
        <f t="shared" ref="U110:X110" si="125">U178</f>
        <v>426</v>
      </c>
      <c r="V110" s="384">
        <f>V178</f>
        <v>-4528</v>
      </c>
      <c r="W110" s="384">
        <f>W178</f>
        <v>-40</v>
      </c>
      <c r="X110" s="359">
        <f>X178</f>
        <v>-1855.091793478261</v>
      </c>
      <c r="Y110" s="162">
        <f>SUM(U110:X110)</f>
        <v>-1897.091793478261</v>
      </c>
      <c r="Z110" s="359">
        <f t="shared" ref="Z110:AC110" si="126">Z178</f>
        <v>-1777.3159203678952</v>
      </c>
      <c r="AA110" s="359">
        <f>AA178</f>
        <v>177.7483814153893</v>
      </c>
      <c r="AB110" s="359">
        <f>AB178</f>
        <v>916.7916052488508</v>
      </c>
      <c r="AC110" s="359">
        <f>AC178</f>
        <v>-168.43685088664824</v>
      </c>
      <c r="AD110" s="162">
        <f>SUM(Z110:AC110)</f>
        <v>-851.2127845903033</v>
      </c>
      <c r="AE110" s="162">
        <f t="shared" ref="AE110:AG110" si="127">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28">-F193</f>
        <v>-224</v>
      </c>
      <c r="G111" s="372">
        <f>-G193</f>
        <v>-319</v>
      </c>
      <c r="H111" s="372">
        <f>-H193</f>
        <v>-303</v>
      </c>
      <c r="I111" s="372">
        <f>-I193</f>
        <v>-328</v>
      </c>
      <c r="J111" s="355">
        <f>SUM(F111:I111)</f>
        <v>-1174</v>
      </c>
      <c r="K111" s="372">
        <f t="shared" ref="K111:N111" si="129">-K193</f>
        <v>-205</v>
      </c>
      <c r="L111" s="372">
        <f>-L193</f>
        <v>-321</v>
      </c>
      <c r="M111" s="372">
        <f>-M193</f>
        <v>-401</v>
      </c>
      <c r="N111" s="372">
        <f>-N193</f>
        <v>-557</v>
      </c>
      <c r="O111" s="355">
        <f>SUM(K111:N111)</f>
        <v>-1484</v>
      </c>
      <c r="P111" s="372">
        <f t="shared" ref="P111:S111" si="130">-P193</f>
        <v>-328</v>
      </c>
      <c r="Q111" s="372">
        <f>-Q193</f>
        <v>-382</v>
      </c>
      <c r="R111" s="372">
        <f>-R193</f>
        <v>-462</v>
      </c>
      <c r="S111" s="372">
        <f>-S193</f>
        <v>-557</v>
      </c>
      <c r="T111" s="355">
        <f>SUM(P111:S111)</f>
        <v>-1729</v>
      </c>
      <c r="U111" s="372">
        <f t="shared" ref="U111:X111" si="131">-U193</f>
        <v>-461</v>
      </c>
      <c r="V111" s="372">
        <f>-V193</f>
        <v>-385</v>
      </c>
      <c r="W111" s="372">
        <f>-W193</f>
        <v>-410</v>
      </c>
      <c r="X111" s="356">
        <f>-X193</f>
        <v>-370.1257</v>
      </c>
      <c r="Y111" s="355">
        <f>SUM(U111:X111)</f>
        <v>-1626.1257</v>
      </c>
      <c r="Z111" s="356">
        <f t="shared" ref="Z111:AC111" si="132">-Z193</f>
        <v>-616.585872</v>
      </c>
      <c r="AA111" s="356">
        <f>-AA193</f>
        <v>-644.3322362399999</v>
      </c>
      <c r="AB111" s="356">
        <f>-AB193</f>
        <v>-438.14592064320004</v>
      </c>
      <c r="AC111" s="356">
        <f>-AC193</f>
        <v>-416.23862461104</v>
      </c>
      <c r="AD111" s="355">
        <f>SUM(Z111:AC111)</f>
        <v>-2115.30265349424</v>
      </c>
      <c r="AE111" s="355">
        <f t="shared" ref="AE111:AG111" si="133">-AE193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34">SUM(F108:F111)</f>
        <v>29774</v>
      </c>
      <c r="G112" s="353">
        <f>SUM(G108:G111)</f>
        <v>33660</v>
      </c>
      <c r="H112" s="353">
        <f>SUM(H108:H111)</f>
        <v>17306</v>
      </c>
      <c r="I112" s="353">
        <f>SUM(I108:I111)</f>
        <v>15655</v>
      </c>
      <c r="J112" s="282">
        <f>SUM(J108:J111)</f>
        <v>97872</v>
      </c>
      <c r="K112" s="353">
        <f>SUM(K108:K111)</f>
        <v>35380</v>
      </c>
      <c r="L112" s="353">
        <f>SUM(L108:L111)</f>
        <v>12558</v>
      </c>
      <c r="M112" s="353">
        <f>SUM(M108:M111)</f>
        <v>21977</v>
      </c>
      <c r="N112" s="353">
        <f>SUM(N108:N111)</f>
        <v>23829</v>
      </c>
      <c r="O112" s="282">
        <f>SUM(O108:O111)</f>
        <v>95006</v>
      </c>
      <c r="P112" s="353">
        <f>SUM(P108:P111)</f>
        <v>33424</v>
      </c>
      <c r="Q112" s="353">
        <f>SUM(Q108:Q111)</f>
        <v>21086</v>
      </c>
      <c r="R112" s="353">
        <f>SUM(R108:R111)</f>
        <v>18498</v>
      </c>
      <c r="S112" s="353">
        <f>SUM(S108:S111)</f>
        <v>34382</v>
      </c>
      <c r="T112" s="282">
        <f>SUM(T108:T111)</f>
        <v>107390</v>
      </c>
      <c r="U112" s="353">
        <f>SUM(U108:U111)</f>
        <v>42062</v>
      </c>
      <c r="V112" s="353">
        <f>SUM(V108:V111)</f>
        <v>19386</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5">F112/F28</f>
        <v>0.25414411799853187</v>
      </c>
      <c r="G114" s="397">
        <f>G112/G28</f>
        <v>0.35492850816145766</v>
      </c>
      <c r="H114" s="397">
        <f>H112/H28</f>
        <v>0.21157255156057067</v>
      </c>
      <c r="I114" s="397">
        <f>I112/I28</f>
        <v>0.174920109946591</v>
      </c>
      <c r="J114" s="398">
        <f>J112/J28</f>
        <v>0.25535045723156397</v>
      </c>
      <c r="K114" s="397">
        <f>K112/K28</f>
        <v>0.2958812460798662</v>
      </c>
      <c r="L114" s="397">
        <f>L112/L28</f>
        <v>0.13837559088955736</v>
      </c>
      <c r="M114" s="397">
        <f>M112/M28</f>
        <v>0.2562108723783765</v>
      </c>
      <c r="N114" s="397">
        <f>N112/N28</f>
        <v>0.25101653850205413</v>
      </c>
      <c r="O114" s="398">
        <f>O112/O28</f>
        <v>0.24296034881788076</v>
      </c>
      <c r="P114" s="397">
        <f>P112/P28</f>
        <v>0.26889782783588095</v>
      </c>
      <c r="Q114" s="397">
        <f>Q112/Q28</f>
        <v>0.22112228525886388</v>
      </c>
      <c r="R114" s="397">
        <f>R112/R28</f>
        <v>0.19671189757114296</v>
      </c>
      <c r="S114" s="397">
        <f>S112/S28</f>
        <v>0.335545449222181</v>
      </c>
      <c r="T114" s="398">
        <f>T112/T28</f>
        <v>0.25804916847085624</v>
      </c>
      <c r="U114" s="397">
        <f>U112/U28</f>
        <v>0.29259300481371214</v>
      </c>
      <c r="V114" s="397">
        <f>V112/V28</f>
        <v>0.17435962008922148</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36">F112/F282</f>
        <v>36.089696969696966</v>
      </c>
      <c r="G115" s="370">
        <f>G112/G282</f>
        <v>41.40221402214022</v>
      </c>
      <c r="H115" s="370">
        <f>H112/H282</f>
        <v>21.471464019851116</v>
      </c>
      <c r="I115" s="370">
        <f>I112/I282</f>
        <v>19.544319600499374</v>
      </c>
      <c r="J115" s="127">
        <f>J112/J282</f>
        <v>122.187265917603</v>
      </c>
      <c r="K115" s="370">
        <f>K112/K282</f>
        <v>42.88484848484848</v>
      </c>
      <c r="L115" s="370">
        <f>L112/L282</f>
        <v>15.44649446494465</v>
      </c>
      <c r="M115" s="370">
        <f>M112/M282</f>
        <v>27.266749379652605</v>
      </c>
      <c r="N115" s="370">
        <f>N112/N282</f>
        <v>29.749063670411985</v>
      </c>
      <c r="O115" s="127">
        <f>O112/O282</f>
        <v>118.60923845193508</v>
      </c>
      <c r="P115" s="370">
        <f>P112/P282</f>
        <v>44.27019867549669</v>
      </c>
      <c r="Q115" s="370">
        <f>Q112/Q282</f>
        <v>28.039893617021278</v>
      </c>
      <c r="R115" s="370">
        <f>R112/R282</f>
        <v>24.59840425531915</v>
      </c>
      <c r="S115" s="370">
        <f>S112/S282</f>
        <v>45.96524064171123</v>
      </c>
      <c r="T115" s="127">
        <f>T112/T282</f>
        <v>143.56951871657753</v>
      </c>
      <c r="U115" s="370">
        <f>U112/U282</f>
        <v>58.58217270194986</v>
      </c>
      <c r="V115" s="370">
        <f>V112/V282</f>
        <v>27.49787234042553</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37">F115*4/F239</f>
        <v>1.6789810174318196</v>
      </c>
      <c r="G116" s="397">
        <f>G115*4/G239</f>
        <v>1.8040180401804018</v>
      </c>
      <c r="H116" s="397">
        <f>H115*4/H239</f>
        <v>0.8977302820048548</v>
      </c>
      <c r="I116" s="397">
        <f>I115*4/I239</f>
        <v>0.7025908007728721</v>
      </c>
      <c r="J116" s="398">
        <f>J115/J239</f>
        <v>1.2997193102158096</v>
      </c>
      <c r="K116" s="397">
        <f t="shared" ref="K116:N116" si="138">K115*4/K239</f>
        <v>1.6760077571020415</v>
      </c>
      <c r="L116" s="397">
        <f>L115*4/L239</f>
        <v>0.6022612131765143</v>
      </c>
      <c r="M116" s="397">
        <f>M115*4/M239</f>
        <v>1.006060303649206</v>
      </c>
      <c r="N116" s="397">
        <f>N115*4/N239</f>
        <v>1.1293181615416905</v>
      </c>
      <c r="O116" s="398">
        <f>O115/O239</f>
        <v>1.139321738193233</v>
      </c>
      <c r="P116" s="397">
        <f t="shared" ref="P116:S116" si="139">P115*4/P239</f>
        <v>1.7926786262602423</v>
      </c>
      <c r="Q116" s="397">
        <f>Q115*4/Q239</f>
        <v>1.1354482128779622</v>
      </c>
      <c r="R116" s="397">
        <f>R115*4/R239</f>
        <v>0.5813788985063522</v>
      </c>
      <c r="S116" s="397">
        <f>S115*4/S239</f>
        <v>0.8775397884552851</v>
      </c>
      <c r="T116" s="398">
        <f>T115/T239</f>
        <v>0.8529520760814095</v>
      </c>
      <c r="U116" s="397">
        <f t="shared" ref="U116:X116" si="140">U115*4/U239</f>
        <v>1.2861069747958258</v>
      </c>
      <c r="V116" s="397">
        <f>V115*4/V239</f>
        <v>0.5761230531168956</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F$25</f>
        <v>1e-12</v>
      </c>
      <c r="G118" s="63" t="str">
        <f t="shared" ref="G118:AG118" si="141">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20535</v>
      </c>
      <c r="G120" s="392">
        <v>24687</v>
      </c>
      <c r="H120" s="392">
        <v>28408</v>
      </c>
      <c r="I120" s="392">
        <v>29965</v>
      </c>
      <c r="J120" s="282">
        <v>29965</v>
      </c>
      <c r="K120" s="392">
        <v>40760</v>
      </c>
      <c r="L120" s="392">
        <v>32695</v>
      </c>
      <c r="M120" s="392">
        <v>25565</v>
      </c>
      <c r="N120" s="392">
        <v>29943</v>
      </c>
      <c r="O120" s="282">
        <v>29943</v>
      </c>
      <c r="P120" s="392">
        <v>30299</v>
      </c>
      <c r="Q120" s="392">
        <v>28162</v>
      </c>
      <c r="R120" s="392">
        <v>36269</v>
      </c>
      <c r="S120" s="392">
        <v>35934</v>
      </c>
      <c r="T120" s="282">
        <v>35934</v>
      </c>
      <c r="U120" s="392">
        <v>45317</v>
      </c>
      <c r="V120" s="392">
        <v>45572</v>
      </c>
      <c r="W120" s="392">
        <f>6121+552</f>
        <v>6673</v>
      </c>
      <c r="X120" s="281">
        <f>X104</f>
      </c>
      <c r="Y120" s="282" t="str">
        <f t="shared" ref="Y120:Y124" si="142">X120</f>
        <v>#REF!</v>
      </c>
      <c r="Z120" s="281" t="str">
        <f t="shared" ref="Z120:AC120" si="143">Z104</f>
        <v>#REF!</v>
      </c>
      <c r="AA120" s="281">
        <f t="shared" si="143"/>
      </c>
      <c r="AB120" s="281">
        <f t="shared" si="143"/>
      </c>
      <c r="AC120" s="281">
        <f t="shared" si="143"/>
      </c>
      <c r="AD120" s="282" t="str">
        <f t="shared" ref="AD120:AD124" si="144">AC120</f>
        <v>#REF!</v>
      </c>
      <c r="AE120" s="282" t="str">
        <f t="shared" ref="AE120:AG120" si="145">AE104</f>
        <v>#REF!</v>
      </c>
      <c r="AF120" s="282">
        <f t="shared" si="145"/>
      </c>
      <c r="AG120" s="282">
        <f t="shared" si="145"/>
      </c>
      <c r="AH120" s="16"/>
      <c r="AI120" s="16"/>
      <c r="AJ120" s="16"/>
      <c r="AK120" s="16"/>
    </row>
    <row r="121" ht="13.5" customHeight="1" spans="1:37" x14ac:dyDescent="0.25">
      <c r="A121" s="264"/>
      <c r="B121" s="16"/>
      <c r="C121" s="16" t="s">
        <v>331</v>
      </c>
      <c r="D121" s="16"/>
      <c r="E121" s="16"/>
      <c r="F121" s="358">
        <v>23752</v>
      </c>
      <c r="G121" s="358">
        <v>17936</v>
      </c>
      <c r="H121" s="358">
        <v>19549</v>
      </c>
      <c r="I121" s="358">
        <v>29508</v>
      </c>
      <c r="J121" s="162">
        <v>29508</v>
      </c>
      <c r="K121" s="358">
        <v>23194</v>
      </c>
      <c r="L121" s="358">
        <v>21837</v>
      </c>
      <c r="M121" s="358">
        <v>22795</v>
      </c>
      <c r="N121" s="358">
        <v>33410</v>
      </c>
      <c r="O121" s="162">
        <v>33410</v>
      </c>
      <c r="P121" s="358">
        <v>29639</v>
      </c>
      <c r="Q121" s="358">
        <v>26136</v>
      </c>
      <c r="R121" s="358">
        <v>27557</v>
      </c>
      <c r="S121" s="358">
        <v>39777</v>
      </c>
      <c r="T121" s="162">
        <v>39777</v>
      </c>
      <c r="U121" s="358">
        <v>39921</v>
      </c>
      <c r="V121" s="358">
        <v>30339</v>
      </c>
      <c r="W121" s="358">
        <v>0</v>
      </c>
      <c r="X121" s="359">
        <f t="shared" ref="X121:X123" si="146">X162</f>
        <v>0</v>
      </c>
      <c r="Y121" s="162">
        <f t="shared" si="142"/>
        <v>0</v>
      </c>
      <c r="Z121" s="359">
        <f t="shared" ref="Z121:AC121" si="147">Z162</f>
        <v>0</v>
      </c>
      <c r="AA121" s="359">
        <f t="shared" si="147"/>
        <v>0</v>
      </c>
      <c r="AB121" s="359">
        <f t="shared" si="147"/>
        <v>0</v>
      </c>
      <c r="AC121" s="359">
        <f t="shared" si="147"/>
        <v>0</v>
      </c>
      <c r="AD121" s="162">
        <f t="shared" si="144"/>
        <v>0</v>
      </c>
      <c r="AE121" s="162">
        <f t="shared" ref="AE121:AG121" si="148">AE162</f>
        <v>0</v>
      </c>
      <c r="AF121" s="162">
        <f t="shared" si="148"/>
        <v>0</v>
      </c>
      <c r="AG121" s="162">
        <f t="shared" si="148"/>
        <v>0</v>
      </c>
      <c r="AH121" s="16"/>
      <c r="AI121" s="16"/>
      <c r="AJ121" s="16"/>
      <c r="AK121" s="16"/>
    </row>
    <row r="122" ht="13.5" customHeight="1" spans="1:37" x14ac:dyDescent="0.25">
      <c r="A122" s="264"/>
      <c r="B122" s="16"/>
      <c r="C122" s="16" t="s">
        <v>332</v>
      </c>
      <c r="D122" s="16"/>
      <c r="E122" s="16"/>
      <c r="F122" s="358">
        <v>6820</v>
      </c>
      <c r="G122" s="358">
        <v>7482</v>
      </c>
      <c r="H122" s="358">
        <v>7351</v>
      </c>
      <c r="I122" s="358">
        <v>6331</v>
      </c>
      <c r="J122" s="162">
        <v>6331</v>
      </c>
      <c r="K122" s="358">
        <v>6511</v>
      </c>
      <c r="L122" s="358">
        <v>6232</v>
      </c>
      <c r="M122" s="358">
        <v>6165</v>
      </c>
      <c r="N122" s="358">
        <v>7286</v>
      </c>
      <c r="O122" s="162">
        <v>7286</v>
      </c>
      <c r="P122" s="358">
        <v>6911</v>
      </c>
      <c r="Q122" s="358">
        <v>6269</v>
      </c>
      <c r="R122" s="358">
        <v>5925</v>
      </c>
      <c r="S122" s="358">
        <v>5718</v>
      </c>
      <c r="T122" s="162">
        <v>5718</v>
      </c>
      <c r="U122" s="358">
        <v>5875</v>
      </c>
      <c r="V122" s="358">
        <v>6747</v>
      </c>
      <c r="W122" s="358">
        <v>16685</v>
      </c>
      <c r="X122" s="359">
        <f t="shared" si="146"/>
        <v>18529.950326086957</v>
      </c>
      <c r="Y122" s="162">
        <f t="shared" si="142"/>
        <v>18529.950326086957</v>
      </c>
      <c r="Z122" s="359">
        <f t="shared" ref="Z122:AC122" si="149">Z163</f>
        <v>23065.506292307695</v>
      </c>
      <c r="AA122" s="359">
        <f t="shared" si="149"/>
        <v>22014.14833107692</v>
      </c>
      <c r="AB122" s="359">
        <f t="shared" si="149"/>
        <v>20954.80490032696</v>
      </c>
      <c r="AC122" s="359">
        <f t="shared" si="149"/>
        <v>20718.783200747737</v>
      </c>
      <c r="AD122" s="162">
        <f t="shared" si="144"/>
        <v>20718.783200747737</v>
      </c>
      <c r="AE122" s="162">
        <f t="shared" ref="AE122:AG122" si="150">AE163</f>
        <v>21269.509108004873</v>
      </c>
      <c r="AF122" s="162">
        <f t="shared" si="150"/>
        <v>21669.70196230183</v>
      </c>
      <c r="AG122" s="162">
        <f t="shared" si="150"/>
        <v>22051.69345270706</v>
      </c>
      <c r="AH122" s="16"/>
      <c r="AI122" s="16"/>
      <c r="AJ122" s="16"/>
      <c r="AK122" s="16"/>
    </row>
    <row r="123" ht="13.5" customHeight="1" spans="1:37" x14ac:dyDescent="0.25">
      <c r="A123" s="264"/>
      <c r="B123" s="16"/>
      <c r="C123" s="16" t="s">
        <v>333</v>
      </c>
      <c r="D123" s="16"/>
      <c r="E123" s="16"/>
      <c r="F123" s="354">
        <v>77670</v>
      </c>
      <c r="G123" s="354">
        <v>62808</v>
      </c>
      <c r="H123" s="354">
        <v>67351</v>
      </c>
      <c r="I123" s="354">
        <v>77762</v>
      </c>
      <c r="J123" s="355">
        <v>77762</v>
      </c>
      <c r="K123" s="354">
        <v>73227</v>
      </c>
      <c r="L123" s="354">
        <v>67652</v>
      </c>
      <c r="M123" s="354">
        <v>70910</v>
      </c>
      <c r="N123" s="354">
        <v>82348</v>
      </c>
      <c r="O123" s="355">
        <v>82348</v>
      </c>
      <c r="P123" s="354">
        <v>66391</v>
      </c>
      <c r="Q123" s="354">
        <v>58107</v>
      </c>
      <c r="R123" s="354">
        <v>52740</v>
      </c>
      <c r="S123" s="354">
        <v>66528</v>
      </c>
      <c r="T123" s="355">
        <v>66528</v>
      </c>
      <c r="U123" s="354">
        <v>66991</v>
      </c>
      <c r="V123" s="354">
        <v>61456</v>
      </c>
      <c r="W123" s="354">
        <v>1491</v>
      </c>
      <c r="X123" s="356">
        <f t="shared" si="146"/>
        <v>0</v>
      </c>
      <c r="Y123" s="355">
        <f t="shared" si="142"/>
        <v>0</v>
      </c>
      <c r="Z123" s="356">
        <f t="shared" ref="Z123:AC123" si="151">Z164</f>
        <v>1849.7576159999996</v>
      </c>
      <c r="AA123" s="356">
        <f t="shared" si="151"/>
        <v>2108.72368224</v>
      </c>
      <c r="AB123" s="356">
        <f t="shared" si="151"/>
        <v>1855.6768403712</v>
      </c>
      <c r="AC123" s="356">
        <f t="shared" si="151"/>
        <v>1762.8929983526398</v>
      </c>
      <c r="AD123" s="355">
        <f t="shared" si="144"/>
        <v>1762.8929983526398</v>
      </c>
      <c r="AE123" s="355">
        <f t="shared" ref="AE123:AG123" si="152">AE164</f>
        <v>1932.1480399257787</v>
      </c>
      <c r="AF123" s="355">
        <f t="shared" si="152"/>
        <v>1970.7910007242942</v>
      </c>
      <c r="AG123" s="355">
        <f t="shared" si="152"/>
        <v>2010.2068207387802</v>
      </c>
      <c r="AH123" s="16"/>
      <c r="AI123" s="16"/>
      <c r="AJ123" s="16"/>
      <c r="AK123" s="16"/>
    </row>
    <row r="124" ht="13.5" customHeight="1" spans="1:37" x14ac:dyDescent="0.25">
      <c r="A124" s="264"/>
      <c r="B124" s="16"/>
      <c r="C124" s="139" t="s">
        <v>334</v>
      </c>
      <c r="D124" s="16"/>
      <c r="E124" s="16"/>
      <c r="F124" s="353">
        <f t="shared" ref="F124:I124" si="153">SUM(F120:F123)</f>
        <v>128777</v>
      </c>
      <c r="G124" s="353">
        <f>SUM(G120:G123)</f>
        <v>112913</v>
      </c>
      <c r="H124" s="353">
        <f>SUM(H120:H123)</f>
        <v>122659</v>
      </c>
      <c r="I124" s="353">
        <f>SUM(I120:I123)</f>
        <v>143566</v>
      </c>
      <c r="J124" s="282">
        <f>I124</f>
        <v>143566</v>
      </c>
      <c r="K124" s="353">
        <f t="shared" ref="K124:N124" si="154">SUM(K120:K123)</f>
        <v>143692</v>
      </c>
      <c r="L124" s="353">
        <f>SUM(L120:L123)</f>
        <v>128416</v>
      </c>
      <c r="M124" s="353">
        <f>SUM(M120:M123)</f>
        <v>125435</v>
      </c>
      <c r="N124" s="353">
        <f>SUM(N120:N123)</f>
        <v>152987</v>
      </c>
      <c r="O124" s="282">
        <f>N124</f>
        <v>152987</v>
      </c>
      <c r="P124" s="353">
        <f t="shared" ref="P124:S124" si="155">SUM(P120:P123)</f>
        <v>133240</v>
      </c>
      <c r="Q124" s="353">
        <f>SUM(Q120:Q123)</f>
        <v>118674</v>
      </c>
      <c r="R124" s="353">
        <f>SUM(R120:R123)</f>
        <v>122491</v>
      </c>
      <c r="S124" s="353">
        <f>SUM(S120:S123)</f>
        <v>147957</v>
      </c>
      <c r="T124" s="282">
        <f>S124</f>
        <v>147957</v>
      </c>
      <c r="U124" s="353">
        <f t="shared" ref="U124:X124" si="156">SUM(U120:U123)</f>
        <v>158104</v>
      </c>
      <c r="V124" s="353">
        <f>SUM(V120:V123)</f>
        <v>144114</v>
      </c>
      <c r="W124" s="353">
        <f t="shared" si="156"/>
        <v>24849</v>
      </c>
      <c r="X124" s="281">
        <f t="shared" si="156"/>
      </c>
      <c r="Y124" s="282">
        <f t="shared" si="142"/>
      </c>
      <c r="Z124" s="281" t="str">
        <f t="shared" ref="Z124:AC124" si="157">SUM(Z120:Z123)</f>
        <v>#REF!</v>
      </c>
      <c r="AA124" s="281">
        <f t="shared" si="157"/>
      </c>
      <c r="AB124" s="281">
        <f t="shared" si="157"/>
      </c>
      <c r="AC124" s="281">
        <f t="shared" si="157"/>
      </c>
      <c r="AD124" s="282">
        <f t="shared" si="144"/>
      </c>
      <c r="AE124" s="282" t="str">
        <f t="shared" ref="AE124:AG124" si="158">SUM(AE120:AE123)</f>
        <v>#REF!</v>
      </c>
      <c r="AF124" s="282">
        <f t="shared" si="158"/>
      </c>
      <c r="AG124" s="282">
        <f t="shared" si="158"/>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42951</v>
      </c>
      <c r="G126" s="392">
        <v>43398</v>
      </c>
      <c r="H126" s="392">
        <v>43550</v>
      </c>
      <c r="I126" s="392">
        <v>43715</v>
      </c>
      <c r="J126" s="282">
        <v>43715</v>
      </c>
      <c r="K126" s="392">
        <v>43666</v>
      </c>
      <c r="L126" s="392">
        <v>43546</v>
      </c>
      <c r="M126" s="392">
        <v>44502</v>
      </c>
      <c r="N126" s="392">
        <v>45680</v>
      </c>
      <c r="O126" s="282">
        <v>45680</v>
      </c>
      <c r="P126" s="392">
        <v>46069</v>
      </c>
      <c r="Q126" s="392">
        <v>46876</v>
      </c>
      <c r="R126" s="392">
        <v>48508</v>
      </c>
      <c r="S126" s="392">
        <v>49834</v>
      </c>
      <c r="T126" s="282">
        <v>49834</v>
      </c>
      <c r="U126" s="392">
        <v>50159</v>
      </c>
      <c r="V126" s="392">
        <v>50116</v>
      </c>
      <c r="W126" s="392">
        <v>18925</v>
      </c>
      <c r="X126" s="281">
        <f>X196</f>
        <v>18963.9382</v>
      </c>
      <c r="Y126" s="282">
        <f t="shared" ref="Y126:Y130" si="159">X126</f>
        <v>18963.9382</v>
      </c>
      <c r="Z126" s="281">
        <f t="shared" ref="Z126:AC126" si="160">Z196</f>
        <v>19248.6551535</v>
      </c>
      <c r="AA126" s="281">
        <f t="shared" si="160"/>
        <v>19556.13592455375</v>
      </c>
      <c r="AB126" s="281">
        <f t="shared" si="160"/>
        <v>19652.04946651726</v>
      </c>
      <c r="AC126" s="281">
        <f t="shared" si="160"/>
        <v>19724.377225464246</v>
      </c>
      <c r="AD126" s="282">
        <f t="shared" ref="AD126:AD130" si="161">AC126</f>
        <v>19724.377225464246</v>
      </c>
      <c r="AE126" s="282">
        <f t="shared" ref="AE126:AG126" si="162">AE196</f>
        <v>20451.053220703907</v>
      </c>
      <c r="AF126" s="282">
        <f t="shared" si="162"/>
        <v>21168.345167395775</v>
      </c>
      <c r="AG126" s="282">
        <f t="shared" si="162"/>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v>0</v>
      </c>
      <c r="K127" s="358">
        <v>0</v>
      </c>
      <c r="L127" s="358">
        <v>0</v>
      </c>
      <c r="M127" s="358">
        <v>0</v>
      </c>
      <c r="N127" s="358">
        <v>0</v>
      </c>
      <c r="O127" s="162">
        <v>0</v>
      </c>
      <c r="P127" s="358">
        <v>0</v>
      </c>
      <c r="Q127" s="358">
        <v>0</v>
      </c>
      <c r="R127" s="358">
        <v>0</v>
      </c>
      <c r="S127" s="358">
        <v>13301</v>
      </c>
      <c r="T127" s="162">
        <v>13301</v>
      </c>
      <c r="U127" s="358">
        <v>0</v>
      </c>
      <c r="V127" s="358">
        <v>25797</v>
      </c>
      <c r="W127" s="358">
        <v>0</v>
      </c>
      <c r="X127" s="359">
        <f>X210</f>
        <v>0</v>
      </c>
      <c r="Y127" s="162">
        <f t="shared" si="159"/>
        <v>0</v>
      </c>
      <c r="Z127" s="359">
        <f t="shared" ref="Z127:AC127" si="163">Z210</f>
        <v>0</v>
      </c>
      <c r="AA127" s="359">
        <f t="shared" si="163"/>
        <v>0</v>
      </c>
      <c r="AB127" s="359">
        <f t="shared" si="163"/>
        <v>0</v>
      </c>
      <c r="AC127" s="359">
        <f t="shared" si="163"/>
        <v>0</v>
      </c>
      <c r="AD127" s="162">
        <f t="shared" si="161"/>
        <v>0</v>
      </c>
      <c r="AE127" s="162">
        <f t="shared" ref="AE127:AG127" si="164">AE210</f>
        <v>0</v>
      </c>
      <c r="AF127" s="162">
        <f t="shared" si="164"/>
        <v>0</v>
      </c>
      <c r="AG127" s="162">
        <f t="shared" si="164"/>
        <v>0</v>
      </c>
      <c r="AH127" s="16"/>
      <c r="AI127" s="16"/>
      <c r="AJ127" s="16"/>
      <c r="AK127" s="16"/>
    </row>
    <row r="128" ht="13.5" customHeight="1" spans="1:37" x14ac:dyDescent="0.25">
      <c r="A128" s="264"/>
      <c r="B128" s="16"/>
      <c r="C128" s="16" t="s">
        <v>337</v>
      </c>
      <c r="D128" s="16"/>
      <c r="E128" s="16"/>
      <c r="F128" s="358">
        <v>0</v>
      </c>
      <c r="G128" s="358">
        <v>0</v>
      </c>
      <c r="H128" s="358">
        <v>0</v>
      </c>
      <c r="I128" s="358">
        <v>0</v>
      </c>
      <c r="J128" s="162">
        <v>0</v>
      </c>
      <c r="K128" s="358">
        <v>0</v>
      </c>
      <c r="L128" s="358">
        <v>0</v>
      </c>
      <c r="M128" s="358">
        <v>0</v>
      </c>
      <c r="N128" s="358">
        <v>0</v>
      </c>
      <c r="O128" s="162">
        <v>0</v>
      </c>
      <c r="P128" s="358">
        <v>0</v>
      </c>
      <c r="Q128" s="358">
        <v>0</v>
      </c>
      <c r="R128" s="358">
        <v>0</v>
      </c>
      <c r="S128" s="358">
        <v>0</v>
      </c>
      <c r="T128" s="162">
        <v>0</v>
      </c>
      <c r="U128" s="358">
        <v>0</v>
      </c>
      <c r="V128" s="358">
        <v>0</v>
      </c>
      <c r="W128" s="358">
        <v>0</v>
      </c>
      <c r="X128" s="359">
        <f t="shared" ref="X128:X129" si="165">X218</f>
        <v>0</v>
      </c>
      <c r="Y128" s="162">
        <f t="shared" si="159"/>
        <v>0</v>
      </c>
      <c r="Z128" s="359">
        <f t="shared" ref="Z128:AC128" si="166">Z218</f>
        <v>0</v>
      </c>
      <c r="AA128" s="359">
        <f t="shared" si="166"/>
        <v>0</v>
      </c>
      <c r="AB128" s="359">
        <f t="shared" si="166"/>
        <v>0</v>
      </c>
      <c r="AC128" s="359">
        <f t="shared" si="166"/>
        <v>0</v>
      </c>
      <c r="AD128" s="162">
        <f t="shared" si="161"/>
        <v>0</v>
      </c>
      <c r="AE128" s="162">
        <f t="shared" ref="AE128:AG128" si="167">AE218</f>
        <v>0</v>
      </c>
      <c r="AF128" s="162">
        <f t="shared" si="167"/>
        <v>0</v>
      </c>
      <c r="AG128" s="162">
        <f t="shared" si="167"/>
        <v>0</v>
      </c>
      <c r="AH128" s="16"/>
      <c r="AI128" s="16"/>
      <c r="AJ128" s="16"/>
      <c r="AK128" s="16"/>
    </row>
    <row r="129" ht="13.5" customHeight="1" spans="1:37" x14ac:dyDescent="0.25">
      <c r="A129" s="264"/>
      <c r="B129" s="16"/>
      <c r="C129" s="16" t="s">
        <v>338</v>
      </c>
      <c r="D129" s="16"/>
      <c r="E129" s="16"/>
      <c r="F129" s="354">
        <v>175019</v>
      </c>
      <c r="G129" s="354">
        <v>175849</v>
      </c>
      <c r="H129" s="354">
        <v>168829</v>
      </c>
      <c r="I129" s="354">
        <v>165302</v>
      </c>
      <c r="J129" s="355">
        <v>165302</v>
      </c>
      <c r="K129" s="354">
        <v>166156</v>
      </c>
      <c r="L129" s="354">
        <v>165449</v>
      </c>
      <c r="M129" s="354">
        <v>161675</v>
      </c>
      <c r="N129" s="354">
        <v>166313</v>
      </c>
      <c r="O129" s="355">
        <v>166313</v>
      </c>
      <c r="P129" s="354">
        <v>164776</v>
      </c>
      <c r="Q129" s="354">
        <v>165683</v>
      </c>
      <c r="R129" s="354">
        <v>160496</v>
      </c>
      <c r="S129" s="354">
        <v>148149</v>
      </c>
      <c r="T129" s="355">
        <v>148149</v>
      </c>
      <c r="U129" s="354">
        <v>171034</v>
      </c>
      <c r="V129" s="354">
        <v>151055</v>
      </c>
      <c r="W129" s="354">
        <f>4161+213+220+1032</f>
        <v>5626</v>
      </c>
      <c r="X129" s="356">
        <f t="shared" si="165"/>
        <v>5738.52</v>
      </c>
      <c r="Y129" s="355">
        <f t="shared" si="159"/>
        <v>5738.52</v>
      </c>
      <c r="Z129" s="356">
        <f t="shared" ref="Z129:AC129" si="168">Z219</f>
        <v>5853.290400000001</v>
      </c>
      <c r="AA129" s="356">
        <f t="shared" si="168"/>
        <v>5970.356208000001</v>
      </c>
      <c r="AB129" s="356">
        <f t="shared" si="168"/>
        <v>6089.7633321600015</v>
      </c>
      <c r="AC129" s="356">
        <f t="shared" si="168"/>
        <v>6211.558598803202</v>
      </c>
      <c r="AD129" s="355">
        <f t="shared" si="161"/>
        <v>6211.558598803202</v>
      </c>
      <c r="AE129" s="355">
        <f t="shared" ref="AE129:AG129" si="169">AE219</f>
        <v>6335.789770779265</v>
      </c>
      <c r="AF129" s="355">
        <f t="shared" si="169"/>
        <v>6462.505566194851</v>
      </c>
      <c r="AG129" s="355">
        <f t="shared" si="169"/>
        <v>6591.755677518748</v>
      </c>
      <c r="AH129" s="16"/>
      <c r="AI129" s="16"/>
      <c r="AJ129" s="16"/>
      <c r="AK129" s="16"/>
    </row>
    <row r="130" ht="13.5" customHeight="1" spans="1:37" x14ac:dyDescent="0.25">
      <c r="A130" s="264"/>
      <c r="B130" s="16"/>
      <c r="C130" s="139" t="s">
        <v>339</v>
      </c>
      <c r="D130" s="16"/>
      <c r="E130" s="16"/>
      <c r="F130" s="353">
        <f t="shared" ref="F130:I130" si="170">SUM(F126:F129)</f>
        <v>217970</v>
      </c>
      <c r="G130" s="353">
        <f>SUM(G126:G129)</f>
        <v>219247</v>
      </c>
      <c r="H130" s="353">
        <f>SUM(H126:H129)</f>
        <v>212379</v>
      </c>
      <c r="I130" s="353">
        <f>SUM(I126:I129)</f>
        <v>209017</v>
      </c>
      <c r="J130" s="282">
        <f>I130</f>
        <v>209017</v>
      </c>
      <c r="K130" s="353">
        <f t="shared" ref="K130:N130" si="171">SUM(K126:K129)</f>
        <v>209822</v>
      </c>
      <c r="L130" s="353">
        <f>SUM(L126:L129)</f>
        <v>208995</v>
      </c>
      <c r="M130" s="353">
        <f>SUM(M126:M129)</f>
        <v>206177</v>
      </c>
      <c r="N130" s="353">
        <f>SUM(N126:N129)</f>
        <v>211993</v>
      </c>
      <c r="O130" s="282">
        <f>N130</f>
        <v>211993</v>
      </c>
      <c r="P130" s="353">
        <f t="shared" ref="P130:S130" si="172">SUM(P126:P129)</f>
        <v>210845</v>
      </c>
      <c r="Q130" s="353">
        <f>SUM(Q126:Q129)</f>
        <v>212559</v>
      </c>
      <c r="R130" s="353">
        <f>SUM(R126:R129)</f>
        <v>209004</v>
      </c>
      <c r="S130" s="353">
        <f>SUM(S126:S129)</f>
        <v>211284</v>
      </c>
      <c r="T130" s="282">
        <f>S130</f>
        <v>211284</v>
      </c>
      <c r="U130" s="353">
        <f t="shared" ref="U130:X130" si="173">SUM(U126:U129)</f>
        <v>221193</v>
      </c>
      <c r="V130" s="353">
        <f>SUM(V126:V129)</f>
        <v>226968</v>
      </c>
      <c r="W130" s="353">
        <f t="shared" si="173"/>
        <v>24551</v>
      </c>
      <c r="X130" s="281">
        <f t="shared" si="173"/>
        <v>24702.4582</v>
      </c>
      <c r="Y130" s="282">
        <f t="shared" si="159"/>
        <v>24702.4582</v>
      </c>
      <c r="Z130" s="281">
        <f t="shared" ref="Z130:AC130" si="174">SUM(Z126:Z129)</f>
        <v>25101.9455535</v>
      </c>
      <c r="AA130" s="281">
        <f t="shared" si="174"/>
        <v>25526.49213255375</v>
      </c>
      <c r="AB130" s="281">
        <f t="shared" si="174"/>
        <v>25741.81279867726</v>
      </c>
      <c r="AC130" s="281">
        <f t="shared" si="174"/>
        <v>25935.93582426745</v>
      </c>
      <c r="AD130" s="282">
        <f t="shared" si="161"/>
        <v>25935.93582426745</v>
      </c>
      <c r="AE130" s="282">
        <f t="shared" ref="AE130:AG130" si="175">SUM(AE126:AE129)</f>
        <v>26786.842991483172</v>
      </c>
      <c r="AF130" s="282">
        <f t="shared" si="175"/>
        <v>27630.850733590625</v>
      </c>
      <c r="AG130" s="282">
        <f t="shared" si="175"/>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76">SUM(F124,F130)</f>
        <v>346747</v>
      </c>
      <c r="G132" s="353">
        <f>SUM(G124,G130)</f>
        <v>332160</v>
      </c>
      <c r="H132" s="353">
        <f>SUM(H124,H130)</f>
        <v>335038</v>
      </c>
      <c r="I132" s="353">
        <f>SUM(I124,I130)</f>
        <v>352583</v>
      </c>
      <c r="J132" s="282">
        <f>SUM(J124,J130)</f>
        <v>352583</v>
      </c>
      <c r="K132" s="353">
        <f>SUM(K124,K130)</f>
        <v>353514</v>
      </c>
      <c r="L132" s="353">
        <f>SUM(L124,L130)</f>
        <v>337411</v>
      </c>
      <c r="M132" s="353">
        <f>SUM(M124,M130)</f>
        <v>331612</v>
      </c>
      <c r="N132" s="353">
        <f>SUM(N124,N130)</f>
        <v>364980</v>
      </c>
      <c r="O132" s="282">
        <f>SUM(O124,O130)</f>
        <v>364980</v>
      </c>
      <c r="P132" s="353">
        <f>SUM(P124,P130)</f>
        <v>344085</v>
      </c>
      <c r="Q132" s="353">
        <f>SUM(Q124,Q130)</f>
        <v>331233</v>
      </c>
      <c r="R132" s="353">
        <f>SUM(R124,R130)</f>
        <v>331495</v>
      </c>
      <c r="S132" s="353">
        <f>SUM(S124,S130)</f>
        <v>359241</v>
      </c>
      <c r="T132" s="282">
        <f>SUM(T124,T130)</f>
        <v>359241</v>
      </c>
      <c r="U132" s="353">
        <f>SUM(U124,U130)</f>
        <v>379297</v>
      </c>
      <c r="V132" s="353">
        <f>SUM(V124,V130)</f>
        <v>371082</v>
      </c>
      <c r="W132" s="353">
        <f t="shared" si="176"/>
        <v>49400</v>
      </c>
      <c r="X132" s="281">
        <f t="shared" si="176"/>
      </c>
      <c r="Y132" s="282">
        <f t="shared" si="176"/>
      </c>
      <c r="Z132" s="281">
        <f t="shared" si="176"/>
      </c>
      <c r="AA132" s="281">
        <f t="shared" si="176"/>
      </c>
      <c r="AB132" s="281">
        <f t="shared" si="176"/>
      </c>
      <c r="AC132" s="281">
        <f t="shared" si="176"/>
      </c>
      <c r="AD132" s="282">
        <f t="shared" si="176"/>
      </c>
      <c r="AE132" s="282">
        <f t="shared" si="176"/>
      </c>
      <c r="AF132" s="282">
        <f t="shared" si="176"/>
      </c>
      <c r="AG132" s="282">
        <f t="shared" si="176"/>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57918</v>
      </c>
      <c r="G134" s="392">
        <v>42945</v>
      </c>
      <c r="H134" s="392">
        <v>46699</v>
      </c>
      <c r="I134" s="392">
        <v>62611</v>
      </c>
      <c r="J134" s="282">
        <v>62611</v>
      </c>
      <c r="K134" s="392">
        <v>58146</v>
      </c>
      <c r="L134" s="392">
        <v>45753</v>
      </c>
      <c r="M134" s="392">
        <v>47574</v>
      </c>
      <c r="N134" s="392">
        <v>68960</v>
      </c>
      <c r="O134" s="282">
        <v>68960</v>
      </c>
      <c r="P134" s="392">
        <v>61910</v>
      </c>
      <c r="Q134" s="392">
        <v>54126</v>
      </c>
      <c r="R134" s="392">
        <v>50374</v>
      </c>
      <c r="S134" s="392">
        <v>69860</v>
      </c>
      <c r="T134" s="282">
        <v>69860</v>
      </c>
      <c r="U134" s="392">
        <v>70587</v>
      </c>
      <c r="V134" s="392">
        <v>57349</v>
      </c>
      <c r="W134" s="392">
        <v>11334</v>
      </c>
      <c r="X134" s="281">
        <f t="shared" ref="X134:X136" si="177">X167</f>
        <v>11323.858532608696</v>
      </c>
      <c r="Y134" s="282">
        <f t="shared" ref="Y134:Y137" si="178">X134</f>
        <v>11323.858532608696</v>
      </c>
      <c r="Z134" s="281">
        <f t="shared" ref="Z134:AC134" si="179">Z167</f>
        <v>14082.098578461539</v>
      </c>
      <c r="AA134" s="281">
        <f t="shared" si="179"/>
        <v>13208.488998646155</v>
      </c>
      <c r="AB134" s="281">
        <f t="shared" si="179"/>
        <v>13065.937173145043</v>
      </c>
      <c r="AC134" s="281">
        <f t="shared" si="179"/>
        <v>12661.478622679173</v>
      </c>
      <c r="AD134" s="282">
        <f t="shared" ref="AD134:AD137" si="180">AC134</f>
        <v>12661.478622679173</v>
      </c>
      <c r="AE134" s="282">
        <f t="shared" ref="AE134:AG134" si="181">AE167</f>
        <v>13673.255855145992</v>
      </c>
      <c r="AF134" s="282">
        <f t="shared" si="181"/>
        <v>13930.522690051177</v>
      </c>
      <c r="AG134" s="282">
        <f t="shared" si="181"/>
        <v>14176.088648168821</v>
      </c>
      <c r="AH134" s="16"/>
      <c r="AI134" s="16"/>
      <c r="AJ134" s="16"/>
      <c r="AK134" s="16"/>
    </row>
    <row r="135" ht="13.5" customHeight="1" spans="1:37" x14ac:dyDescent="0.25">
      <c r="A135" s="264"/>
      <c r="B135" s="16"/>
      <c r="C135" s="16" t="s">
        <v>342</v>
      </c>
      <c r="D135" s="16"/>
      <c r="E135" s="16"/>
      <c r="F135" s="358">
        <v>71376</v>
      </c>
      <c r="G135" s="358">
        <v>68999</v>
      </c>
      <c r="H135" s="358">
        <v>70106</v>
      </c>
      <c r="I135" s="358">
        <v>74636</v>
      </c>
      <c r="J135" s="162">
        <v>74636</v>
      </c>
      <c r="K135" s="358">
        <v>67563</v>
      </c>
      <c r="L135" s="358">
        <v>70057</v>
      </c>
      <c r="M135" s="358">
        <v>75997</v>
      </c>
      <c r="N135" s="358">
        <v>99183</v>
      </c>
      <c r="O135" s="162">
        <v>99183</v>
      </c>
      <c r="P135" s="358">
        <v>73994</v>
      </c>
      <c r="Q135" s="358">
        <v>81469</v>
      </c>
      <c r="R135" s="358">
        <v>81767</v>
      </c>
      <c r="S135" s="358">
        <v>86716</v>
      </c>
      <c r="T135" s="162">
        <v>86716</v>
      </c>
      <c r="U135" s="358">
        <v>82367</v>
      </c>
      <c r="V135" s="358">
        <v>67961</v>
      </c>
      <c r="W135" s="358">
        <v>1353</v>
      </c>
      <c r="X135" s="281">
        <f t="shared" si="177"/>
        <v>947.08635</v>
      </c>
      <c r="Y135" s="162">
        <f t="shared" si="178"/>
        <v>947.08635</v>
      </c>
      <c r="Z135" s="281">
        <f t="shared" ref="Z135:AC135" si="182">Z168</f>
        <v>1104.716354</v>
      </c>
      <c r="AA135" s="281">
        <f t="shared" si="182"/>
        <v>1252.05468633</v>
      </c>
      <c r="AB135" s="281">
        <f t="shared" si="182"/>
        <v>1134.0247357824</v>
      </c>
      <c r="AC135" s="281">
        <f t="shared" si="182"/>
        <v>1058.9600302604401</v>
      </c>
      <c r="AD135" s="162">
        <f t="shared" si="180"/>
        <v>1058.9600302604401</v>
      </c>
      <c r="AE135" s="282">
        <f t="shared" ref="AE135:AG135" si="183">AE168</f>
        <v>1201.4740561605136</v>
      </c>
      <c r="AF135" s="282">
        <f t="shared" si="183"/>
        <v>1224.080188227645</v>
      </c>
      <c r="AG135" s="282">
        <f t="shared" si="183"/>
        <v>1245.6581599177973</v>
      </c>
      <c r="AH135" s="16"/>
      <c r="AI135" s="16"/>
      <c r="AJ135" s="16"/>
      <c r="AK135" s="16"/>
    </row>
    <row r="136" ht="13.5" customHeight="1" spans="1:37" x14ac:dyDescent="0.25">
      <c r="A136" s="264"/>
      <c r="B136" s="16"/>
      <c r="C136" s="16" t="s">
        <v>343</v>
      </c>
      <c r="D136" s="16"/>
      <c r="E136" s="16"/>
      <c r="F136" s="354">
        <v>7992</v>
      </c>
      <c r="G136" s="354">
        <v>8131</v>
      </c>
      <c r="H136" s="354">
        <v>8158</v>
      </c>
      <c r="I136" s="354">
        <v>8061</v>
      </c>
      <c r="J136" s="355">
        <v>8061</v>
      </c>
      <c r="K136" s="354">
        <v>8264</v>
      </c>
      <c r="L136" s="354">
        <v>8012</v>
      </c>
      <c r="M136" s="354">
        <v>8053</v>
      </c>
      <c r="N136" s="354">
        <v>8249</v>
      </c>
      <c r="O136" s="355">
        <v>8249</v>
      </c>
      <c r="P136" s="354">
        <v>8461</v>
      </c>
      <c r="Q136" s="354">
        <v>8976</v>
      </c>
      <c r="R136" s="354">
        <v>8979</v>
      </c>
      <c r="S136" s="354">
        <v>9055</v>
      </c>
      <c r="T136" s="355">
        <v>9055</v>
      </c>
      <c r="U136" s="354">
        <v>9413</v>
      </c>
      <c r="V136" s="354">
        <v>9331</v>
      </c>
      <c r="W136" s="354">
        <f>1000+573+1954+3268</f>
        <v>6795</v>
      </c>
      <c r="X136" s="356">
        <f t="shared" si="177"/>
        <v>9470.8635</v>
      </c>
      <c r="Y136" s="355">
        <f t="shared" si="178"/>
        <v>9470.8635</v>
      </c>
      <c r="Z136" s="356">
        <f t="shared" ref="Z136:AC136" si="184">Z169</f>
        <v>9721.503915199999</v>
      </c>
      <c r="AA136" s="356">
        <f t="shared" si="184"/>
        <v>11018.081239704</v>
      </c>
      <c r="AB136" s="356">
        <f t="shared" si="184"/>
        <v>11340.247357824</v>
      </c>
      <c r="AC136" s="356">
        <f t="shared" si="184"/>
        <v>10589.6003026044</v>
      </c>
      <c r="AD136" s="355">
        <f t="shared" si="180"/>
        <v>10589.6003026044</v>
      </c>
      <c r="AE136" s="355">
        <f t="shared" ref="AE136:AG136" si="185">AE169</f>
        <v>11090.529749173971</v>
      </c>
      <c r="AF136" s="355">
        <f t="shared" si="185"/>
        <v>11299.201737485955</v>
      </c>
      <c r="AG136" s="355">
        <f t="shared" si="185"/>
        <v>11498.383014625822</v>
      </c>
      <c r="AH136" s="16"/>
      <c r="AI136" s="16"/>
      <c r="AJ136" s="16"/>
      <c r="AK136" s="16"/>
    </row>
    <row r="137" ht="13.5" customHeight="1" spans="1:37" x14ac:dyDescent="0.25">
      <c r="A137" s="264"/>
      <c r="B137" s="16"/>
      <c r="C137" s="139" t="s">
        <v>344</v>
      </c>
      <c r="D137" s="16"/>
      <c r="E137" s="16"/>
      <c r="F137" s="353">
        <f t="shared" ref="F137:I137" si="186">SUM(F134:F136)</f>
        <v>137286</v>
      </c>
      <c r="G137" s="353">
        <f>SUM(G134:G136)</f>
        <v>120075</v>
      </c>
      <c r="H137" s="353">
        <f>SUM(H134:H136)</f>
        <v>124963</v>
      </c>
      <c r="I137" s="353">
        <f>SUM(I134:I136)</f>
        <v>145308</v>
      </c>
      <c r="J137" s="282">
        <f>I137</f>
        <v>145308</v>
      </c>
      <c r="K137" s="353">
        <f t="shared" ref="K137:N137" si="187">SUM(K134:K136)</f>
        <v>133973</v>
      </c>
      <c r="L137" s="353">
        <f>SUM(L134:L136)</f>
        <v>123822</v>
      </c>
      <c r="M137" s="353">
        <f>SUM(M134:M136)</f>
        <v>131624</v>
      </c>
      <c r="N137" s="353">
        <f>SUM(N134:N136)</f>
        <v>176392</v>
      </c>
      <c r="O137" s="282">
        <f>N137</f>
        <v>176392</v>
      </c>
      <c r="P137" s="353">
        <f t="shared" ref="P137:S137" si="188">SUM(P134:P136)</f>
        <v>144365</v>
      </c>
      <c r="Q137" s="353">
        <f>SUM(Q134:Q136)</f>
        <v>144571</v>
      </c>
      <c r="R137" s="353">
        <f>SUM(R134:R136)</f>
        <v>141120</v>
      </c>
      <c r="S137" s="353">
        <f>SUM(S134:S136)</f>
        <v>165631</v>
      </c>
      <c r="T137" s="282">
        <f>S137</f>
        <v>165631</v>
      </c>
      <c r="U137" s="353">
        <f t="shared" ref="U137:X137" si="189">SUM(U134:U136)</f>
        <v>162367</v>
      </c>
      <c r="V137" s="353">
        <f>SUM(V134:V136)</f>
        <v>134641</v>
      </c>
      <c r="W137" s="353">
        <f t="shared" si="189"/>
        <v>19482</v>
      </c>
      <c r="X137" s="281">
        <f t="shared" si="189"/>
        <v>21741.808382608695</v>
      </c>
      <c r="Y137" s="282">
        <f t="shared" si="178"/>
        <v>21741.808382608695</v>
      </c>
      <c r="Z137" s="281">
        <f t="shared" ref="Z137:AC137" si="190">SUM(Z134:Z136)</f>
        <v>24908.31884766154</v>
      </c>
      <c r="AA137" s="281">
        <f t="shared" si="190"/>
        <v>25478.624924680156</v>
      </c>
      <c r="AB137" s="281">
        <f t="shared" si="190"/>
        <v>25540.209266751444</v>
      </c>
      <c r="AC137" s="281">
        <f t="shared" si="190"/>
        <v>24310.038955544012</v>
      </c>
      <c r="AD137" s="282">
        <f t="shared" si="180"/>
        <v>24310.038955544012</v>
      </c>
      <c r="AE137" s="282">
        <f t="shared" ref="AE137:AG137" si="191">SUM(AE134:AE136)</f>
        <v>25965.25966048048</v>
      </c>
      <c r="AF137" s="282">
        <f t="shared" si="191"/>
        <v>26453.804615764777</v>
      </c>
      <c r="AG137" s="282">
        <f t="shared" si="19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92">I139</f>
        <v>1e-12</v>
      </c>
      <c r="K139" s="392">
        <v>0</v>
      </c>
      <c r="L139" s="392">
        <v>0</v>
      </c>
      <c r="M139" s="392">
        <v>0</v>
      </c>
      <c r="N139" s="392">
        <v>0</v>
      </c>
      <c r="O139" s="282">
        <f t="shared" ref="O139:O143" si="193">N139</f>
        <v>1e-12</v>
      </c>
      <c r="P139" s="392">
        <v>0</v>
      </c>
      <c r="Q139" s="392">
        <v>0</v>
      </c>
      <c r="R139" s="392">
        <v>0</v>
      </c>
      <c r="S139" s="392">
        <v>0</v>
      </c>
      <c r="T139" s="282">
        <f t="shared" ref="T139:T143" si="194">S139</f>
        <v>1e-12</v>
      </c>
      <c r="U139" s="392">
        <v>0</v>
      </c>
      <c r="V139" s="392">
        <v>0</v>
      </c>
      <c r="W139" s="392">
        <v>0</v>
      </c>
      <c r="X139" s="281">
        <f>X304</f>
      </c>
      <c r="Y139" s="282" t="str">
        <f t="shared" ref="Y139:Y143" si="195">X139</f>
        <v>#REF!</v>
      </c>
      <c r="Z139" s="281" t="str">
        <f t="shared" ref="Z139:AC139" si="196">Z304</f>
        <v>#REF!</v>
      </c>
      <c r="AA139" s="281">
        <f t="shared" si="196"/>
      </c>
      <c r="AB139" s="281">
        <f t="shared" si="196"/>
      </c>
      <c r="AC139" s="281">
        <f t="shared" si="196"/>
      </c>
      <c r="AD139" s="282" t="str">
        <f t="shared" ref="AD139:AD143" si="197">AC139</f>
        <v>#REF!</v>
      </c>
      <c r="AE139" s="282" t="str">
        <f t="shared" ref="AE139:AG139" si="198">AE304</f>
        <v>#REF!</v>
      </c>
      <c r="AF139" s="282">
        <f t="shared" si="198"/>
      </c>
      <c r="AG139" s="282">
        <f t="shared" si="198"/>
      </c>
      <c r="AH139" s="16"/>
      <c r="AI139" s="16"/>
      <c r="AJ139" s="16"/>
      <c r="AK139" s="16"/>
    </row>
    <row r="140" ht="13.5" customHeight="1" spans="1:37" x14ac:dyDescent="0.25">
      <c r="A140" s="264"/>
      <c r="B140" s="16"/>
      <c r="C140" s="16" t="s">
        <v>346</v>
      </c>
      <c r="D140" s="16"/>
      <c r="E140" s="16"/>
      <c r="F140" s="358">
        <v>99627</v>
      </c>
      <c r="G140" s="358">
        <v>97041</v>
      </c>
      <c r="H140" s="358">
        <v>98071</v>
      </c>
      <c r="I140" s="358">
        <v>95281</v>
      </c>
      <c r="J140" s="162">
        <v>95281</v>
      </c>
      <c r="K140" s="358">
        <v>95088</v>
      </c>
      <c r="L140" s="358">
        <v>91831</v>
      </c>
      <c r="M140" s="358">
        <v>86196</v>
      </c>
      <c r="N140" s="358">
        <v>85750</v>
      </c>
      <c r="O140" s="162">
        <v>85750</v>
      </c>
      <c r="P140" s="358">
        <v>83956</v>
      </c>
      <c r="Q140" s="358">
        <v>78566</v>
      </c>
      <c r="R140" s="358">
        <v>82430</v>
      </c>
      <c r="S140" s="358">
        <v>78328</v>
      </c>
      <c r="T140" s="162">
        <v>78328</v>
      </c>
      <c r="U140" s="358">
        <v>76685</v>
      </c>
      <c r="V140" s="358">
        <v>74404</v>
      </c>
      <c r="W140" s="358">
        <f>23881+1352</f>
        <v>25233</v>
      </c>
      <c r="X140" s="359">
        <f>X310</f>
        <v>24733</v>
      </c>
      <c r="Y140" s="162">
        <f t="shared" si="195"/>
        <v>24733</v>
      </c>
      <c r="Z140" s="359">
        <f t="shared" ref="Z140:AC140" si="199">Z310</f>
        <v>24233</v>
      </c>
      <c r="AA140" s="359">
        <f t="shared" si="199"/>
        <v>23733</v>
      </c>
      <c r="AB140" s="359">
        <f t="shared" si="199"/>
        <v>23233</v>
      </c>
      <c r="AC140" s="359">
        <f t="shared" si="199"/>
        <v>22733</v>
      </c>
      <c r="AD140" s="162">
        <f t="shared" si="197"/>
        <v>22733</v>
      </c>
      <c r="AE140" s="162">
        <f t="shared" ref="AE140:AG140" si="200">AE310</f>
        <v>21333</v>
      </c>
      <c r="AF140" s="162">
        <f t="shared" si="200"/>
        <v>20033</v>
      </c>
      <c r="AG140" s="162">
        <f t="shared" si="200"/>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v>1e-12</v>
      </c>
      <c r="K141" s="358">
        <v>0</v>
      </c>
      <c r="L141" s="358">
        <v>0</v>
      </c>
      <c r="M141" s="358">
        <v>0</v>
      </c>
      <c r="N141" s="358">
        <v>0</v>
      </c>
      <c r="O141" s="162">
        <f>N141</f>
        <v>1e-12</v>
      </c>
      <c r="P141" s="358">
        <v>0</v>
      </c>
      <c r="Q141" s="358">
        <v>0</v>
      </c>
      <c r="R141" s="358">
        <v>0</v>
      </c>
      <c r="S141" s="358">
        <v>0</v>
      </c>
      <c r="T141" s="162">
        <f>S141</f>
        <v>1e-12</v>
      </c>
      <c r="U141" s="358">
        <v>0</v>
      </c>
      <c r="V141" s="358">
        <v>0</v>
      </c>
      <c r="W141" s="358">
        <v>0</v>
      </c>
      <c r="X141" s="359">
        <f t="shared" ref="X141:X142" si="201">X223</f>
        <v>0</v>
      </c>
      <c r="Y141" s="162">
        <f t="shared" si="195"/>
        <v>0</v>
      </c>
      <c r="Z141" s="359">
        <f t="shared" ref="Z141:AC141" si="202">Z223</f>
        <v>0</v>
      </c>
      <c r="AA141" s="359">
        <f t="shared" si="202"/>
        <v>0</v>
      </c>
      <c r="AB141" s="359">
        <f t="shared" si="202"/>
        <v>0</v>
      </c>
      <c r="AC141" s="359">
        <f t="shared" si="202"/>
        <v>0</v>
      </c>
      <c r="AD141" s="162">
        <f t="shared" si="197"/>
        <v>0</v>
      </c>
      <c r="AE141" s="162">
        <f t="shared" ref="AE141:AG141" si="203">AE223</f>
        <v>0</v>
      </c>
      <c r="AF141" s="162">
        <f t="shared" si="203"/>
        <v>0</v>
      </c>
      <c r="AG141" s="162">
        <f t="shared" si="203"/>
        <v>0</v>
      </c>
      <c r="AH141" s="16"/>
      <c r="AI141" s="16"/>
      <c r="AJ141" s="16"/>
      <c r="AK141" s="16"/>
    </row>
    <row r="142" ht="13.5" customHeight="1" spans="1:37" x14ac:dyDescent="0.25">
      <c r="A142" s="264"/>
      <c r="B142" s="16"/>
      <c r="C142" s="16" t="s">
        <v>348</v>
      </c>
      <c r="D142" s="16"/>
      <c r="E142" s="16"/>
      <c r="F142" s="354">
        <v>53107</v>
      </c>
      <c r="G142" s="354">
        <v>52886</v>
      </c>
      <c r="H142" s="354">
        <v>51730</v>
      </c>
      <c r="I142" s="354">
        <v>49848</v>
      </c>
      <c r="J142" s="355">
        <v>49848</v>
      </c>
      <c r="K142" s="354">
        <v>50353</v>
      </c>
      <c r="L142" s="354">
        <v>47564</v>
      </c>
      <c r="M142" s="354">
        <v>47084</v>
      </c>
      <c r="N142" s="354">
        <v>45888</v>
      </c>
      <c r="O142" s="355">
        <v>45888</v>
      </c>
      <c r="P142" s="354">
        <v>49006</v>
      </c>
      <c r="Q142" s="354">
        <v>41300</v>
      </c>
      <c r="R142" s="354">
        <v>42115</v>
      </c>
      <c r="S142" s="354">
        <v>41549</v>
      </c>
      <c r="T142" s="355">
        <v>41549</v>
      </c>
      <c r="U142" s="354">
        <v>52055</v>
      </c>
      <c r="V142" s="354">
        <v>55546</v>
      </c>
      <c r="W142" s="354">
        <f>4136+1119+1006</f>
        <v>6261</v>
      </c>
      <c r="X142" s="356">
        <f t="shared" si="201"/>
        <v>6261</v>
      </c>
      <c r="Y142" s="355">
        <f t="shared" si="195"/>
        <v>6261</v>
      </c>
      <c r="Z142" s="356">
        <f t="shared" ref="Z142:AC142" si="204">Z224</f>
        <v>6261</v>
      </c>
      <c r="AA142" s="356">
        <f t="shared" si="204"/>
        <v>6261</v>
      </c>
      <c r="AB142" s="356">
        <f t="shared" si="204"/>
        <v>6261</v>
      </c>
      <c r="AC142" s="356">
        <f t="shared" si="204"/>
        <v>6261</v>
      </c>
      <c r="AD142" s="355">
        <f t="shared" si="197"/>
        <v>6261</v>
      </c>
      <c r="AE142" s="355">
        <f t="shared" ref="AE142:AG142" si="205">AE224</f>
        <v>6261</v>
      </c>
      <c r="AF142" s="355">
        <f t="shared" si="205"/>
        <v>6261</v>
      </c>
      <c r="AG142" s="355">
        <f t="shared" si="205"/>
        <v>6261</v>
      </c>
      <c r="AH142" s="16"/>
      <c r="AI142" s="16"/>
      <c r="AJ142" s="16"/>
      <c r="AK142" s="16"/>
    </row>
    <row r="143" ht="13.5" customHeight="1" spans="1:37" x14ac:dyDescent="0.25">
      <c r="A143" s="264"/>
      <c r="B143" s="16"/>
      <c r="C143" s="139" t="s">
        <v>349</v>
      </c>
      <c r="D143" s="16"/>
      <c r="E143" s="16"/>
      <c r="F143" s="353">
        <f t="shared" ref="F143:I143" si="206">SUM(F139:F142)</f>
        <v>152734</v>
      </c>
      <c r="G143" s="353">
        <f>SUM(G139:G142)</f>
        <v>149927</v>
      </c>
      <c r="H143" s="353">
        <f>SUM(H139:H142)</f>
        <v>149801</v>
      </c>
      <c r="I143" s="353">
        <f>SUM(I139:I142)</f>
        <v>145129</v>
      </c>
      <c r="J143" s="282">
        <f>I143</f>
        <v>145129</v>
      </c>
      <c r="K143" s="353">
        <f t="shared" ref="K143:N143" si="207">SUM(K139:K142)</f>
        <v>145441</v>
      </c>
      <c r="L143" s="353">
        <f>SUM(L139:L142)</f>
        <v>139395</v>
      </c>
      <c r="M143" s="353">
        <f>SUM(M139:M142)</f>
        <v>133280</v>
      </c>
      <c r="N143" s="353">
        <f>SUM(N139:N142)</f>
        <v>131638</v>
      </c>
      <c r="O143" s="282">
        <f>N143</f>
        <v>131638</v>
      </c>
      <c r="P143" s="353">
        <f t="shared" ref="P143:S143" si="208">SUM(P139:P142)</f>
        <v>132962</v>
      </c>
      <c r="Q143" s="353">
        <f>SUM(Q139:Q142)</f>
        <v>119866</v>
      </c>
      <c r="R143" s="353">
        <f>SUM(R139:R142)</f>
        <v>124545</v>
      </c>
      <c r="S143" s="353">
        <f>SUM(S139:S142)</f>
        <v>119877</v>
      </c>
      <c r="T143" s="282">
        <f>S143</f>
        <v>119877</v>
      </c>
      <c r="U143" s="353">
        <f t="shared" ref="U143:X143" si="209">SUM(U139:U142)</f>
        <v>128740</v>
      </c>
      <c r="V143" s="353">
        <f>SUM(V139:V142)</f>
        <v>129950</v>
      </c>
      <c r="W143" s="353">
        <f t="shared" si="209"/>
        <v>31494</v>
      </c>
      <c r="X143" s="281">
        <f t="shared" si="209"/>
      </c>
      <c r="Y143" s="282">
        <f t="shared" si="195"/>
      </c>
      <c r="Z143" s="281" t="str">
        <f t="shared" ref="Z143:AC143" si="210">SUM(Z139:Z142)</f>
        <v>#REF!</v>
      </c>
      <c r="AA143" s="281">
        <f t="shared" si="210"/>
      </c>
      <c r="AB143" s="281">
        <f t="shared" si="210"/>
      </c>
      <c r="AC143" s="281">
        <f t="shared" si="210"/>
      </c>
      <c r="AD143" s="282">
        <f t="shared" si="197"/>
      </c>
      <c r="AE143" s="282" t="str">
        <f t="shared" ref="AE143:AG143" si="211">SUM(AE139:AE142)</f>
        <v>#REF!</v>
      </c>
      <c r="AF143" s="282">
        <f t="shared" si="211"/>
      </c>
      <c r="AG143" s="282">
        <f t="shared" si="211"/>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12">SUM(F137,F143)</f>
        <v>290020</v>
      </c>
      <c r="G145" s="353">
        <f>SUM(G137,G143)</f>
        <v>270002</v>
      </c>
      <c r="H145" s="353">
        <f>SUM(H137,H143)</f>
        <v>274764</v>
      </c>
      <c r="I145" s="353">
        <f>SUM(I137,I143)</f>
        <v>290437</v>
      </c>
      <c r="J145" s="282">
        <f>SUM(J137,J143)</f>
        <v>290437</v>
      </c>
      <c r="K145" s="353">
        <f>SUM(K137,K143)</f>
        <v>279414</v>
      </c>
      <c r="L145" s="353">
        <f>SUM(L137,L143)</f>
        <v>263217</v>
      </c>
      <c r="M145" s="353">
        <f>SUM(M137,M143)</f>
        <v>264904</v>
      </c>
      <c r="N145" s="353">
        <f>SUM(N137,N143)</f>
        <v>308030</v>
      </c>
      <c r="O145" s="282">
        <f>SUM(O137,O143)</f>
        <v>308030</v>
      </c>
      <c r="P145" s="353">
        <f>SUM(P137,P143)</f>
        <v>277327</v>
      </c>
      <c r="Q145" s="353">
        <f>SUM(Q137,Q143)</f>
        <v>264437</v>
      </c>
      <c r="R145" s="353">
        <f>SUM(R137,R143)</f>
        <v>265665</v>
      </c>
      <c r="S145" s="353">
        <f>SUM(S137,S143)</f>
        <v>285508</v>
      </c>
      <c r="T145" s="282">
        <f>SUM(T137,T143)</f>
        <v>285508</v>
      </c>
      <c r="U145" s="353">
        <f>SUM(U137,U143)</f>
        <v>291107</v>
      </c>
      <c r="V145" s="353">
        <f>SUM(V137,V143)</f>
        <v>264591</v>
      </c>
      <c r="W145" s="353">
        <f t="shared" si="212"/>
        <v>50976</v>
      </c>
      <c r="X145" s="281">
        <f t="shared" si="212"/>
      </c>
      <c r="Y145" s="282">
        <f t="shared" si="212"/>
      </c>
      <c r="Z145" s="281">
        <f t="shared" si="212"/>
      </c>
      <c r="AA145" s="281">
        <f t="shared" si="212"/>
      </c>
      <c r="AB145" s="281">
        <f t="shared" si="212"/>
      </c>
      <c r="AC145" s="281">
        <f t="shared" si="212"/>
      </c>
      <c r="AD145" s="282">
        <f t="shared" si="212"/>
      </c>
      <c r="AE145" s="282">
        <f t="shared" si="212"/>
      </c>
      <c r="AF145" s="282">
        <f t="shared" si="212"/>
      </c>
      <c r="AG145" s="282">
        <f t="shared" si="212"/>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66399</v>
      </c>
      <c r="G147" s="392">
        <v>69568</v>
      </c>
      <c r="H147" s="392">
        <v>70667</v>
      </c>
      <c r="I147" s="392">
        <v>73812</v>
      </c>
      <c r="J147" s="282">
        <v>73812</v>
      </c>
      <c r="K147" s="392">
        <v>75236</v>
      </c>
      <c r="L147" s="392">
        <v>78815</v>
      </c>
      <c r="M147" s="392">
        <v>79850</v>
      </c>
      <c r="N147" s="392">
        <v>83276</v>
      </c>
      <c r="O147" s="282">
        <v>83276</v>
      </c>
      <c r="P147" s="392">
        <v>84768</v>
      </c>
      <c r="Q147" s="392">
        <v>88711</v>
      </c>
      <c r="R147" s="392">
        <v>89806</v>
      </c>
      <c r="S147" s="392">
        <v>93568</v>
      </c>
      <c r="T147" s="282">
        <v>93568</v>
      </c>
      <c r="U147" s="392">
        <v>95221</v>
      </c>
      <c r="V147" s="392">
        <v>99507</v>
      </c>
      <c r="W147" s="392">
        <v>343</v>
      </c>
      <c r="X147" s="281">
        <f>X247</f>
        <v>394.3</v>
      </c>
      <c r="Y147" s="282">
        <f t="shared" ref="Y147:Y151" si="213">X147</f>
        <v>394.3</v>
      </c>
      <c r="Z147" s="281">
        <f t="shared" ref="Z147:AC147" si="214">Z247</f>
        <v>454.834</v>
      </c>
      <c r="AA147" s="281">
        <f t="shared" si="214"/>
        <v>523.84276</v>
      </c>
      <c r="AB147" s="281">
        <f t="shared" si="214"/>
        <v>584.5704688</v>
      </c>
      <c r="AC147" s="281">
        <f t="shared" si="214"/>
        <v>642.2617921599999</v>
      </c>
      <c r="AD147" s="282">
        <f t="shared" ref="AD147:AD151" si="215">AC147</f>
        <v>642.2617921599999</v>
      </c>
      <c r="AE147" s="282">
        <f t="shared" ref="AE147:AG147" si="216">AE247</f>
        <v>895.1828201632</v>
      </c>
      <c r="AF147" s="282">
        <f t="shared" si="216"/>
        <v>1153.162268726464</v>
      </c>
      <c r="AG147" s="282">
        <f t="shared" si="216"/>
        <v>1416.3013062609932</v>
      </c>
      <c r="AH147" s="16"/>
      <c r="AI147" s="16"/>
      <c r="AJ147" s="16"/>
      <c r="AK147" s="16"/>
    </row>
    <row r="148" ht="13.5" customHeight="1" spans="1:37" x14ac:dyDescent="0.25">
      <c r="A148" s="264"/>
      <c r="B148" s="16"/>
      <c r="C148" s="16" t="s">
        <v>352</v>
      </c>
      <c r="D148" s="16"/>
      <c r="E148" s="16"/>
      <c r="F148" s="358">
        <v>3240</v>
      </c>
      <c r="G148" s="358">
        <v>4336</v>
      </c>
      <c r="H148" s="358">
        <v>1408</v>
      </c>
      <c r="I148" s="358">
        <v>-214</v>
      </c>
      <c r="J148" s="162">
        <v>-214</v>
      </c>
      <c r="K148" s="358">
        <v>8242</v>
      </c>
      <c r="L148" s="358">
        <v>4339</v>
      </c>
      <c r="M148" s="358">
        <v>-4726</v>
      </c>
      <c r="N148" s="358">
        <v>-19154</v>
      </c>
      <c r="O148" s="162">
        <v>-19154</v>
      </c>
      <c r="P148" s="358">
        <v>-11221</v>
      </c>
      <c r="Q148" s="358">
        <v>-15552</v>
      </c>
      <c r="R148" s="358">
        <v>-17607</v>
      </c>
      <c r="S148" s="358">
        <v>-14264</v>
      </c>
      <c r="T148" s="162">
        <v>-14264</v>
      </c>
      <c r="U148" s="358">
        <v>-2177</v>
      </c>
      <c r="V148" s="358">
        <v>12359</v>
      </c>
      <c r="W148" s="358">
        <f>-1913</f>
        <v>-1913</v>
      </c>
      <c r="X148" s="359">
        <f>X256</f>
      </c>
      <c r="Y148" s="162">
        <f t="shared" si="213"/>
      </c>
      <c r="Z148" s="359" t="str">
        <f t="shared" ref="Z148:AC148" si="217">Z256</f>
        <v>#REF!</v>
      </c>
      <c r="AA148" s="359">
        <f t="shared" si="217"/>
      </c>
      <c r="AB148" s="359">
        <f t="shared" si="217"/>
      </c>
      <c r="AC148" s="359">
        <f t="shared" si="217"/>
      </c>
      <c r="AD148" s="162">
        <f t="shared" si="215"/>
      </c>
      <c r="AE148" s="162" t="str">
        <f t="shared" ref="AE148:AG148" si="218">AE256</f>
        <v>#REF!</v>
      </c>
      <c r="AF148" s="162">
        <f t="shared" si="218"/>
      </c>
      <c r="AG148" s="162">
        <f t="shared" si="218"/>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-X241+W149</f>
        <v>-500</v>
      </c>
      <c r="Y149" s="162">
        <f t="shared" si="213"/>
        <v>-500</v>
      </c>
      <c r="Z149" s="359">
        <f t="shared" ref="Z149:AC149" si="219">-Z241+Y149</f>
        <v>-1000</v>
      </c>
      <c r="AA149" s="359">
        <f t="shared" si="219"/>
        <v>-1500</v>
      </c>
      <c r="AB149" s="359">
        <f t="shared" si="219"/>
        <v>-2000</v>
      </c>
      <c r="AC149" s="359">
        <f t="shared" si="219"/>
        <v>-2500</v>
      </c>
      <c r="AD149" s="162">
        <f t="shared" si="215"/>
        <v>-2500</v>
      </c>
      <c r="AE149" s="162">
        <f t="shared" ref="AE149:AG149" si="220">-AE241+AD149</f>
        <v>-5500</v>
      </c>
      <c r="AF149" s="162">
        <f t="shared" si="220"/>
        <v>-8500</v>
      </c>
      <c r="AG149" s="162">
        <f t="shared" si="220"/>
        <v>-11500</v>
      </c>
      <c r="AH149" s="16"/>
      <c r="AI149" s="16"/>
      <c r="AJ149" s="16"/>
      <c r="AK149" s="16"/>
    </row>
    <row r="150" ht="13.5" customHeight="1" spans="1:37" x14ac:dyDescent="0.25">
      <c r="A150" s="264"/>
      <c r="B150" s="16"/>
      <c r="C150" s="16" t="s">
        <v>354</v>
      </c>
      <c r="D150" s="16"/>
      <c r="E150" s="16"/>
      <c r="F150" s="354">
        <v>-12912</v>
      </c>
      <c r="G150" s="354">
        <v>-11746</v>
      </c>
      <c r="H150" s="354">
        <v>-11801</v>
      </c>
      <c r="I150" s="354">
        <v>-11452</v>
      </c>
      <c r="J150" s="355">
        <v>-11452</v>
      </c>
      <c r="K150" s="354">
        <v>-9378</v>
      </c>
      <c r="L150" s="354">
        <v>-8960</v>
      </c>
      <c r="M150" s="354">
        <v>-8416</v>
      </c>
      <c r="N150" s="354">
        <v>-7172</v>
      </c>
      <c r="O150" s="355">
        <v>-7172</v>
      </c>
      <c r="P150" s="354">
        <v>-6789</v>
      </c>
      <c r="Q150" s="354">
        <v>-6363</v>
      </c>
      <c r="R150" s="354">
        <v>-6369</v>
      </c>
      <c r="S150" s="354">
        <v>-5571</v>
      </c>
      <c r="T150" s="355">
        <v>-5571</v>
      </c>
      <c r="U150" s="354">
        <v>-4854</v>
      </c>
      <c r="V150" s="354">
        <v>-5375</v>
      </c>
      <c r="W150" s="354">
        <v>-6</v>
      </c>
      <c r="X150" s="356">
        <f>X261</f>
        <v>-6</v>
      </c>
      <c r="Y150" s="355">
        <f t="shared" si="213"/>
        <v>-6</v>
      </c>
      <c r="Z150" s="356">
        <f t="shared" ref="Z150:AC150" si="221">Z261</f>
        <v>-6</v>
      </c>
      <c r="AA150" s="356">
        <f t="shared" si="221"/>
        <v>-6</v>
      </c>
      <c r="AB150" s="356">
        <f t="shared" si="221"/>
        <v>-6</v>
      </c>
      <c r="AC150" s="356">
        <f t="shared" si="221"/>
        <v>-6</v>
      </c>
      <c r="AD150" s="355">
        <f t="shared" si="215"/>
        <v>-6</v>
      </c>
      <c r="AE150" s="355">
        <f t="shared" ref="AE150:AG150" si="222">AE261</f>
        <v>-6</v>
      </c>
      <c r="AF150" s="355">
        <f t="shared" si="222"/>
        <v>-6</v>
      </c>
      <c r="AG150" s="355">
        <f t="shared" si="222"/>
        <v>-6</v>
      </c>
      <c r="AH150" s="16"/>
      <c r="AI150" s="16"/>
      <c r="AJ150" s="16"/>
      <c r="AK150" s="16"/>
    </row>
    <row r="151" ht="13.5" customHeight="1" spans="1:37" x14ac:dyDescent="0.25">
      <c r="A151" s="264"/>
      <c r="B151" s="16"/>
      <c r="C151" s="139" t="s">
        <v>355</v>
      </c>
      <c r="D151" s="16"/>
      <c r="E151" s="16"/>
      <c r="F151" s="353">
        <f>SUM(F147:F150)</f>
        <v>56727</v>
      </c>
      <c r="G151" s="353">
        <f>SUM(G147:G150)</f>
        <v>62158</v>
      </c>
      <c r="H151" s="353">
        <f>SUM(H147:H150)</f>
        <v>60274</v>
      </c>
      <c r="I151" s="353">
        <f>SUM(I147:I150)</f>
        <v>62146</v>
      </c>
      <c r="J151" s="282">
        <f>I151</f>
        <v>62146</v>
      </c>
      <c r="K151" s="353">
        <f>SUM(K147:K150)</f>
        <v>74100</v>
      </c>
      <c r="L151" s="353">
        <f>SUM(L147:L150)</f>
        <v>74194</v>
      </c>
      <c r="M151" s="353">
        <f>SUM(M147:M150)</f>
        <v>66708</v>
      </c>
      <c r="N151" s="353">
        <f>SUM(N147:N150)</f>
        <v>56950</v>
      </c>
      <c r="O151" s="282">
        <f>N151</f>
        <v>56950</v>
      </c>
      <c r="P151" s="353">
        <f>SUM(P147:P150)</f>
        <v>66758</v>
      </c>
      <c r="Q151" s="353">
        <f>SUM(Q147:Q150)</f>
        <v>66796</v>
      </c>
      <c r="R151" s="353">
        <f>SUM(R147:R150)</f>
        <v>65830</v>
      </c>
      <c r="S151" s="353">
        <f>SUM(S147:S150)</f>
        <v>73733</v>
      </c>
      <c r="T151" s="282">
        <f>S151</f>
        <v>73733</v>
      </c>
      <c r="U151" s="353">
        <f t="shared" ref="U151:X151" si="223">SUM(U147:U150)</f>
        <v>88190</v>
      </c>
      <c r="V151" s="353">
        <f>SUM(V147:V150)</f>
        <v>106491</v>
      </c>
      <c r="W151" s="353">
        <f t="shared" si="223"/>
        <v>-1576</v>
      </c>
      <c r="X151" s="281">
        <f t="shared" si="223"/>
      </c>
      <c r="Y151" s="282">
        <f t="shared" si="213"/>
      </c>
      <c r="Z151" s="281" t="str">
        <f t="shared" ref="Z151:AC151" si="224">SUM(Z147:Z150)</f>
        <v>#REF!</v>
      </c>
      <c r="AA151" s="281">
        <f t="shared" si="224"/>
      </c>
      <c r="AB151" s="281">
        <f t="shared" si="224"/>
      </c>
      <c r="AC151" s="281">
        <f t="shared" si="224"/>
      </c>
      <c r="AD151" s="282">
        <f t="shared" si="215"/>
      </c>
      <c r="AE151" s="282" t="str">
        <f t="shared" ref="AE151:AG151" si="225">SUM(AE147:AE150)</f>
        <v>#REF!</v>
      </c>
      <c r="AF151" s="282">
        <f t="shared" si="225"/>
      </c>
      <c r="AG151" s="282">
        <f t="shared" si="225"/>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W153+Drivers!X106</f>
        <v>0</v>
      </c>
      <c r="Y153" s="355">
        <f t="shared" ref="Y153:Y154" si="226">X153</f>
        <v>0</v>
      </c>
      <c r="Z153" s="356">
        <f>Y153+Drivers!Z106</f>
        <v>0</v>
      </c>
      <c r="AA153" s="356">
        <f>Z153+Drivers!AA106</f>
        <v>0</v>
      </c>
      <c r="AB153" s="356">
        <f>AA153+Drivers!AB106</f>
        <v>0</v>
      </c>
      <c r="AC153" s="356">
        <f>AB153+Drivers!AC106</f>
        <v>0</v>
      </c>
      <c r="AD153" s="355">
        <f t="shared" ref="AD153:AD154" si="227">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SUM(F151:F153)</f>
        <v>56727</v>
      </c>
      <c r="G154" s="353">
        <f>SUM(G151:G153)</f>
        <v>62158</v>
      </c>
      <c r="H154" s="353">
        <f>SUM(H151:H153)</f>
        <v>60274</v>
      </c>
      <c r="I154" s="353">
        <f>SUM(I151:I153)</f>
        <v>62146</v>
      </c>
      <c r="J154" s="282">
        <f>I154</f>
        <v>62146</v>
      </c>
      <c r="K154" s="353">
        <f>SUM(K151:K153)</f>
        <v>74100</v>
      </c>
      <c r="L154" s="353">
        <f>SUM(L151:L153)</f>
        <v>74194</v>
      </c>
      <c r="M154" s="353">
        <f>SUM(M151:M153)</f>
        <v>66708</v>
      </c>
      <c r="N154" s="353">
        <f>SUM(N151:N153)</f>
        <v>56950</v>
      </c>
      <c r="O154" s="282">
        <f>N154</f>
        <v>56950</v>
      </c>
      <c r="P154" s="353">
        <f>SUM(P151:P153)</f>
        <v>66758</v>
      </c>
      <c r="Q154" s="353">
        <f>SUM(Q151:Q153)</f>
        <v>66796</v>
      </c>
      <c r="R154" s="353">
        <f>SUM(R151:R153)</f>
        <v>65830</v>
      </c>
      <c r="S154" s="353">
        <f>SUM(S151:S153)</f>
        <v>73733</v>
      </c>
      <c r="T154" s="282">
        <f>S154</f>
        <v>73733</v>
      </c>
      <c r="U154" s="353">
        <f t="shared" ref="U154:X154" si="228">SUM(U151:U153)</f>
        <v>88190</v>
      </c>
      <c r="V154" s="353">
        <f>SUM(V151:V153)</f>
        <v>106491</v>
      </c>
      <c r="W154" s="353">
        <f t="shared" si="228"/>
        <v>-1576</v>
      </c>
      <c r="X154" s="281">
        <f t="shared" si="228"/>
      </c>
      <c r="Y154" s="282">
        <f t="shared" si="226"/>
      </c>
      <c r="Z154" s="281" t="str">
        <f t="shared" ref="Z154:AC154" si="229">SUM(Z151:Z153)</f>
        <v>#REF!</v>
      </c>
      <c r="AA154" s="281">
        <f t="shared" si="229"/>
      </c>
      <c r="AB154" s="281">
        <f t="shared" si="229"/>
      </c>
      <c r="AC154" s="281">
        <f t="shared" si="229"/>
      </c>
      <c r="AD154" s="282">
        <f t="shared" si="227"/>
      </c>
      <c r="AE154" s="282" t="str">
        <f t="shared" ref="AE154:AG154" si="230">SUM(AE151:AE153)</f>
        <v>#REF!</v>
      </c>
      <c r="AF154" s="282">
        <f t="shared" si="230"/>
      </c>
      <c r="AG154" s="282">
        <f t="shared" si="230"/>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31">SUM(F145,F154)</f>
        <v>346747</v>
      </c>
      <c r="G156" s="353">
        <f>SUM(G145,G154)</f>
        <v>332160</v>
      </c>
      <c r="H156" s="353">
        <f>SUM(H145,H154)</f>
        <v>335038</v>
      </c>
      <c r="I156" s="353">
        <f>SUM(I145,I154)</f>
        <v>352583</v>
      </c>
      <c r="J156" s="282">
        <f>SUM(J145,J154)</f>
        <v>352583</v>
      </c>
      <c r="K156" s="353">
        <f>SUM(K145,K154)</f>
        <v>353514</v>
      </c>
      <c r="L156" s="353">
        <f>SUM(L145,L154)</f>
        <v>337411</v>
      </c>
      <c r="M156" s="353">
        <f>SUM(M145,M154)</f>
        <v>331612</v>
      </c>
      <c r="N156" s="353">
        <f>SUM(N145,N154)</f>
        <v>364980</v>
      </c>
      <c r="O156" s="282">
        <f>SUM(O145,O154)</f>
        <v>364980</v>
      </c>
      <c r="P156" s="353">
        <f>SUM(P145,P154)</f>
        <v>344085</v>
      </c>
      <c r="Q156" s="353">
        <f>SUM(Q145,Q154)</f>
        <v>331233</v>
      </c>
      <c r="R156" s="353">
        <f>SUM(R145,R154)</f>
        <v>331495</v>
      </c>
      <c r="S156" s="353">
        <f>SUM(S145,S154)</f>
        <v>359241</v>
      </c>
      <c r="T156" s="282">
        <f>SUM(T145,T154)</f>
        <v>359241</v>
      </c>
      <c r="U156" s="353">
        <f>SUM(U145,U154)</f>
        <v>379297</v>
      </c>
      <c r="V156" s="353">
        <f>SUM(V145,V154)</f>
        <v>371082</v>
      </c>
      <c r="W156" s="353">
        <f t="shared" si="231"/>
        <v>49400</v>
      </c>
      <c r="X156" s="281">
        <f t="shared" si="231"/>
      </c>
      <c r="Y156" s="282">
        <f t="shared" si="231"/>
      </c>
      <c r="Z156" s="281">
        <f t="shared" si="231"/>
      </c>
      <c r="AA156" s="281">
        <f t="shared" si="231"/>
      </c>
      <c r="AB156" s="281">
        <f t="shared" si="231"/>
      </c>
      <c r="AC156" s="281">
        <f t="shared" si="231"/>
      </c>
      <c r="AD156" s="282">
        <f t="shared" si="231"/>
      </c>
      <c r="AE156" s="282">
        <f t="shared" si="231"/>
      </c>
      <c r="AF156" s="282">
        <f t="shared" si="231"/>
      </c>
      <c r="AG156" s="282">
        <f t="shared" si="231"/>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32">F132-F156</f>
        <v>1e-12</v>
      </c>
      <c r="G158" s="402">
        <f>G132-G156</f>
        <v>1e-12</v>
      </c>
      <c r="H158" s="402">
        <f>H132-H156</f>
        <v>1e-12</v>
      </c>
      <c r="I158" s="402">
        <f>I132-I156</f>
        <v>1e-12</v>
      </c>
      <c r="J158" s="403">
        <f>J132-J156</f>
        <v>1e-12</v>
      </c>
      <c r="K158" s="402">
        <f>K132-K156</f>
        <v>1e-12</v>
      </c>
      <c r="L158" s="402">
        <f>L132-L156</f>
        <v>1e-12</v>
      </c>
      <c r="M158" s="402">
        <f>M132-M156</f>
        <v>1e-12</v>
      </c>
      <c r="N158" s="402">
        <f>N132-N156</f>
        <v>1e-12</v>
      </c>
      <c r="O158" s="403">
        <f>O132-O156</f>
        <v>1e-12</v>
      </c>
      <c r="P158" s="402">
        <f>P132-P156</f>
        <v>1e-12</v>
      </c>
      <c r="Q158" s="402">
        <f>Q132-Q156</f>
        <v>1e-12</v>
      </c>
      <c r="R158" s="402">
        <f>R132-R156</f>
        <v>1e-12</v>
      </c>
      <c r="S158" s="402">
        <f>S132-S156</f>
        <v>1e-12</v>
      </c>
      <c r="T158" s="403">
        <f>T132-T156</f>
        <v>1e-12</v>
      </c>
      <c r="U158" s="402">
        <f>U132-U156</f>
        <v>1e-12</v>
      </c>
      <c r="V158" s="402">
        <f>V132-V156</f>
        <v>1e-12</v>
      </c>
      <c r="W158" s="402">
        <f t="shared" si="232"/>
        <v>0</v>
      </c>
      <c r="X158" s="404">
        <f t="shared" si="232"/>
      </c>
      <c r="Y158" s="403">
        <f t="shared" si="232"/>
      </c>
      <c r="Z158" s="404">
        <f t="shared" si="232"/>
      </c>
      <c r="AA158" s="404">
        <f t="shared" si="232"/>
      </c>
      <c r="AB158" s="404">
        <f t="shared" si="232"/>
      </c>
      <c r="AC158" s="404">
        <f t="shared" si="232"/>
      </c>
      <c r="AD158" s="403">
        <f t="shared" si="232"/>
      </c>
      <c r="AE158" s="403">
        <f t="shared" si="232"/>
      </c>
      <c r="AF158" s="403">
        <f t="shared" si="232"/>
      </c>
      <c r="AG158" s="405">
        <f t="shared" si="232"/>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F$25</f>
        <v>1e-12</v>
      </c>
      <c r="G160" s="63" t="str">
        <f t="shared" ref="G160:AG160" si="233">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34">C121</f>
        <v>Accounts Receivable</v>
      </c>
      <c r="D162" s="16"/>
      <c r="E162" s="16"/>
      <c r="F162" s="353">
        <f t="shared" ref="F162:W162" si="235">F121</f>
        <v>23752</v>
      </c>
      <c r="G162" s="353">
        <f>G121</f>
        <v>17936</v>
      </c>
      <c r="H162" s="353">
        <f>H121</f>
        <v>19549</v>
      </c>
      <c r="I162" s="353">
        <f>I121</f>
        <v>29508</v>
      </c>
      <c r="J162" s="282">
        <f>J121</f>
        <v>29508</v>
      </c>
      <c r="K162" s="353">
        <f>K121</f>
        <v>23194</v>
      </c>
      <c r="L162" s="353">
        <f>L121</f>
        <v>21837</v>
      </c>
      <c r="M162" s="353">
        <f>M121</f>
        <v>22795</v>
      </c>
      <c r="N162" s="353">
        <f>N121</f>
        <v>33410</v>
      </c>
      <c r="O162" s="282">
        <f>O121</f>
        <v>33410</v>
      </c>
      <c r="P162" s="353">
        <f>P121</f>
        <v>29639</v>
      </c>
      <c r="Q162" s="353">
        <f>Q121</f>
        <v>26136</v>
      </c>
      <c r="R162" s="353">
        <f>R121</f>
        <v>27557</v>
      </c>
      <c r="S162" s="353">
        <f>S121</f>
        <v>39777</v>
      </c>
      <c r="T162" s="282">
        <f>T121</f>
        <v>39777</v>
      </c>
      <c r="U162" s="353">
        <f>U121</f>
        <v>39921</v>
      </c>
      <c r="V162" s="353">
        <f>V121</f>
        <v>30339</v>
      </c>
      <c r="W162" s="353">
        <f>W121</f>
      </c>
      <c r="X162" s="281">
        <f>X182*X28/X$26</f>
        <v>0</v>
      </c>
      <c r="Y162" s="282">
        <f t="shared" ref="Y162:Y164" si="236">X162</f>
        <v>0</v>
      </c>
      <c r="Z162" s="281">
        <f t="shared" ref="Z162:AC162" si="237">Z182*Z28/Z$26</f>
        <v>0</v>
      </c>
      <c r="AA162" s="281">
        <f>AA182*AA28/AA$26</f>
      </c>
      <c r="AB162" s="281">
        <f>AB182*AB28/AB$26</f>
      </c>
      <c r="AC162" s="281">
        <f>AC182*AC28/AC$26</f>
      </c>
      <c r="AD162" s="282">
        <f t="shared" ref="AD162:AD164" si="238">AC162</f>
        <v>0</v>
      </c>
      <c r="AE162" s="282">
        <f t="shared" ref="AE162:AG162" si="239">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40">F122</f>
        <v>6820</v>
      </c>
      <c r="G163" s="384">
        <f>G122</f>
        <v>7482</v>
      </c>
      <c r="H163" s="384">
        <f>H122</f>
        <v>7351</v>
      </c>
      <c r="I163" s="384">
        <f>I122</f>
        <v>6331</v>
      </c>
      <c r="J163" s="162">
        <f>J122</f>
        <v>6331</v>
      </c>
      <c r="K163" s="384">
        <f>K122</f>
        <v>6511</v>
      </c>
      <c r="L163" s="384">
        <f>L122</f>
        <v>6232</v>
      </c>
      <c r="M163" s="384">
        <f>M122</f>
        <v>6165</v>
      </c>
      <c r="N163" s="384">
        <f>N122</f>
        <v>7286</v>
      </c>
      <c r="O163" s="162">
        <f>O122</f>
        <v>7286</v>
      </c>
      <c r="P163" s="384">
        <f>P122</f>
        <v>6911</v>
      </c>
      <c r="Q163" s="384">
        <f>Q122</f>
        <v>6269</v>
      </c>
      <c r="R163" s="384">
        <f>R122</f>
        <v>5925</v>
      </c>
      <c r="S163" s="384">
        <f>S122</f>
        <v>5718</v>
      </c>
      <c r="T163" s="162">
        <f>T122</f>
        <v>5718</v>
      </c>
      <c r="U163" s="384">
        <f>U122</f>
        <v>5875</v>
      </c>
      <c r="V163" s="384">
        <f>V122</f>
        <v>6747</v>
      </c>
      <c r="W163" s="384">
        <f>W122</f>
        <v>16685</v>
      </c>
      <c r="X163" s="359">
        <f>X183*-X29/X$26</f>
        <v>18529.950326086957</v>
      </c>
      <c r="Y163" s="162">
        <f>X163</f>
        <v>18529.950326086957</v>
      </c>
      <c r="Z163" s="359">
        <f t="shared" ref="Z163:AC163" si="241">Z183*-Z29/Z$26</f>
        <v>23065.506292307695</v>
      </c>
      <c r="AA163" s="359">
        <f>AA183*-AA29/AA$26</f>
        <v>22014.14833107692</v>
      </c>
      <c r="AB163" s="359">
        <f>AB183*-AB29/AB$26</f>
        <v>20954.80490032696</v>
      </c>
      <c r="AC163" s="359">
        <f>AC183*-AC29/AC$26</f>
        <v>20718.783200747737</v>
      </c>
      <c r="AD163" s="162">
        <f>AC163</f>
        <v>20718.783200747737</v>
      </c>
      <c r="AE163" s="162">
        <f t="shared" ref="AE163:AG163" si="242">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43">F123</f>
        <v>77670</v>
      </c>
      <c r="G164" s="372">
        <f>G123</f>
        <v>62808</v>
      </c>
      <c r="H164" s="372">
        <f>H123</f>
        <v>67351</v>
      </c>
      <c r="I164" s="372">
        <f>I123</f>
        <v>77762</v>
      </c>
      <c r="J164" s="355">
        <f>J123</f>
        <v>77762</v>
      </c>
      <c r="K164" s="372">
        <f>K123</f>
        <v>73227</v>
      </c>
      <c r="L164" s="372">
        <f>L123</f>
        <v>67652</v>
      </c>
      <c r="M164" s="372">
        <f>M123</f>
        <v>70910</v>
      </c>
      <c r="N164" s="372">
        <f>N123</f>
        <v>82348</v>
      </c>
      <c r="O164" s="355">
        <f>O123</f>
        <v>82348</v>
      </c>
      <c r="P164" s="372">
        <f>P123</f>
        <v>66391</v>
      </c>
      <c r="Q164" s="372">
        <f>Q123</f>
        <v>58107</v>
      </c>
      <c r="R164" s="372">
        <f>R123</f>
        <v>52740</v>
      </c>
      <c r="S164" s="372">
        <f>S123</f>
        <v>66528</v>
      </c>
      <c r="T164" s="355">
        <f>T123</f>
        <v>66528</v>
      </c>
      <c r="U164" s="372">
        <f>U123</f>
        <v>66991</v>
      </c>
      <c r="V164" s="372">
        <f>V123</f>
        <v>61456</v>
      </c>
      <c r="W164" s="372">
        <f>W123</f>
        <v>1491</v>
      </c>
      <c r="X164" s="356">
        <f>X186*X28*4</f>
        <v>0</v>
      </c>
      <c r="Y164" s="355">
        <f>X164</f>
      </c>
      <c r="Z164" s="356">
        <f t="shared" ref="Z164:AC164" si="244">Z186*Z28*4</f>
        <v>1849.7576159999996</v>
      </c>
      <c r="AA164" s="356">
        <f>AA186*AA28*4</f>
        <v>2108.72368224</v>
      </c>
      <c r="AB164" s="356">
        <f>AB186*AB28*4</f>
        <v>1855.6768403712</v>
      </c>
      <c r="AC164" s="356">
        <f>AC186*AC28*4</f>
        <v>1762.8929983526398</v>
      </c>
      <c r="AD164" s="355">
        <f>AC164</f>
        <v>1762.8929983526398</v>
      </c>
      <c r="AE164" s="355">
        <f t="shared" ref="AE164:AG164" si="245">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46">SUM(F162:F164)</f>
        <v>108242</v>
      </c>
      <c r="G165" s="353">
        <f>SUM(G162:G164)</f>
        <v>88226</v>
      </c>
      <c r="H165" s="353">
        <f>SUM(H162:H164)</f>
        <v>94251</v>
      </c>
      <c r="I165" s="353">
        <f>SUM(I162:I164)</f>
        <v>113601</v>
      </c>
      <c r="J165" s="282">
        <f>SUM(J162:J164)</f>
        <v>113601</v>
      </c>
      <c r="K165" s="353">
        <f>SUM(K162:K164)</f>
        <v>102932</v>
      </c>
      <c r="L165" s="353">
        <f>SUM(L162:L164)</f>
        <v>95721</v>
      </c>
      <c r="M165" s="353">
        <f>SUM(M162:M164)</f>
        <v>99870</v>
      </c>
      <c r="N165" s="353">
        <f>SUM(N162:N164)</f>
        <v>123044</v>
      </c>
      <c r="O165" s="282">
        <f>SUM(O162:O164)</f>
        <v>123044</v>
      </c>
      <c r="P165" s="353">
        <f>SUM(P162:P164)</f>
        <v>102941</v>
      </c>
      <c r="Q165" s="353">
        <f>SUM(Q162:Q164)</f>
        <v>90512</v>
      </c>
      <c r="R165" s="353">
        <f>SUM(R162:R164)</f>
        <v>86222</v>
      </c>
      <c r="S165" s="353">
        <f>SUM(S162:S164)</f>
        <v>112023</v>
      </c>
      <c r="T165" s="282">
        <f>SUM(T162:T164)</f>
        <v>112023</v>
      </c>
      <c r="U165" s="353">
        <f>SUM(U162:U164)</f>
        <v>112787</v>
      </c>
      <c r="V165" s="353">
        <f>SUM(V162:V164)</f>
        <v>98542</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47">C134</f>
        <v>Accounts Payable</v>
      </c>
      <c r="D167" s="16"/>
      <c r="E167" s="16"/>
      <c r="F167" s="353">
        <f t="shared" ref="F167:W167" si="248">F134</f>
        <v>57918</v>
      </c>
      <c r="G167" s="353">
        <f>G134</f>
        <v>42945</v>
      </c>
      <c r="H167" s="353">
        <f>H134</f>
        <v>46699</v>
      </c>
      <c r="I167" s="353">
        <f>I134</f>
        <v>62611</v>
      </c>
      <c r="J167" s="282">
        <f>J134</f>
        <v>62611</v>
      </c>
      <c r="K167" s="353">
        <f>K134</f>
        <v>58146</v>
      </c>
      <c r="L167" s="353">
        <f>L134</f>
        <v>45753</v>
      </c>
      <c r="M167" s="353">
        <f>M134</f>
        <v>47574</v>
      </c>
      <c r="N167" s="353">
        <f>N134</f>
        <v>68960</v>
      </c>
      <c r="O167" s="282">
        <f>O134</f>
        <v>68960</v>
      </c>
      <c r="P167" s="353">
        <f>P134</f>
        <v>61910</v>
      </c>
      <c r="Q167" s="353">
        <f>Q134</f>
        <v>54126</v>
      </c>
      <c r="R167" s="353">
        <f>R134</f>
        <v>50374</v>
      </c>
      <c r="S167" s="353">
        <f>S134</f>
        <v>69860</v>
      </c>
      <c r="T167" s="282">
        <f>T134</f>
        <v>69860</v>
      </c>
      <c r="U167" s="353">
        <f>U134</f>
        <v>70587</v>
      </c>
      <c r="V167" s="353">
        <f>V134</f>
        <v>57349</v>
      </c>
      <c r="W167" s="353">
        <f>W134</f>
        <v>11334</v>
      </c>
      <c r="X167" s="281">
        <f>X184*-X29/X26</f>
        <v>11323.858532608696</v>
      </c>
      <c r="Y167" s="282">
        <f t="shared" ref="Y167:Y169" si="249">X167</f>
        <v>11323.858532608696</v>
      </c>
      <c r="Z167" s="281">
        <f t="shared" ref="Z167:AC167" si="250">Z184*-Z29/Z26</f>
        <v>14082.098578461539</v>
      </c>
      <c r="AA167" s="281">
        <f>AA184*-AA29/AA26</f>
        <v>13208.488998646155</v>
      </c>
      <c r="AB167" s="281">
        <f>AB184*-AB29/AB26</f>
        <v>13065.937173145043</v>
      </c>
      <c r="AC167" s="281">
        <f>AC184*-AC29/AC26</f>
        <v>12661.478622679173</v>
      </c>
      <c r="AD167" s="282">
        <f t="shared" ref="AD167:AD169" si="251">AC167</f>
        <v>12661.478622679173</v>
      </c>
      <c r="AE167" s="282">
        <f t="shared" ref="AE167:AG167" si="252">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53">F135</f>
        <v>71376</v>
      </c>
      <c r="G168" s="384">
        <f>G135</f>
        <v>68999</v>
      </c>
      <c r="H168" s="384">
        <f>H135</f>
        <v>70106</v>
      </c>
      <c r="I168" s="384">
        <f>I135</f>
        <v>74636</v>
      </c>
      <c r="J168" s="162">
        <f>J135</f>
        <v>74636</v>
      </c>
      <c r="K168" s="384">
        <f>K135</f>
        <v>67563</v>
      </c>
      <c r="L168" s="384">
        <f>L135</f>
        <v>70057</v>
      </c>
      <c r="M168" s="384">
        <f>M135</f>
        <v>75997</v>
      </c>
      <c r="N168" s="384">
        <f>N135</f>
        <v>99183</v>
      </c>
      <c r="O168" s="162">
        <f>O135</f>
        <v>99183</v>
      </c>
      <c r="P168" s="384">
        <f>P135</f>
        <v>73994</v>
      </c>
      <c r="Q168" s="384">
        <f>Q135</f>
        <v>81469</v>
      </c>
      <c r="R168" s="384">
        <f>R135</f>
        <v>81767</v>
      </c>
      <c r="S168" s="384">
        <f>S135</f>
        <v>86716</v>
      </c>
      <c r="T168" s="162">
        <f>T135</f>
        <v>86716</v>
      </c>
      <c r="U168" s="384">
        <f>U135</f>
        <v>82367</v>
      </c>
      <c r="V168" s="384">
        <f>V135</f>
        <v>67961</v>
      </c>
      <c r="W168" s="384">
        <f>W135</f>
        <v>1353</v>
      </c>
      <c r="X168" s="359">
        <f>X187*-X29*4</f>
        <v>947.08635</v>
      </c>
      <c r="Y168" s="162">
        <f>X168</f>
        <v>947.08635</v>
      </c>
      <c r="Z168" s="359">
        <f t="shared" ref="Z168:AC168" si="254">Z187*-Z29*4</f>
        <v>1104.716354</v>
      </c>
      <c r="AA168" s="359">
        <f>AA187*-AA29*4</f>
        <v>1252.05468633</v>
      </c>
      <c r="AB168" s="359">
        <f>AB187*-AB29*4</f>
        <v>1134.0247357824</v>
      </c>
      <c r="AC168" s="359">
        <f>AC187*-AC29*4</f>
        <v>1058.9600302604401</v>
      </c>
      <c r="AD168" s="162">
        <f>AC168</f>
        <v>1058.9600302604401</v>
      </c>
      <c r="AE168" s="162">
        <f t="shared" ref="AE168:AG168" si="255">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56">F136</f>
        <v>7992</v>
      </c>
      <c r="G169" s="372">
        <f>G136</f>
        <v>8131</v>
      </c>
      <c r="H169" s="372">
        <f>H136</f>
        <v>8158</v>
      </c>
      <c r="I169" s="372">
        <f>I136</f>
        <v>8061</v>
      </c>
      <c r="J169" s="355">
        <f>J136</f>
        <v>8061</v>
      </c>
      <c r="K169" s="372">
        <f>K136</f>
        <v>8264</v>
      </c>
      <c r="L169" s="372">
        <f>L136</f>
        <v>8012</v>
      </c>
      <c r="M169" s="372">
        <f>M136</f>
        <v>8053</v>
      </c>
      <c r="N169" s="372">
        <f>N136</f>
        <v>8249</v>
      </c>
      <c r="O169" s="355">
        <f>O136</f>
        <v>8249</v>
      </c>
      <c r="P169" s="372">
        <f>P136</f>
        <v>8461</v>
      </c>
      <c r="Q169" s="372">
        <f>Q136</f>
        <v>8976</v>
      </c>
      <c r="R169" s="372">
        <f>R136</f>
        <v>8979</v>
      </c>
      <c r="S169" s="372">
        <f>S136</f>
        <v>9055</v>
      </c>
      <c r="T169" s="355">
        <f>T136</f>
        <v>9055</v>
      </c>
      <c r="U169" s="372">
        <f>U136</f>
        <v>9413</v>
      </c>
      <c r="V169" s="372">
        <f>V136</f>
        <v>9331</v>
      </c>
      <c r="W169" s="372">
        <f>W136</f>
        <v>6795</v>
      </c>
      <c r="X169" s="356">
        <f>X188*-X29*4</f>
        <v>9470.8635</v>
      </c>
      <c r="Y169" s="355">
        <f>X169</f>
        <v>9470.8635</v>
      </c>
      <c r="Z169" s="356">
        <f t="shared" ref="Z169:AC169" si="257">Z188*-Z29*4</f>
        <v>9721.503915199999</v>
      </c>
      <c r="AA169" s="356">
        <f>AA188*-AA29*4</f>
        <v>11018.081239704</v>
      </c>
      <c r="AB169" s="356">
        <f>AB188*-AB29*4</f>
        <v>11340.247357824</v>
      </c>
      <c r="AC169" s="356">
        <f>AC188*-AC29*4</f>
        <v>10589.6003026044</v>
      </c>
      <c r="AD169" s="355">
        <f>AC169</f>
        <v>10589.6003026044</v>
      </c>
      <c r="AE169" s="355">
        <f t="shared" ref="AE169:AG169" si="258">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59">SUM(F167:F169)</f>
        <v>137286</v>
      </c>
      <c r="G170" s="353">
        <f>SUM(G167:G169)</f>
        <v>120075</v>
      </c>
      <c r="H170" s="353">
        <f>SUM(H167:H169)</f>
        <v>124963</v>
      </c>
      <c r="I170" s="353">
        <f>SUM(I167:I169)</f>
        <v>145308</v>
      </c>
      <c r="J170" s="282">
        <f>SUM(J167:J169)</f>
        <v>145308</v>
      </c>
      <c r="K170" s="353">
        <f>SUM(K167:K169)</f>
        <v>133973</v>
      </c>
      <c r="L170" s="353">
        <f>SUM(L167:L169)</f>
        <v>123822</v>
      </c>
      <c r="M170" s="353">
        <f>SUM(M167:M169)</f>
        <v>131624</v>
      </c>
      <c r="N170" s="353">
        <f>SUM(N167:N169)</f>
        <v>176392</v>
      </c>
      <c r="O170" s="282">
        <f>SUM(O167:O169)</f>
        <v>176392</v>
      </c>
      <c r="P170" s="353">
        <f>SUM(P167:P169)</f>
        <v>144365</v>
      </c>
      <c r="Q170" s="353">
        <f>SUM(Q167:Q169)</f>
        <v>144571</v>
      </c>
      <c r="R170" s="353">
        <f>SUM(R167:R169)</f>
        <v>141120</v>
      </c>
      <c r="S170" s="353">
        <f>SUM(S167:S169)</f>
        <v>165631</v>
      </c>
      <c r="T170" s="282">
        <f>SUM(T167:T169)</f>
        <v>165631</v>
      </c>
      <c r="U170" s="353">
        <f>SUM(U167:U169)</f>
        <v>162367</v>
      </c>
      <c r="V170" s="353">
        <f>SUM(V167:V169)</f>
        <v>134641</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60">F165-F170</f>
        <v>-29044</v>
      </c>
      <c r="G172" s="353">
        <f>G165-G170</f>
        <v>-31849</v>
      </c>
      <c r="H172" s="353">
        <f>H165-H170</f>
        <v>-30712</v>
      </c>
      <c r="I172" s="353">
        <f>I165-I170</f>
        <v>-31707</v>
      </c>
      <c r="J172" s="282">
        <f>J165-J170</f>
        <v>-31707</v>
      </c>
      <c r="K172" s="353">
        <f>K165-K170</f>
        <v>-31041</v>
      </c>
      <c r="L172" s="353">
        <f>L165-L170</f>
        <v>-28101</v>
      </c>
      <c r="M172" s="353">
        <f>M165-M170</f>
        <v>-31754</v>
      </c>
      <c r="N172" s="353">
        <f>N165-N170</f>
        <v>-53348</v>
      </c>
      <c r="O172" s="282">
        <f>O165-O170</f>
        <v>-53348</v>
      </c>
      <c r="P172" s="353">
        <f>P165-P170</f>
        <v>-41424</v>
      </c>
      <c r="Q172" s="353">
        <f>Q165-Q170</f>
        <v>-54059</v>
      </c>
      <c r="R172" s="353">
        <f>R165-R170</f>
        <v>-54898</v>
      </c>
      <c r="S172" s="353">
        <f>S165-S170</f>
        <v>-53608</v>
      </c>
      <c r="T172" s="282">
        <f>T165-T170</f>
        <v>-53608</v>
      </c>
      <c r="U172" s="353">
        <f>U165-U170</f>
        <v>-49580</v>
      </c>
      <c r="V172" s="353">
        <f>V165-V170</f>
        <v>-36099</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61">G172-F172</f>
        <v>-2805</v>
      </c>
      <c r="H174" s="388">
        <f>H172-G172</f>
        <v>1137</v>
      </c>
      <c r="I174" s="388">
        <f>I172-H172</f>
        <v>-995</v>
      </c>
      <c r="J174" s="100"/>
      <c r="K174" s="388">
        <f t="shared" ref="K174:N174" si="262">-(K172-J172)</f>
        <v>-666</v>
      </c>
      <c r="L174" s="388">
        <f>-(L172-K172)</f>
        <v>-2940</v>
      </c>
      <c r="M174" s="388">
        <f>-(M172-L172)</f>
        <v>3653</v>
      </c>
      <c r="N174" s="388">
        <f>-(N172-M172)</f>
        <v>21594</v>
      </c>
      <c r="O174" s="389">
        <f>-(O172-J172)</f>
        <v>21641</v>
      </c>
      <c r="P174" s="388">
        <f t="shared" ref="P174:S174" si="263">-(P172-O172)</f>
        <v>-11924</v>
      </c>
      <c r="Q174" s="388">
        <f>-(Q172-P172)</f>
        <v>12635</v>
      </c>
      <c r="R174" s="388">
        <f>-(R172-Q172)</f>
        <v>839</v>
      </c>
      <c r="S174" s="388">
        <f>-(S172-R172)</f>
        <v>-1290</v>
      </c>
      <c r="T174" s="389">
        <f>-(T172-O172)</f>
        <v>260</v>
      </c>
      <c r="U174" s="388">
        <f t="shared" ref="U174:X174" si="264">-(U172-T172)</f>
        <v>-4028</v>
      </c>
      <c r="V174" s="388">
        <f>-(V172-U172)</f>
        <v>-13481</v>
      </c>
      <c r="W174" s="388">
        <f>-(W172-V172)</f>
        <v>-186</v>
      </c>
      <c r="X174" s="390">
        <f>-(X172-W172)</f>
        <v>1905.858056521738</v>
      </c>
      <c r="Y174" s="389">
        <f>-(Y172-T172)</f>
        <v>3432.858056521738</v>
      </c>
      <c r="Z174" s="390">
        <f t="shared" ref="Z174:AC174" si="265">-(Z172-Y172)</f>
        <v>-3218.803117167892</v>
      </c>
      <c r="AA174" s="390">
        <f>-(AA172-Z172)</f>
        <v>1362.6979720093877</v>
      </c>
      <c r="AB174" s="390">
        <f>-(AB172-AA172)</f>
        <v>1373.9746146900507</v>
      </c>
      <c r="AC174" s="390">
        <f>-(AC172-AB172)</f>
        <v>-901.3647696096486</v>
      </c>
      <c r="AD174" s="389">
        <f>-(AD172-Y172)</f>
        <v>-1383.4953000781024</v>
      </c>
      <c r="AE174" s="389">
        <f t="shared" ref="AE174:AG174" si="266">-(AE172-AD172)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67">F162+F163-F167</f>
        <v>-27346</v>
      </c>
      <c r="G176" s="353">
        <f>G162+G163-G167</f>
        <v>-17527</v>
      </c>
      <c r="H176" s="353">
        <f>H162+H163-H167</f>
        <v>-19799</v>
      </c>
      <c r="I176" s="353">
        <f>I162+I163-I167</f>
        <v>-26772</v>
      </c>
      <c r="J176" s="282">
        <f>J162+J163-J167</f>
        <v>-26772</v>
      </c>
      <c r="K176" s="353">
        <f>K162+K163-K167</f>
        <v>-28441</v>
      </c>
      <c r="L176" s="353">
        <f>L162+L163-L167</f>
        <v>-17684</v>
      </c>
      <c r="M176" s="353">
        <f>M162+M163-M167</f>
        <v>-18614</v>
      </c>
      <c r="N176" s="353">
        <f>N162+N163-N167</f>
        <v>-28264</v>
      </c>
      <c r="O176" s="282">
        <f>O162+O163-O167</f>
        <v>-28264</v>
      </c>
      <c r="P176" s="353">
        <f>P162+P163-P167</f>
        <v>-25360</v>
      </c>
      <c r="Q176" s="353">
        <f>Q162+Q163-Q167</f>
        <v>-21721</v>
      </c>
      <c r="R176" s="353">
        <f>R162+R163-R167</f>
        <v>-16892</v>
      </c>
      <c r="S176" s="353">
        <f>S162+S163-S167</f>
        <v>-24365</v>
      </c>
      <c r="T176" s="282">
        <f>T162+T163-T167</f>
        <v>-24365</v>
      </c>
      <c r="U176" s="353">
        <f>U162+U163-U167</f>
        <v>-24791</v>
      </c>
      <c r="V176" s="353">
        <f>V162+V163-V167</f>
        <v>-20263</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68">G176-F176</f>
        <v>9819</v>
      </c>
      <c r="H178" s="388">
        <f>H176-G176</f>
        <v>-2272</v>
      </c>
      <c r="I178" s="388">
        <f>I176-H176</f>
        <v>-6973</v>
      </c>
      <c r="J178" s="100"/>
      <c r="K178" s="388">
        <f t="shared" ref="K178:N178" si="269">-(K176-J176)</f>
        <v>1669</v>
      </c>
      <c r="L178" s="388">
        <f>-(L176-K176)</f>
        <v>-10757</v>
      </c>
      <c r="M178" s="388">
        <f>-(M176-L176)</f>
        <v>930</v>
      </c>
      <c r="N178" s="388">
        <f>-(N176-M176)</f>
        <v>9650</v>
      </c>
      <c r="O178" s="389">
        <f>-(O176-J176)</f>
        <v>1492</v>
      </c>
      <c r="P178" s="388">
        <f t="shared" ref="P178:S178" si="270">-(P176-O176)</f>
        <v>-2904</v>
      </c>
      <c r="Q178" s="388">
        <f>-(Q176-P176)</f>
        <v>-3639</v>
      </c>
      <c r="R178" s="388">
        <f>-(R176-Q176)</f>
        <v>-4829</v>
      </c>
      <c r="S178" s="388">
        <f>-(S176-R176)</f>
        <v>7473</v>
      </c>
      <c r="T178" s="389">
        <f>-(T176-O176)</f>
        <v>-3899</v>
      </c>
      <c r="U178" s="388">
        <f t="shared" ref="U178:X178" si="271">-(U176-T176)</f>
        <v>426</v>
      </c>
      <c r="V178" s="388">
        <f>-(V176-U176)</f>
        <v>-4528</v>
      </c>
      <c r="W178" s="388">
        <f>-(W176-V176)</f>
        <v>-40</v>
      </c>
      <c r="X178" s="390">
        <f>-(X176-W176)</f>
        <v>-1855.091793478261</v>
      </c>
      <c r="Y178" s="389">
        <f>-(Y176-T176)</f>
        <v>-1897.091793478261</v>
      </c>
      <c r="Z178" s="390">
        <f t="shared" ref="Z178:AC178" si="272">-(Z176-Y176)</f>
        <v>-1777.3159203678952</v>
      </c>
      <c r="AA178" s="390">
        <f>-(AA176-Z176)</f>
        <v>177.7483814153893</v>
      </c>
      <c r="AB178" s="390">
        <f>-(AB176-AA176)</f>
        <v>916.7916052488508</v>
      </c>
      <c r="AC178" s="390">
        <f>-(AC176-AB176)</f>
        <v>-168.43685088664824</v>
      </c>
      <c r="AD178" s="389">
        <f>-(AD176-Y176)</f>
        <v>-851.2127845903033</v>
      </c>
      <c r="AE178" s="389">
        <f t="shared" ref="AE178:AG178" si="273">-(AE176-AD176)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74">AVERAGE(F162:G162)/G$28*G$26</f>
        <v>1e-12</v>
      </c>
      <c r="H182" s="384">
        <f>AVERAGE(G162:H162)/H$28*H$26</f>
        <v>1e-12</v>
      </c>
      <c r="I182" s="384">
        <f>AVERAGE(H162:I162)/I$28*I$26</f>
        <v>1e-12</v>
      </c>
      <c r="J182" s="162">
        <f>AVERAGE(F162:I162)/J$28*J$26</f>
        <v>1e-12</v>
      </c>
      <c r="K182" s="382">
        <f>AVERAGE(I162,K162)/K$28*K$26</f>
        <v>1e-12</v>
      </c>
      <c r="L182" s="384">
        <f t="shared" ref="L182:N182" si="275">AVERAGE(K162:L162)/L$28*L$26</f>
        <v>1e-12</v>
      </c>
      <c r="M182" s="384">
        <f>AVERAGE(L162:M162)/M$28*M$26</f>
        <v>1e-12</v>
      </c>
      <c r="N182" s="384">
        <f>AVERAGE(M162:N162)/N$28*N$26</f>
        <v>1e-12</v>
      </c>
      <c r="O182" s="162">
        <f>AVERAGE(J162,O162)/O$28*O$26</f>
        <v>1e-12</v>
      </c>
      <c r="P182" s="382">
        <f>AVERAGE(N162,P162)/P$28*P$26</f>
        <v>1e-12</v>
      </c>
      <c r="Q182" s="384">
        <f t="shared" ref="Q182:S182" si="276">AVERAGE(P162:Q162)/Q$28*Q$26</f>
        <v>1e-12</v>
      </c>
      <c r="R182" s="384">
        <f>AVERAGE(Q162:R162)/R$28*R$26</f>
        <v>1e-12</v>
      </c>
      <c r="S182" s="384">
        <f>AVERAGE(R162:S162)/S$28*S$26</f>
        <v>1e-12</v>
      </c>
      <c r="T182" s="162">
        <f>AVERAGE(O162,T162)/T$28*T$26</f>
        <v>1e-12</v>
      </c>
      <c r="U182" s="382">
        <f>AVERAGE(S162,U162)/U$28*U$26</f>
        <v>1e-12</v>
      </c>
      <c r="V182" s="384">
        <f t="shared" ref="V182:W182" si="277">AVERAGE(U162:V162)/V$28*V$26</f>
        <v>1e-12</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78">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79">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80">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81">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282">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283">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284">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285">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286">SUM(G182:G183)-G184</f>
        <v>19.946343779678102</v>
      </c>
      <c r="H185" s="384">
        <f>SUM(H182:H183)-H184</f>
        <v>23.412845597619025</v>
      </c>
      <c r="I185" s="384">
        <f>SUM(I182:I183)-I184</f>
        <v>29.179429752779</v>
      </c>
      <c r="J185" s="162">
        <f>SUM(J182:J183)-J184</f>
        <v>25.265955248859484</v>
      </c>
      <c r="K185" s="382">
        <f>SUM(K182:K183)-K184</f>
        <v>28.950246710527324</v>
      </c>
      <c r="L185" s="384">
        <f>SUM(L182:L183)-L184</f>
        <v>24.812377210217107</v>
      </c>
      <c r="M185" s="384">
        <f>SUM(M182:M183)-M184</f>
        <v>35.7294858699363</v>
      </c>
      <c r="N185" s="384">
        <f>SUM(N182:N183)-N184</f>
        <v>43.37202354006436</v>
      </c>
      <c r="O185" s="162">
        <f>SUM(O182:O183)-O184</f>
        <v>36.35535006605119</v>
      </c>
      <c r="P185" s="382">
        <f>SUM(P182:P183)-P184</f>
        <v>30.6404801701879</v>
      </c>
      <c r="Q185" s="384">
        <f>SUM(Q182:Q183)-Q184</f>
        <v>11.01475163907201</v>
      </c>
      <c r="R185" s="384">
        <f>SUM(R182:R183)-R184</f>
        <v>11.854753814379038</v>
      </c>
      <c r="S185" s="384">
        <f>SUM(S182:S183)-S184</f>
        <v>27.450487540629382</v>
      </c>
      <c r="T185" s="162">
        <f>SUM(T182:T183)-T184</f>
        <v>32.93052454427399</v>
      </c>
      <c r="U185" s="382">
        <f>SUM(U182:U183)-U184</f>
        <v>26.86686717407416</v>
      </c>
      <c r="V185" s="384">
        <f>SUM(V182:V183)-V184</f>
        <v>24.24523496549557</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287">F164/(4*F28)</f>
        <v>0.16574338050770782</v>
      </c>
      <c r="G186" s="410">
        <f>G164/(4*G28)</f>
        <v>0.16557003669492598</v>
      </c>
      <c r="H186" s="410">
        <f>H164/(4*H28)</f>
        <v>0.20584801398584301</v>
      </c>
      <c r="I186" s="410">
        <f>I164/(4*I28)</f>
        <v>0.21721714451719593</v>
      </c>
      <c r="J186" s="214">
        <f>J164/(J28)</f>
        <v>0.20288297220084273</v>
      </c>
      <c r="K186" s="410">
        <f t="shared" ref="K186:N186" si="288">K164/(4*K28)</f>
        <v>0.15309847376123772</v>
      </c>
      <c r="L186" s="410">
        <f>L164/(4*L28)</f>
        <v>0.1863629852456668</v>
      </c>
      <c r="M186" s="410">
        <f>M164/(4*M28)</f>
        <v>0.2066696200613218</v>
      </c>
      <c r="N186" s="410">
        <f>N164/(4*N28)</f>
        <v>0.21686505846413145</v>
      </c>
      <c r="O186" s="214">
        <f>O164/(O28)</f>
        <v>0.21058984489879423</v>
      </c>
      <c r="P186" s="410">
        <f t="shared" ref="P186:S186" si="289">P164/(4*P28)</f>
        <v>0.13352976669348351</v>
      </c>
      <c r="Q186" s="410">
        <f>Q164/(4*Q28)</f>
        <v>0.15233748256588261</v>
      </c>
      <c r="R186" s="410">
        <f>R164/(4*R28)</f>
        <v>0.14021225913479943</v>
      </c>
      <c r="S186" s="410">
        <f>S164/(4*S28)</f>
        <v>0.16231725645579997</v>
      </c>
      <c r="T186" s="214">
        <f>T164/(T28)</f>
        <v>0.15986120756149663</v>
      </c>
      <c r="U186" s="410">
        <f t="shared" ref="U186:W186" si="290">U164/(4*U28)</f>
        <v>0.116501224296725</v>
      </c>
      <c r="V186" s="410">
        <f>V164/(4*V28)</f>
        <v>0.13818535041013094</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291">F168/(4*-F29)</f>
        <v>0.2670378019215229</v>
      </c>
      <c r="G187" s="410">
        <f>G168/(4*-G29)</f>
        <v>0.32632898221717743</v>
      </c>
      <c r="H187" s="410">
        <f>H168/(4*-H29)</f>
        <v>0.38618235501498327</v>
      </c>
      <c r="I187" s="410">
        <f>I168/(4*-I29)</f>
        <v>0.3802449511931691</v>
      </c>
      <c r="J187" s="214">
        <f>J168/(-J29)</f>
        <v>0.3485432223296301</v>
      </c>
      <c r="K187" s="410">
        <f t="shared" ref="K187:N187" si="292">K168/(4*-K29)</f>
        <v>0.26098192212608157</v>
      </c>
      <c r="L187" s="410">
        <f>L168/(4*-L29)</f>
        <v>0.36125262984200324</v>
      </c>
      <c r="M187" s="410">
        <f>M168/(4*-M29)</f>
        <v>0.41214017657649843</v>
      </c>
      <c r="N187" s="410">
        <f>N168/(4*-N29)</f>
        <v>0.48570547099958866</v>
      </c>
      <c r="O187" s="214">
        <f>O168/(-O29)</f>
        <v>0.4715096599984787</v>
      </c>
      <c r="P187" s="410">
        <f t="shared" ref="P187:S187" si="293">P168/(4*-P29)</f>
        <v>1.4054475003798814</v>
      </c>
      <c r="Q187" s="410">
        <f>Q168/(4*-Q29)</f>
        <v>1.1316396266251805</v>
      </c>
      <c r="R187" s="410">
        <f>R168/(4*-R29)</f>
        <v>1.3619661536411487</v>
      </c>
      <c r="S187" s="410">
        <f>S168/(4*-S29)</f>
        <v>0.40053579676674367</v>
      </c>
      <c r="T187" s="214">
        <f>T168/(-T29)</f>
        <v>0.8646180230123437</v>
      </c>
      <c r="U187" s="410">
        <f t="shared" ref="U187:W187" si="294">U168/(4*-U29)</f>
        <v>1.2639178738030936</v>
      </c>
      <c r="V187" s="410">
        <f>V168/(4*-V29)</f>
        <v>0.9305646839741483</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295">F169/(4*-F29)</f>
        <v>0.029900332225913623</v>
      </c>
      <c r="G188" s="410">
        <f>G169/(4*-G29)</f>
        <v>0.03845535376466137</v>
      </c>
      <c r="H188" s="410">
        <f>H169/(4*-H29)</f>
        <v>0.04493874493213467</v>
      </c>
      <c r="I188" s="410">
        <f>I169/(4*-I29)</f>
        <v>0.041068044262395305</v>
      </c>
      <c r="J188" s="214">
        <f>J169/(-J29)</f>
        <v>0.0376441250227658</v>
      </c>
      <c r="K188" s="410">
        <f t="shared" ref="K188:N188" si="296">K169/(4*-K29)</f>
        <v>0.0319221260815822</v>
      </c>
      <c r="L188" s="410">
        <f>L169/(4*-L29)</f>
        <v>0.041314302215255144</v>
      </c>
      <c r="M188" s="410">
        <f>M169/(4*-M29)</f>
        <v>0.043672313933057115</v>
      </c>
      <c r="N188" s="410">
        <f>N169/(4*-N29)</f>
        <v>0.04039587863117275</v>
      </c>
      <c r="O188" s="214">
        <f>O169/(-O29)</f>
        <v>0.039215220202327525</v>
      </c>
      <c r="P188" s="410">
        <f t="shared" ref="P188:S188" si="297">P169/(4*-P29)</f>
        <v>0.16070885883604316</v>
      </c>
      <c r="Q188" s="410">
        <f>Q169/(4*-Q29)</f>
        <v>0.1246805200577842</v>
      </c>
      <c r="R188" s="410">
        <f>R169/(4*-R29)</f>
        <v>0.149560263841695</v>
      </c>
      <c r="S188" s="410">
        <f>S169/(4*-S29)</f>
        <v>0.04182448036951501</v>
      </c>
      <c r="T188" s="214">
        <f>T169/(-T29)</f>
        <v>0.09028456338365207</v>
      </c>
      <c r="U188" s="410">
        <f t="shared" ref="U188:W188" si="298">U169/(4*-U29)</f>
        <v>0.14444205745150995</v>
      </c>
      <c r="V188" s="410">
        <f>V169/(4*-V29)</f>
        <v>0.1277659108336072</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F$25</f>
        <v>1e-12</v>
      </c>
      <c r="G190" s="63" t="str">
        <f t="shared" ref="G190:AG190" si="299">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00">Y196</f>
        <v>18963.9382</v>
      </c>
      <c r="AA192" s="281">
        <f>Z196</f>
        <v>19248.6551535</v>
      </c>
      <c r="AB192" s="281">
        <f>AA196</f>
        <v>19556.13592455375</v>
      </c>
      <c r="AC192" s="281">
        <f>AB196</f>
        <v>19652.04946651726</v>
      </c>
      <c r="AD192" s="282">
        <f>Y196</f>
        <v>18963.9382</v>
      </c>
      <c r="AE192" s="282">
        <f t="shared" ref="AE192:AG192" si="301">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02">SUM(F193:I193)</f>
        <v>1174</v>
      </c>
      <c r="K193" s="413">
        <v>205</v>
      </c>
      <c r="L193" s="413">
        <v>321</v>
      </c>
      <c r="M193" s="413">
        <v>401</v>
      </c>
      <c r="N193" s="413">
        <v>557</v>
      </c>
      <c r="O193" s="329">
        <f t="shared" ref="O193:O195" si="303">SUM(K193:N193)</f>
        <v>1484</v>
      </c>
      <c r="P193" s="413">
        <v>328</v>
      </c>
      <c r="Q193" s="413">
        <v>382</v>
      </c>
      <c r="R193" s="413">
        <v>462</v>
      </c>
      <c r="S193" s="413">
        <v>557</v>
      </c>
      <c r="T193" s="329">
        <f t="shared" ref="T193:T195" si="304">SUM(P193:S193)</f>
        <v>1729</v>
      </c>
      <c r="U193" s="413">
        <v>461</v>
      </c>
      <c r="V193" s="413">
        <f>846-U193</f>
        <v>385</v>
      </c>
      <c r="W193" s="413">
        <f>1256-SUM(U193:V193)</f>
        <v>410</v>
      </c>
      <c r="X193" s="330">
        <f>X200*X28</f>
        <v>370.1257</v>
      </c>
      <c r="Y193" s="329">
        <f t="shared" ref="Y193:Y195" si="305">SUM(U193:X193)</f>
        <v>1626.1257</v>
      </c>
      <c r="Z193" s="330">
        <f t="shared" ref="Z193:AC193" si="306">Z200*Z28</f>
        <v>616.585872</v>
      </c>
      <c r="AA193" s="330">
        <f>AA200*AA28</f>
        <v>644.3322362399999</v>
      </c>
      <c r="AB193" s="330">
        <f>AB200*AB28</f>
        <v>438.14592064320004</v>
      </c>
      <c r="AC193" s="330">
        <f>AC200*AC28</f>
        <v>416.23862461104</v>
      </c>
      <c r="AD193" s="329">
        <f t="shared" ref="AD193:AD195" si="307">SUM(Z193:AC193)</f>
        <v>2115.30265349424</v>
      </c>
      <c r="AE193" s="329">
        <f t="shared" ref="AE193:AG193" si="308">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1e-12</v>
      </c>
      <c r="K194" s="358"/>
      <c r="L194" s="358"/>
      <c r="M194" s="358"/>
      <c r="N194" s="358"/>
      <c r="O194" s="366">
        <f>SUM(K194:N194)</f>
        <v>1e-12</v>
      </c>
      <c r="P194" s="358"/>
      <c r="Q194" s="358"/>
      <c r="R194" s="358"/>
      <c r="S194" s="358"/>
      <c r="T194" s="366">
        <f>SUM(P194:S194)</f>
        <v>1e-12</v>
      </c>
      <c r="U194" s="358"/>
      <c r="V194" s="358">
        <f>-409+207</f>
        <v>-202</v>
      </c>
      <c r="W194" s="358">
        <f>-425+216</f>
        <v>-209</v>
      </c>
      <c r="X194" s="359">
        <f>-X201*X192/4</f>
        <v>-331.18750000000006</v>
      </c>
      <c r="Y194" s="329">
        <f>SUM(U194:X194)</f>
        <v>-1133.1875</v>
      </c>
      <c r="Z194" s="359">
        <f t="shared" ref="Z194:AC194" si="309">-Z201*Z192/4</f>
        <v>-331.86891850000006</v>
      </c>
      <c r="AA194" s="359">
        <f>-AA201*AA192/4</f>
        <v>-336.85146518625004</v>
      </c>
      <c r="AB194" s="359">
        <f>-AB201*AB192/4</f>
        <v>-342.23237867969067</v>
      </c>
      <c r="AC194" s="359">
        <f>-AC201*AC192/4</f>
        <v>-343.91086566405204</v>
      </c>
      <c r="AD194" s="329">
        <f>SUM(Z194:AC194)</f>
        <v>-1354.863628029993</v>
      </c>
      <c r="AE194" s="162">
        <f t="shared" ref="AE194:AG194" si="310">-AE201*AE192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v>1e-12</v>
      </c>
      <c r="K195" s="354">
        <v>0</v>
      </c>
      <c r="L195" s="354">
        <v>0</v>
      </c>
      <c r="M195" s="354">
        <v>0</v>
      </c>
      <c r="N195" s="354">
        <v>0</v>
      </c>
      <c r="O195" s="414">
        <f>SUM(K195:N195)</f>
        <v>1e-12</v>
      </c>
      <c r="P195" s="354">
        <v>0</v>
      </c>
      <c r="Q195" s="354">
        <v>0</v>
      </c>
      <c r="R195" s="354">
        <v>0</v>
      </c>
      <c r="S195" s="354">
        <v>0</v>
      </c>
      <c r="T195" s="414">
        <f>SUM(P195:S195)</f>
        <v>1e-12</v>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11">F126</f>
        <v>42951</v>
      </c>
      <c r="G196" s="353">
        <f>G126</f>
        <v>43398</v>
      </c>
      <c r="H196" s="353">
        <f>H126</f>
        <v>43550</v>
      </c>
      <c r="I196" s="353">
        <f>I126</f>
        <v>43715</v>
      </c>
      <c r="J196" s="282">
        <f>J126</f>
        <v>43715</v>
      </c>
      <c r="K196" s="353">
        <f>K126</f>
        <v>43666</v>
      </c>
      <c r="L196" s="353">
        <f>L126</f>
        <v>43546</v>
      </c>
      <c r="M196" s="353">
        <f>M126</f>
        <v>44502</v>
      </c>
      <c r="N196" s="353">
        <f>N126</f>
        <v>45680</v>
      </c>
      <c r="O196" s="282">
        <f>O126</f>
        <v>45680</v>
      </c>
      <c r="P196" s="353">
        <f>P126</f>
        <v>46069</v>
      </c>
      <c r="Q196" s="353">
        <f>Q126</f>
        <v>46876</v>
      </c>
      <c r="R196" s="353">
        <f>R126</f>
        <v>48508</v>
      </c>
      <c r="S196" s="353">
        <f>S126</f>
        <v>49834</v>
      </c>
      <c r="T196" s="282">
        <f>T126</f>
        <v>49834</v>
      </c>
      <c r="U196" s="353">
        <f>U126</f>
        <v>50159</v>
      </c>
      <c r="V196" s="353">
        <f>V126</f>
        <v>50116</v>
      </c>
      <c r="W196" s="353">
        <f>W126</f>
        <v>18925</v>
      </c>
      <c r="X196" s="281">
        <f>SUM(X192:X195)</f>
        <v>18963.9382</v>
      </c>
      <c r="Y196" s="282">
        <f>X196</f>
        <v>18963.9382</v>
      </c>
      <c r="Z196" s="281">
        <f t="shared" ref="Z196:AG196" si="312">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13">F193/F28</f>
        <v>0.001912013247520358</v>
      </c>
      <c r="G200" s="410">
        <f>G193/G28</f>
        <v>0.003363701547935383</v>
      </c>
      <c r="H200" s="410">
        <f>H193/H28</f>
        <v>0.0037042923334596623</v>
      </c>
      <c r="I200" s="410">
        <f>I193/I28</f>
        <v>0.0036648863661757807</v>
      </c>
      <c r="J200" s="214">
        <f>J193/J28</f>
        <v>0.0030629948993568753</v>
      </c>
      <c r="K200" s="410">
        <f>K193/K28</f>
        <v>0.0017144051850303157</v>
      </c>
      <c r="L200" s="410">
        <f>L193/L28</f>
        <v>0.003537073154606459</v>
      </c>
      <c r="M200" s="410">
        <f>M193/M28</f>
        <v>0.004674912855427446</v>
      </c>
      <c r="N200" s="410">
        <f>N193/N28</f>
        <v>0.005867481302012009</v>
      </c>
      <c r="O200" s="214">
        <f>O193/O28</f>
        <v>0.0037950567084787806</v>
      </c>
      <c r="P200" s="410">
        <f>P193/P28</f>
        <v>0.0026387771520514883</v>
      </c>
      <c r="Q200" s="410">
        <f>Q193/Q28</f>
        <v>0.004005914491552974</v>
      </c>
      <c r="R200" s="410">
        <f>R193/R28</f>
        <v>0.004913012037942916</v>
      </c>
      <c r="S200" s="410">
        <f>S193/S28</f>
        <v>0.005435949485683056</v>
      </c>
      <c r="T200" s="214">
        <f>T193/T28</f>
        <v>0.0041546420736205455</v>
      </c>
      <c r="U200" s="410">
        <f>U193/U28</f>
        <v>0.003206822671749353</v>
      </c>
      <c r="V200" s="410">
        <f>V193/V28</f>
        <v>0.0034627284501367104</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14">-G194*4/AVERAGE(F196:G196)</f>
        <v>0.07136946628051304</v>
      </c>
      <c r="H201" s="410">
        <f>-H194*4/AVERAGE(G196:H196)</f>
        <v>0.09093056831605198</v>
      </c>
      <c r="I201" s="410">
        <f>-I194*4/AVERAGE(H196:I196)</f>
        <v>0.07260072279480659</v>
      </c>
      <c r="J201" s="214">
        <f>-J194/AVERAGE(F196:I196)</f>
        <v>0.07770923487708314</v>
      </c>
      <c r="K201" s="410">
        <f t="shared" ref="K201:N201" si="315">-K194*4/AVERAGE(J196:K196)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16">-P194*4/AVERAGE(O196:P196)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17">-U194*4/AVERAGE(T196:U196)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18">-F194/F28</f>
        <v>1e-12</v>
      </c>
      <c r="G202" s="410">
        <f>-G194/G28</f>
        <v>1e-12</v>
      </c>
      <c r="H202" s="410">
        <f>-H194/H28</f>
        <v>1e-12</v>
      </c>
      <c r="I202" s="410">
        <f>-I194/I28</f>
        <v>1e-12</v>
      </c>
      <c r="J202" s="214">
        <f>-J194/J28</f>
        <v>0.020712673014626485</v>
      </c>
      <c r="K202" s="410">
        <f>-K194/K28</f>
        <v>1e-12</v>
      </c>
      <c r="L202" s="410">
        <f>-L194/L28</f>
        <v>1e-12</v>
      </c>
      <c r="M202" s="410">
        <f>-M194/M28</f>
        <v>1e-12</v>
      </c>
      <c r="N202" s="410">
        <f>-N194/N28</f>
        <v>1e-12</v>
      </c>
      <c r="O202" s="214">
        <f>-O194/O28</f>
        <v>0.017491822365138326</v>
      </c>
      <c r="P202" s="410">
        <f>-P194/P28</f>
        <v>1e-12</v>
      </c>
      <c r="Q202" s="410">
        <f>-Q194/Q28</f>
        <v>1e-12</v>
      </c>
      <c r="R202" s="410">
        <f>-R194/R28</f>
        <v>1e-12</v>
      </c>
      <c r="S202" s="410">
        <f>-S194/S28</f>
        <v>1e-12</v>
      </c>
      <c r="T202" s="214">
        <f>-T194/T28</f>
        <v>0.015603201000033482</v>
      </c>
      <c r="U202" s="410">
        <f>-U194/U28</f>
        <v>1e-12</v>
      </c>
      <c r="V202" s="410">
        <f>-V194/V28</f>
        <v>0.0018168081738379623</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F$25</f>
        <v>1e-12</v>
      </c>
      <c r="G204" s="63" t="str">
        <f t="shared" ref="G204:AG204" si="319">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20">E210</f>
        <v>1e-12</v>
      </c>
      <c r="G206" s="353">
        <f>F210</f>
        <v>1e-12</v>
      </c>
      <c r="H206" s="353">
        <f>G210</f>
        <v>1e-12</v>
      </c>
      <c r="I206" s="353">
        <f>H210</f>
        <v>1e-12</v>
      </c>
      <c r="J206" s="282">
        <f>F206</f>
        <v>1e-12</v>
      </c>
      <c r="K206" s="353">
        <f t="shared" ref="K206:N206" si="321">J210</f>
        <v>1e-12</v>
      </c>
      <c r="L206" s="353">
        <f>K210</f>
        <v>1e-12</v>
      </c>
      <c r="M206" s="353">
        <f>L210</f>
        <v>1e-12</v>
      </c>
      <c r="N206" s="353">
        <f>M210</f>
        <v>1e-12</v>
      </c>
      <c r="O206" s="282">
        <f>K206</f>
        <v>1e-12</v>
      </c>
      <c r="P206" s="353">
        <f t="shared" ref="P206:S206" si="322">O210</f>
        <v>1e-12</v>
      </c>
      <c r="Q206" s="353">
        <f>P210</f>
        <v>1e-12</v>
      </c>
      <c r="R206" s="353">
        <f>Q210</f>
        <v>1e-12</v>
      </c>
      <c r="S206" s="353">
        <f>R210</f>
        <v>1e-12</v>
      </c>
      <c r="T206" s="282">
        <f>P206</f>
        <v>1e-12</v>
      </c>
      <c r="U206" s="353">
        <f t="shared" ref="U206:X206" si="323">T210</f>
        <v>13301</v>
      </c>
      <c r="V206" s="353">
        <f>U210</f>
        <v>1e-12</v>
      </c>
      <c r="W206" s="353">
        <f>V210</f>
      </c>
      <c r="X206" s="281">
        <f>W210</f>
      </c>
      <c r="Y206" s="282">
        <f>U206</f>
        <v>0</v>
      </c>
      <c r="Z206" s="281">
        <f t="shared" ref="Z206:AC206" si="324">Y210</f>
        <v>0</v>
      </c>
      <c r="AA206" s="281">
        <f>Z210</f>
      </c>
      <c r="AB206" s="281">
        <f>AA210</f>
      </c>
      <c r="AC206" s="281">
        <f>AB210</f>
      </c>
      <c r="AD206" s="282">
        <f>Z206</f>
        <v>0</v>
      </c>
      <c r="AE206" s="282">
        <f t="shared" ref="AE206:AG206" si="325">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26">SUM(F207:I207)</f>
        <v>1e-12</v>
      </c>
      <c r="K207" s="413">
        <v>0</v>
      </c>
      <c r="L207" s="413">
        <v>0</v>
      </c>
      <c r="M207" s="413">
        <v>0</v>
      </c>
      <c r="N207" s="413">
        <v>0</v>
      </c>
      <c r="O207" s="329">
        <f t="shared" ref="O207:O209" si="327">SUM(K207:N207)</f>
        <v>1e-12</v>
      </c>
      <c r="P207" s="413">
        <v>0</v>
      </c>
      <c r="Q207" s="413">
        <v>0</v>
      </c>
      <c r="R207" s="413">
        <v>0</v>
      </c>
      <c r="S207" s="413">
        <v>0</v>
      </c>
      <c r="T207" s="329">
        <f t="shared" ref="T207:T209" si="328">SUM(P207:S207)</f>
        <v>1e-12</v>
      </c>
      <c r="U207" s="413">
        <v>0</v>
      </c>
      <c r="V207" s="413">
        <v>0</v>
      </c>
      <c r="W207" s="413">
        <v>0</v>
      </c>
      <c r="X207" s="417">
        <f>W207</f>
        <v>0</v>
      </c>
      <c r="Y207" s="329">
        <f t="shared" ref="Y207:Y209" si="329">SUM(U207:X207)</f>
        <v>0</v>
      </c>
      <c r="Z207" s="417">
        <f t="shared" ref="Z207:AC207" si="330">Y207</f>
        <v>0</v>
      </c>
      <c r="AA207" s="417">
        <f>Z207</f>
      </c>
      <c r="AB207" s="417">
        <f>AA207</f>
      </c>
      <c r="AC207" s="417">
        <f>AB207</f>
      </c>
      <c r="AD207" s="329">
        <f t="shared" ref="AD207:AD209" si="331">SUM(Z207:AC207)</f>
        <v>0</v>
      </c>
      <c r="AE207" s="418">
        <f t="shared" ref="AE207:AG207" si="332">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33">F34-F194</f>
        <v>1e-12</v>
      </c>
      <c r="G208" s="328">
        <f>G34-G194</f>
        <v>1e-12</v>
      </c>
      <c r="H208" s="328">
        <f>H34-H194</f>
        <v>1e-12</v>
      </c>
      <c r="I208" s="328">
        <f>I34-I194</f>
        <v>1e-12</v>
      </c>
      <c r="J208" s="329">
        <f>SUM(F208:I208)</f>
        <v>1e-12</v>
      </c>
      <c r="K208" s="328">
        <f t="shared" ref="K208:N208" si="334">K34-K194</f>
        <v>1e-12</v>
      </c>
      <c r="L208" s="328">
        <f>L34-L194</f>
        <v>1e-12</v>
      </c>
      <c r="M208" s="328">
        <f>M34-M194</f>
        <v>1e-12</v>
      </c>
      <c r="N208" s="328">
        <f>N34-N194</f>
        <v>1e-12</v>
      </c>
      <c r="O208" s="329">
        <f>SUM(K208:N208)</f>
        <v>1e-12</v>
      </c>
      <c r="P208" s="328">
        <f t="shared" ref="P208:S208" si="335">P34-P194</f>
        <v>-326</v>
      </c>
      <c r="Q208" s="328">
        <f>Q34-Q194</f>
        <v>-327</v>
      </c>
      <c r="R208" s="328">
        <f>R34-R194</f>
        <v>-355</v>
      </c>
      <c r="S208" s="328">
        <f>S34-S194</f>
        <v>1e-12</v>
      </c>
      <c r="T208" s="329">
        <f>SUM(P208:S208)</f>
        <v>-1007.999999999999</v>
      </c>
      <c r="U208" s="328">
        <f t="shared" ref="U208:W208" si="336">U34-U194</f>
        <v>1e-12</v>
      </c>
      <c r="V208" s="328">
        <f>V34-V194</f>
        <v>202</v>
      </c>
      <c r="W208" s="328">
        <f>W34-W194</f>
        <v>-216</v>
      </c>
      <c r="X208" s="330">
        <f>X214*X206/4</f>
        <v>0</v>
      </c>
      <c r="Y208" s="329">
        <f>SUM(U208:X208)</f>
        <v>-423</v>
      </c>
      <c r="Z208" s="330">
        <f t="shared" ref="Z208:AC208" si="337">Z214*Z206/4</f>
        <v>0</v>
      </c>
      <c r="AA208" s="330">
        <f>AA214*AA206/4</f>
      </c>
      <c r="AB208" s="330">
        <f>AB214*AB206/4</f>
      </c>
      <c r="AC208" s="330">
        <f>AC214*AC206/4</f>
      </c>
      <c r="AD208" s="329">
        <f>SUM(Z208:AC208)</f>
      </c>
      <c r="AE208" s="329">
        <f t="shared" ref="AE208:AG208" si="338">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v>1e-12</v>
      </c>
      <c r="K209" s="419">
        <v>0</v>
      </c>
      <c r="L209" s="419">
        <v>0</v>
      </c>
      <c r="M209" s="419">
        <v>0</v>
      </c>
      <c r="N209" s="419">
        <v>0</v>
      </c>
      <c r="O209" s="414">
        <f>SUM(K209:N209)</f>
        <v>1e-12</v>
      </c>
      <c r="P209" s="419">
        <v>0</v>
      </c>
      <c r="Q209" s="419">
        <v>0</v>
      </c>
      <c r="R209" s="419">
        <v>0</v>
      </c>
      <c r="S209" s="419">
        <v>0</v>
      </c>
      <c r="T209" s="414">
        <f>SUM(P209:S209)</f>
        <v>1e-12</v>
      </c>
      <c r="U209" s="419">
        <v>0</v>
      </c>
      <c r="V209" s="419">
        <v>0</v>
      </c>
      <c r="W209" s="419">
        <v>0</v>
      </c>
      <c r="X209" s="420">
        <f>W209</f>
        <v>0</v>
      </c>
      <c r="Y209" s="414">
        <f>SUM(U209:X209)</f>
      </c>
      <c r="Z209" s="420">
        <f t="shared" ref="Z209:AC209" si="339">Y209</f>
        <v>0</v>
      </c>
      <c r="AA209" s="420">
        <f>Z209</f>
      </c>
      <c r="AB209" s="420">
        <f>AA209</f>
      </c>
      <c r="AC209" s="420">
        <f>AB209</f>
      </c>
      <c r="AD209" s="414">
        <f>SUM(Z209:AC209)</f>
      </c>
      <c r="AE209" s="421">
        <f t="shared" ref="AE209:AG209" si="340">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41">F127</f>
        <v>1e-12</v>
      </c>
      <c r="G210" s="353">
        <f>G127</f>
        <v>1e-12</v>
      </c>
      <c r="H210" s="353">
        <f>H127</f>
        <v>1e-12</v>
      </c>
      <c r="I210" s="353">
        <f>I127</f>
        <v>1e-12</v>
      </c>
      <c r="J210" s="282">
        <f>J127</f>
        <v>1e-12</v>
      </c>
      <c r="K210" s="353">
        <f>K127</f>
        <v>1e-12</v>
      </c>
      <c r="L210" s="353">
        <f>L127</f>
        <v>1e-12</v>
      </c>
      <c r="M210" s="353">
        <f>M127</f>
        <v>1e-12</v>
      </c>
      <c r="N210" s="353">
        <f>N127</f>
        <v>1e-12</v>
      </c>
      <c r="O210" s="282">
        <f>O127</f>
        <v>1e-12</v>
      </c>
      <c r="P210" s="353">
        <f>P127</f>
        <v>1e-12</v>
      </c>
      <c r="Q210" s="353">
        <f>Q127</f>
        <v>1e-12</v>
      </c>
      <c r="R210" s="353">
        <f>R127</f>
        <v>1e-12</v>
      </c>
      <c r="S210" s="353">
        <f>S127</f>
        <v>13301</v>
      </c>
      <c r="T210" s="282">
        <f>T127</f>
        <v>13301</v>
      </c>
      <c r="U210" s="353">
        <f>U127</f>
        <v>1e-12</v>
      </c>
      <c r="V210" s="353">
        <f>V127</f>
        <v>25797</v>
      </c>
      <c r="W210" s="353">
        <f>W127</f>
      </c>
      <c r="X210" s="281">
        <f>SUM(X206:X209)</f>
        <v>0</v>
      </c>
      <c r="Y210" s="282">
        <f>X210</f>
        <v>0</v>
      </c>
      <c r="Z210" s="281">
        <f t="shared" ref="Z210:AC210" si="342">SUM(Z206:Z209)</f>
        <v>0</v>
      </c>
      <c r="AA210" s="281">
        <f>SUM(AA206:AA209)</f>
      </c>
      <c r="AB210" s="281">
        <f>SUM(AB206:AB209)</f>
      </c>
      <c r="AC210" s="281">
        <f>SUM(AC206:AC209)</f>
      </c>
      <c r="AD210" s="282">
        <f>AC210</f>
        <v>0</v>
      </c>
      <c r="AE210" s="282">
        <f t="shared" ref="AE210:AG210" si="343">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44">4*-G208/AVERAGE(F210:G210)</f>
        <v>#DIV/0!</v>
      </c>
      <c r="H214" s="397" t="e">
        <f>4*-H208/AVERAGE(G210:H210)</f>
        <v>#DIV/0!</v>
      </c>
      <c r="I214" s="397" t="e">
        <f>4*-I208/AVERAGE(H210:I210)</f>
        <v>#DIV/0!</v>
      </c>
      <c r="J214" s="398" t="e">
        <f>J208/AVERAGE(F206,I210)</f>
        <v>#DIV/0!</v>
      </c>
      <c r="K214" s="397" t="e">
        <f t="shared" ref="K214:N214" si="345">4*-K208/AVERAGE(J210:K210)</f>
        <v>#DIV/0!</v>
      </c>
      <c r="L214" s="397" t="e">
        <f>4*-L208/AVERAGE(K210:L210)</f>
        <v>#DIV/0!</v>
      </c>
      <c r="M214" s="397" t="e">
        <f>4*-M208/AVERAGE(L210:M210)</f>
        <v>#DIV/0!</v>
      </c>
      <c r="N214" s="397" t="e">
        <f>4*-N208/AVERAGE(M210:N210)</f>
        <v>#DIV/0!</v>
      </c>
      <c r="O214" s="398" t="e">
        <f>O208/AVERAGE(K206,N210)</f>
        <v>#DIV/0!</v>
      </c>
      <c r="P214" s="397" t="e">
        <f t="shared" ref="P214:S214" si="346">4*-P208/AVERAGE(O210:P210)</f>
        <v>#DIV/0!</v>
      </c>
      <c r="Q214" s="397" t="e">
        <f>4*-Q208/AVERAGE(P210:Q210)</f>
        <v>#DIV/0!</v>
      </c>
      <c r="R214" s="397" t="e">
        <f>4*-R208/AVERAGE(Q210:R210)</f>
        <v>#DIV/0!</v>
      </c>
      <c r="S214" s="397" t="e">
        <f>4*-S208/AVERAGE(R210:S210)</f>
        <v>#DIV/0!</v>
      </c>
      <c r="T214" s="398" t="e">
        <f>T208/AVERAGE(P206,S210)</f>
        <v>#DIV/0!</v>
      </c>
      <c r="U214" s="397" t="e">
        <f t="shared" ref="U214:W214" si="347">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F$25</f>
        <v>1e-12</v>
      </c>
      <c r="G216" s="63" t="str">
        <f t="shared" ref="G216:AG216" si="348">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49">F128</f>
        <v>1e-12</v>
      </c>
      <c r="G218" s="353">
        <f>G128</f>
        <v>1e-12</v>
      </c>
      <c r="H218" s="353">
        <f>H128</f>
        <v>1e-12</v>
      </c>
      <c r="I218" s="353">
        <f>I128</f>
        <v>1e-12</v>
      </c>
      <c r="J218" s="282">
        <f>J128</f>
        <v>1e-12</v>
      </c>
      <c r="K218" s="353">
        <f>K128</f>
        <v>1e-12</v>
      </c>
      <c r="L218" s="353">
        <f>L128</f>
        <v>1e-12</v>
      </c>
      <c r="M218" s="353">
        <f>M128</f>
        <v>1e-12</v>
      </c>
      <c r="N218" s="353">
        <f>N128</f>
        <v>1e-12</v>
      </c>
      <c r="O218" s="282">
        <f>O128</f>
        <v>1e-12</v>
      </c>
      <c r="P218" s="353">
        <f>P128</f>
        <v>1e-12</v>
      </c>
      <c r="Q218" s="353">
        <f>Q128</f>
        <v>1e-12</v>
      </c>
      <c r="R218" s="353">
        <f>R128</f>
        <v>1e-12</v>
      </c>
      <c r="S218" s="353">
        <f>S128</f>
        <v>1e-12</v>
      </c>
      <c r="T218" s="282">
        <f>T128</f>
        <v>1e-12</v>
      </c>
      <c r="U218" s="353">
        <f>U128</f>
        <v>1e-12</v>
      </c>
      <c r="V218" s="353">
        <f>V128</f>
        <v>1e-12</v>
      </c>
      <c r="W218" s="353">
        <f>W128</f>
      </c>
      <c r="X218" s="281">
        <f>Drivers!X62+W218</f>
        <v>0</v>
      </c>
      <c r="Y218" s="282">
        <f t="shared" ref="Y218:Y219" si="350">X218</f>
        <v>0</v>
      </c>
      <c r="Z218" s="281">
        <f>Drivers!Z62+Y218</f>
        <v>0</v>
      </c>
      <c r="AA218" s="281">
        <f>Drivers!AA62+Z218</f>
        <v>0</v>
      </c>
      <c r="AB218" s="281">
        <f>Drivers!AB62+AA218</f>
        <v>0</v>
      </c>
      <c r="AC218" s="281">
        <f>Drivers!AC62+AB218</f>
        <v>0</v>
      </c>
      <c r="AD218" s="282">
        <f t="shared" ref="AD218:AD219" si="351">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52">F129</f>
        <v>175019</v>
      </c>
      <c r="G219" s="372">
        <f>G129</f>
        <v>175849</v>
      </c>
      <c r="H219" s="372">
        <f>H129</f>
        <v>168829</v>
      </c>
      <c r="I219" s="372">
        <f>I129</f>
        <v>165302</v>
      </c>
      <c r="J219" s="355">
        <f>J129</f>
        <v>165302</v>
      </c>
      <c r="K219" s="372">
        <f>K129</f>
        <v>166156</v>
      </c>
      <c r="L219" s="372">
        <f>L129</f>
        <v>165449</v>
      </c>
      <c r="M219" s="372">
        <f>M129</f>
        <v>161675</v>
      </c>
      <c r="N219" s="372">
        <f>N129</f>
        <v>166313</v>
      </c>
      <c r="O219" s="355">
        <f>O129</f>
        <v>166313</v>
      </c>
      <c r="P219" s="372">
        <f>P129</f>
        <v>164776</v>
      </c>
      <c r="Q219" s="372">
        <f>Q129</f>
        <v>165683</v>
      </c>
      <c r="R219" s="372">
        <f>R129</f>
        <v>160496</v>
      </c>
      <c r="S219" s="372">
        <f>S129</f>
        <v>148149</v>
      </c>
      <c r="T219" s="355">
        <f>T129</f>
        <v>148149</v>
      </c>
      <c r="U219" s="372">
        <f>U129</f>
        <v>171034</v>
      </c>
      <c r="V219" s="372">
        <f>V129</f>
        <v>151055</v>
      </c>
      <c r="W219" s="372">
        <f>W129</f>
        <v>5626</v>
      </c>
      <c r="X219" s="356">
        <f>W219*(1+X232)</f>
        <v>5738.52</v>
      </c>
      <c r="Y219" s="355">
        <f>X219</f>
        <v>5738.52</v>
      </c>
      <c r="Z219" s="356">
        <f t="shared" ref="Z219:AC219" si="353">Y219*(1+Z232)</f>
        <v>5853.290400000001</v>
      </c>
      <c r="AA219" s="356">
        <f>Z219*(1+AA232)</f>
        <v>5970.356208000001</v>
      </c>
      <c r="AB219" s="356">
        <f>AA219*(1+AB232)</f>
        <v>6089.7633321600015</v>
      </c>
      <c r="AC219" s="356">
        <f>AB219*(1+AC232)</f>
        <v>6211.558598803202</v>
      </c>
      <c r="AD219" s="355">
        <f>AC219</f>
        <v>6211.558598803202</v>
      </c>
      <c r="AE219" s="355">
        <f t="shared" ref="AE219:AG219" si="354">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55">SUM(F218:F219)</f>
        <v>175019</v>
      </c>
      <c r="G220" s="353">
        <f>SUM(G218:G219)</f>
        <v>175849</v>
      </c>
      <c r="H220" s="353">
        <f>SUM(H218:H219)</f>
        <v>168829</v>
      </c>
      <c r="I220" s="353">
        <f>SUM(I218:I219)</f>
        <v>165302</v>
      </c>
      <c r="J220" s="282">
        <f>SUM(J218:J219)</f>
        <v>165302</v>
      </c>
      <c r="K220" s="353">
        <f>SUM(K218:K219)</f>
        <v>166156</v>
      </c>
      <c r="L220" s="353">
        <f>SUM(L218:L219)</f>
        <v>165449</v>
      </c>
      <c r="M220" s="353">
        <f>SUM(M218:M219)</f>
        <v>161675</v>
      </c>
      <c r="N220" s="353">
        <f>SUM(N218:N219)</f>
        <v>166313</v>
      </c>
      <c r="O220" s="282">
        <f>SUM(O218:O219)</f>
        <v>166313</v>
      </c>
      <c r="P220" s="353">
        <f>SUM(P218:P219)</f>
        <v>164776</v>
      </c>
      <c r="Q220" s="353">
        <f>SUM(Q218:Q219)</f>
        <v>165683</v>
      </c>
      <c r="R220" s="353">
        <f>SUM(R218:R219)</f>
        <v>160496</v>
      </c>
      <c r="S220" s="353">
        <f>SUM(S218:S219)</f>
        <v>148149</v>
      </c>
      <c r="T220" s="282">
        <f>SUM(T218:T219)</f>
        <v>148149</v>
      </c>
      <c r="U220" s="353">
        <f>SUM(U218:U219)</f>
        <v>171034</v>
      </c>
      <c r="V220" s="353">
        <f>SUM(V218:V219)</f>
        <v>151055</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56">G220-F220</f>
        <v>830</v>
      </c>
      <c r="H221" s="425">
        <f>H220-G220</f>
        <v>-7020</v>
      </c>
      <c r="I221" s="425">
        <f>I220-H220</f>
        <v>-3527</v>
      </c>
      <c r="J221" s="426"/>
      <c r="K221" s="425">
        <f t="shared" ref="K221:N221" si="357">K220-J220</f>
        <v>854</v>
      </c>
      <c r="L221" s="425">
        <f>L220-K220</f>
        <v>-707</v>
      </c>
      <c r="M221" s="425">
        <f>M220-L220</f>
        <v>-3774</v>
      </c>
      <c r="N221" s="425">
        <f>N220-M220</f>
        <v>4638</v>
      </c>
      <c r="O221" s="426">
        <f>O220-J220</f>
        <v>1011</v>
      </c>
      <c r="P221" s="425">
        <f t="shared" ref="P221:S221" si="358">P220-O220</f>
        <v>-1537</v>
      </c>
      <c r="Q221" s="425">
        <f>Q220-P220</f>
        <v>907</v>
      </c>
      <c r="R221" s="425">
        <f>R220-Q220</f>
        <v>-5187</v>
      </c>
      <c r="S221" s="425">
        <f>S220-R220</f>
        <v>-12347</v>
      </c>
      <c r="T221" s="426">
        <f>T220-O220</f>
        <v>-18164</v>
      </c>
      <c r="U221" s="425">
        <f t="shared" ref="U221:X221" si="359">U220-T220</f>
        <v>22885</v>
      </c>
      <c r="V221" s="425">
        <f>V220-U220</f>
        <v>-19979</v>
      </c>
      <c r="W221" s="425">
        <f>W220-V220</f>
        <v>336</v>
      </c>
      <c r="X221" s="427">
        <f>X220-W220</f>
        <v>112.52000000000044</v>
      </c>
      <c r="Y221" s="426">
        <f>Y220-T220</f>
        <v>4316.52</v>
      </c>
      <c r="Z221" s="427">
        <f t="shared" ref="Z221:AC221" si="360">Z220-Y220</f>
        <v>114.77040000000034</v>
      </c>
      <c r="AA221" s="427">
        <f>AA220-Z220</f>
        <v>117.06580800000029</v>
      </c>
      <c r="AB221" s="427">
        <f>AB220-AA220</f>
        <v>119.40712416000042</v>
      </c>
      <c r="AC221" s="427">
        <f>AC220-AB220</f>
        <v>121.7952666432002</v>
      </c>
      <c r="AD221" s="426">
        <f>AD220-Y220</f>
        <v>473.03859880320124</v>
      </c>
      <c r="AE221" s="426">
        <f t="shared" ref="AE221:AG221" si="361">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62">F141</f>
        <v>1e-12</v>
      </c>
      <c r="G223" s="353">
        <f>G141</f>
        <v>1e-12</v>
      </c>
      <c r="H223" s="353">
        <f>H141</f>
        <v>1e-12</v>
      </c>
      <c r="I223" s="353">
        <f>I141</f>
        <v>1e-12</v>
      </c>
      <c r="J223" s="282">
        <f>J141</f>
        <v>1e-12</v>
      </c>
      <c r="K223" s="353">
        <f>K141</f>
        <v>1e-12</v>
      </c>
      <c r="L223" s="353">
        <f>L141</f>
        <v>1e-12</v>
      </c>
      <c r="M223" s="353">
        <f>M141</f>
        <v>1e-12</v>
      </c>
      <c r="N223" s="353">
        <f>N141</f>
        <v>1e-12</v>
      </c>
      <c r="O223" s="282">
        <f>O141</f>
        <v>1e-12</v>
      </c>
      <c r="P223" s="353">
        <f>P141</f>
        <v>1e-12</v>
      </c>
      <c r="Q223" s="353">
        <f>Q141</f>
        <v>1e-12</v>
      </c>
      <c r="R223" s="353">
        <f>R141</f>
        <v>1e-12</v>
      </c>
      <c r="S223" s="353">
        <f>S141</f>
        <v>1e-12</v>
      </c>
      <c r="T223" s="282">
        <f>T141</f>
        <v>168</v>
      </c>
      <c r="U223" s="353">
        <f>U141</f>
        <v>1e-12</v>
      </c>
      <c r="V223" s="353">
        <f>V141</f>
        <v>1e-12</v>
      </c>
      <c r="W223" s="353">
        <f>W141</f>
      </c>
      <c r="X223" s="281">
        <f t="shared" ref="X223:AG223" si="363">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64">F142</f>
        <v>53107</v>
      </c>
      <c r="G224" s="372">
        <f>G142</f>
        <v>52886</v>
      </c>
      <c r="H224" s="372">
        <f>H142</f>
        <v>51730</v>
      </c>
      <c r="I224" s="372">
        <f>I142</f>
        <v>49848</v>
      </c>
      <c r="J224" s="355">
        <f>J142</f>
        <v>49848</v>
      </c>
      <c r="K224" s="372">
        <f>K142</f>
        <v>50353</v>
      </c>
      <c r="L224" s="372">
        <f>L142</f>
        <v>47564</v>
      </c>
      <c r="M224" s="372">
        <f>M142</f>
        <v>47084</v>
      </c>
      <c r="N224" s="372">
        <f>N142</f>
        <v>45888</v>
      </c>
      <c r="O224" s="355">
        <f>O142</f>
        <v>45888</v>
      </c>
      <c r="P224" s="372">
        <f>P142</f>
        <v>49006</v>
      </c>
      <c r="Q224" s="372">
        <f>Q142</f>
        <v>41300</v>
      </c>
      <c r="R224" s="372">
        <f>R142</f>
        <v>42115</v>
      </c>
      <c r="S224" s="372">
        <f>S142</f>
        <v>41549</v>
      </c>
      <c r="T224" s="355">
        <f>T142</f>
        <v>41549</v>
      </c>
      <c r="U224" s="372">
        <f>U142</f>
        <v>52055</v>
      </c>
      <c r="V224" s="372">
        <f>V142</f>
        <v>55546</v>
      </c>
      <c r="W224" s="372">
        <f>W142</f>
        <v>6261</v>
      </c>
      <c r="X224" s="356">
        <f t="shared" ref="X224:AG224" si="365">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66">SUM(F223:F224)</f>
        <v>53107</v>
      </c>
      <c r="G225" s="353">
        <f>SUM(G223:G224)</f>
        <v>52886</v>
      </c>
      <c r="H225" s="353">
        <f>SUM(H223:H224)</f>
        <v>51730</v>
      </c>
      <c r="I225" s="353">
        <f>SUM(I223:I224)</f>
        <v>49848</v>
      </c>
      <c r="J225" s="282">
        <f>SUM(J223:J224)</f>
        <v>49848</v>
      </c>
      <c r="K225" s="353">
        <f>SUM(K223:K224)</f>
        <v>50353</v>
      </c>
      <c r="L225" s="353">
        <f>SUM(L223:L224)</f>
        <v>47564</v>
      </c>
      <c r="M225" s="353">
        <f>SUM(M223:M224)</f>
        <v>47084</v>
      </c>
      <c r="N225" s="353">
        <f>SUM(N223:N224)</f>
        <v>45888</v>
      </c>
      <c r="O225" s="282">
        <f>SUM(O223:O224)</f>
        <v>45888</v>
      </c>
      <c r="P225" s="353">
        <f>SUM(P223:P224)</f>
        <v>49006</v>
      </c>
      <c r="Q225" s="353">
        <f>SUM(Q223:Q224)</f>
        <v>41300</v>
      </c>
      <c r="R225" s="353">
        <f>SUM(R223:R224)</f>
        <v>42115</v>
      </c>
      <c r="S225" s="353">
        <f>SUM(S223:S224)</f>
        <v>41549</v>
      </c>
      <c r="T225" s="282">
        <f>SUM(T223:T224)</f>
        <v>41717</v>
      </c>
      <c r="U225" s="353">
        <f>SUM(U223:U224)</f>
        <v>52055</v>
      </c>
      <c r="V225" s="353">
        <f>SUM(V223:V224)</f>
        <v>55546</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67">G225-F225</f>
        <v>-221</v>
      </c>
      <c r="H226" s="425">
        <f>H225-G225</f>
        <v>-1156</v>
      </c>
      <c r="I226" s="425">
        <f>I225-H225</f>
        <v>-1882</v>
      </c>
      <c r="J226" s="426"/>
      <c r="K226" s="425">
        <f t="shared" ref="K226:N226" si="368">K225-J225</f>
        <v>505</v>
      </c>
      <c r="L226" s="425">
        <f>L225-K225</f>
        <v>-2789</v>
      </c>
      <c r="M226" s="425">
        <f>M225-L225</f>
        <v>-480</v>
      </c>
      <c r="N226" s="425">
        <f>N225-M225</f>
        <v>-1196</v>
      </c>
      <c r="O226" s="426">
        <f>O225-J225</f>
        <v>-3960</v>
      </c>
      <c r="P226" s="425">
        <f t="shared" ref="P226:S226" si="369">P225-O225</f>
        <v>3118</v>
      </c>
      <c r="Q226" s="425">
        <f>Q225-P225</f>
        <v>-7706</v>
      </c>
      <c r="R226" s="425">
        <f>R225-Q225</f>
        <v>815</v>
      </c>
      <c r="S226" s="425">
        <f>S225-R225</f>
        <v>-566</v>
      </c>
      <c r="T226" s="426">
        <f>T225-O225</f>
        <v>-4171</v>
      </c>
      <c r="U226" s="425">
        <f t="shared" ref="U226:X226" si="370">U225-T225</f>
        <v>10338</v>
      </c>
      <c r="V226" s="425">
        <f>V225-U225</f>
        <v>3491</v>
      </c>
      <c r="W226" s="425">
        <f>W225-V225</f>
        <v>313</v>
      </c>
      <c r="X226" s="427">
        <f>X225-W225</f>
      </c>
      <c r="Y226" s="426">
        <f>Y225-T225</f>
        <v>4083</v>
      </c>
      <c r="Z226" s="427">
        <f t="shared" ref="Z226:AC226" si="371">Z225-Y225</f>
        <v>0</v>
      </c>
      <c r="AA226" s="427">
        <f>AA225-Z225</f>
      </c>
      <c r="AB226" s="427">
        <f>AB225-AA225</f>
      </c>
      <c r="AC226" s="427">
        <f>AC225-AB225</f>
      </c>
      <c r="AD226" s="426">
        <f>AD225-Y225</f>
        <v>0</v>
      </c>
      <c r="AE226" s="426">
        <f t="shared" ref="AE226:AG226" si="372">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73">G226-G221</f>
        <v>-1051</v>
      </c>
      <c r="H228" s="388">
        <f>H226-H221</f>
        <v>5864</v>
      </c>
      <c r="I228" s="388">
        <f>I226-I221</f>
        <v>1645</v>
      </c>
      <c r="J228" s="389"/>
      <c r="K228" s="388">
        <f t="shared" ref="K228:AG228" si="374">K226-K221</f>
        <v>-349</v>
      </c>
      <c r="L228" s="388">
        <f>L226-L221</f>
        <v>-2082</v>
      </c>
      <c r="M228" s="388">
        <f>M226-M221</f>
        <v>3294</v>
      </c>
      <c r="N228" s="388">
        <f>N226-N221</f>
        <v>-5834</v>
      </c>
      <c r="O228" s="389">
        <f>O226-O221</f>
        <v>-4971</v>
      </c>
      <c r="P228" s="388">
        <f>P226-P221</f>
        <v>4655</v>
      </c>
      <c r="Q228" s="388">
        <f>Q226-Q221</f>
        <v>-8613</v>
      </c>
      <c r="R228" s="388">
        <f>R226-R221</f>
        <v>6002</v>
      </c>
      <c r="S228" s="388">
        <f>S226-S221</f>
        <v>11781</v>
      </c>
      <c r="T228" s="389">
        <f>T226-T221</f>
        <v>13993</v>
      </c>
      <c r="U228" s="388">
        <f>U226-U221</f>
        <v>-12547</v>
      </c>
      <c r="V228" s="388">
        <f>V226-V221</f>
        <v>23470</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75">G219/F219-1</f>
        <v>0.004742342259983268</v>
      </c>
      <c r="H232" s="397">
        <f>H219/G219-1</f>
        <v>-0.03992061370835209</v>
      </c>
      <c r="I232" s="397">
        <f>I219/H219-1</f>
        <v>-0.02089096067618712</v>
      </c>
      <c r="J232" s="398"/>
      <c r="K232" s="397">
        <f>K219/I219-1</f>
        <v>0.0051663016781406945</v>
      </c>
      <c r="L232" s="397">
        <f t="shared" ref="L232:N232" si="376">L219/K219-1</f>
        <v>-0.004255037434699904</v>
      </c>
      <c r="M232" s="397">
        <f>M219/L219-1</f>
        <v>-0.022810654642820394</v>
      </c>
      <c r="N232" s="397">
        <f>N219/M219-1</f>
        <v>0.02868718107314061</v>
      </c>
      <c r="O232" s="398">
        <f>O219/J219-1</f>
        <v>0.006116078450351559</v>
      </c>
      <c r="P232" s="397">
        <f>P219/N219-1</f>
        <v>-0.00924161069790097</v>
      </c>
      <c r="Q232" s="397">
        <f t="shared" ref="Q232:S232" si="377">Q219/P219-1</f>
        <v>0.005504442394523412</v>
      </c>
      <c r="R232" s="397">
        <f>R219/Q219-1</f>
        <v>-0.03130677257171832</v>
      </c>
      <c r="S232" s="397">
        <f>S219/R219-1</f>
        <v>-0.07693026617485799</v>
      </c>
      <c r="T232" s="398">
        <f>T219/O219-1</f>
        <v>-0.10921575583387955</v>
      </c>
      <c r="U232" s="397">
        <f>U219/S219-1</f>
        <v>0.1544728617810447</v>
      </c>
      <c r="V232" s="397">
        <f t="shared" ref="V232:W232" si="378">V219/U219-1</f>
        <v>-0.11681303132710452</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F$25</f>
        <v>1e-12</v>
      </c>
      <c r="G234" s="63" t="str">
        <f t="shared" ref="G234:AG234" si="379">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80">F53</f>
        <v>36.36121212121212</v>
      </c>
      <c r="G237" s="370">
        <f>G53</f>
        <v>29.71709717097171</v>
      </c>
      <c r="H237" s="370">
        <f>H53</f>
        <v>24.666253101736974</v>
      </c>
      <c r="I237" s="370">
        <f>I53</f>
        <v>28.65917602996255</v>
      </c>
      <c r="J237" s="127">
        <f>J53</f>
        <v>121.09238451935082</v>
      </c>
      <c r="K237" s="370">
        <f>K53</f>
        <v>41.11030303030303</v>
      </c>
      <c r="L237" s="370">
        <f>L53</f>
        <v>29.07257072570726</v>
      </c>
      <c r="M237" s="370">
        <f>M53</f>
        <v>26.610421836228287</v>
      </c>
      <c r="N237" s="370">
        <f>N53</f>
        <v>18.39700374531835</v>
      </c>
      <c r="O237" s="127">
        <f>O53</f>
        <v>117.02372034956305</v>
      </c>
      <c r="P237" s="370">
        <f>P53</f>
        <v>48.11920529801324</v>
      </c>
      <c r="Q237" s="370">
        <f>Q53</f>
        <v>32.952127659574465</v>
      </c>
      <c r="R237" s="370">
        <f>R53</f>
        <v>31.16223404255319</v>
      </c>
      <c r="S237" s="370">
        <f>S53</f>
        <v>36.719251336898395</v>
      </c>
      <c r="T237" s="127">
        <f>T53</f>
        <v>149.74598930481284</v>
      </c>
      <c r="U237" s="370">
        <f>U53</f>
        <v>58.63091922005571</v>
      </c>
      <c r="V237" s="370">
        <f>V53</f>
        <v>34.46666666666667</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2.3646076405093677</v>
      </c>
      <c r="G238" s="428">
        <f>G239/SUM(F237:G237,C237:D237)</f>
        <v>1.3892607269063206</v>
      </c>
      <c r="H238" s="428">
        <f>H239/SUM(F237:H237,D237)</f>
        <v>1.0542780468178132</v>
      </c>
      <c r="I238" s="429">
        <f>I239/SUM(F237:I237)</f>
        <v>0.9318803704871573</v>
      </c>
      <c r="J238" s="430">
        <f>J239/J237</f>
        <v>0.7763535520704327</v>
      </c>
      <c r="K238" s="429">
        <f>K239/SUM(K237,G237:I237)</f>
        <v>0.8243871730502434</v>
      </c>
      <c r="L238" s="429">
        <f>L239/SUM(K237:L237,H237:I237)</f>
        <v>0.8306324158082868</v>
      </c>
      <c r="M238" s="429">
        <f>M239/SUM(K237:M237,I237)</f>
        <v>0.8641519660646914</v>
      </c>
      <c r="N238" s="429">
        <f>N239/SUM(K237:N237)</f>
        <v>0.9147471671309818</v>
      </c>
      <c r="O238" s="430">
        <f>O239/O237</f>
        <v>0.8896070846019405</v>
      </c>
      <c r="P238" s="429">
        <f>P239/SUM(P237,L237:N237)</f>
        <v>0.8083522535530403</v>
      </c>
      <c r="Q238" s="429">
        <f>Q239/SUM(P237:Q237,M237:N237)</f>
        <v>0.7834785267919582</v>
      </c>
      <c r="R238" s="429">
        <f>R239/SUM(P237:R237,N237)</f>
        <v>1.2955758283445997</v>
      </c>
      <c r="S238" s="429">
        <f>S239/SUM(P237:S237)</f>
        <v>1.4066109296237044</v>
      </c>
      <c r="T238" s="430">
        <f>T239/T237</f>
        <v>1.1240416778297324</v>
      </c>
      <c r="U238" s="429">
        <f>U239/SUM(U237,Q237:S237)</f>
        <v>1.1425738213935872</v>
      </c>
      <c r="V238" s="429">
        <f>V239/SUM(U237:V237,R237:S237)</f>
        <v>1.1859719343592168</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81">Z239</f>
        <v>233.18</v>
      </c>
      <c r="AB239" s="435">
        <f>AA239</f>
        <v>233.18</v>
      </c>
      <c r="AC239" s="435">
        <f>AB239</f>
        <v>233.18</v>
      </c>
      <c r="AD239" s="127">
        <f>AVERAGE(Z239:AC239)</f>
        <v>233.18</v>
      </c>
      <c r="AE239" s="436">
        <f>AC239</f>
        <v>233.18</v>
      </c>
      <c r="AF239" s="436">
        <f t="shared" ref="AF239:AG239" si="382">AE239</f>
        <v>233.18</v>
      </c>
      <c r="AG239" s="436">
        <f>AF239</f>
        <v>233.18</v>
      </c>
      <c r="AH239" s="16"/>
      <c r="AI239" s="16"/>
      <c r="AJ239" s="16"/>
      <c r="AK239" s="16"/>
    </row>
    <row r="240" ht="13.5" customHeight="1" spans="1:37" x14ac:dyDescent="0.25">
      <c r="A240" s="264"/>
      <c r="B240" s="16"/>
      <c r="C240" s="139" t="s">
        <v>400</v>
      </c>
      <c r="D240" s="16"/>
      <c r="E240" s="16"/>
      <c r="F240" s="384">
        <f t="shared" ref="F240:I240" si="383">F241/F239</f>
        <v>8.467085368690393</v>
      </c>
      <c r="G240" s="384">
        <f>G241/G239</f>
        <v>12.178649237472767</v>
      </c>
      <c r="H240" s="384">
        <f>H241/H239</f>
        <v>6.815093550747361</v>
      </c>
      <c r="I240" s="384">
        <f>I241/I239</f>
        <v>4.844072975644826</v>
      </c>
      <c r="J240" s="162">
        <f t="shared" ref="J240:J241" si="384">SUM(F240:I240)</f>
        <v>32.304901132555344</v>
      </c>
      <c r="K240" s="384">
        <f t="shared" ref="K240:N240" si="385">K241/K239</f>
        <v>8.070346849047388</v>
      </c>
      <c r="L240" s="384">
        <f>L241/L239</f>
        <v>18.949215323130908</v>
      </c>
      <c r="M240" s="384">
        <f>M241/M239</f>
        <v>8.108108108108109</v>
      </c>
      <c r="N240" s="437">
        <f>N241/N239</f>
        <v>6.301603872069848</v>
      </c>
      <c r="O240" s="162">
        <f t="shared" ref="O240:O241" si="386">SUM(K240:N240)</f>
        <v>41.42927415235626</v>
      </c>
      <c r="P240" s="384">
        <f t="shared" ref="P240:S240" si="387">P241/P239</f>
        <v>9.77930755213606</v>
      </c>
      <c r="Q240" s="384">
        <f>Q241/Q239</f>
        <v>1e-12</v>
      </c>
      <c r="R240" s="437">
        <f>R241/R239</f>
        <v>3.320692447863939</v>
      </c>
      <c r="S240" s="384">
        <f>S241/S239</f>
        <v>16.4329036978314</v>
      </c>
      <c r="T240" s="162">
        <f t="shared" ref="T240:T241" si="388">SUM(P240:S240)</f>
        <v>29.5329036978324</v>
      </c>
      <c r="U240" s="384">
        <f>U241/U239</f>
        <v>16.67398463227223</v>
      </c>
      <c r="V240" s="384">
        <f>33.1-U240</f>
        <v>16.42601536772777</v>
      </c>
      <c r="W240" s="437">
        <f t="shared" ref="W240:X240" si="389">W241/W239</f>
        <v>13.689447008390864</v>
      </c>
      <c r="X240" s="359">
        <f>X241/X239</f>
        <v>2.1442662320953767</v>
      </c>
      <c r="Y240" s="162">
        <f t="shared" ref="Y240:Y241" si="390">SUM(U240:X240)</f>
        <v>48.93371324048624</v>
      </c>
      <c r="Z240" s="359">
        <f t="shared" ref="Z240:AC240" si="391">Z241/Z239</f>
        <v>2.1442662320953767</v>
      </c>
      <c r="AA240" s="359">
        <f>AA241/AA239</f>
        <v>2.1442662320953767</v>
      </c>
      <c r="AB240" s="359">
        <f>AB241/AB239</f>
        <v>2.1442662320953767</v>
      </c>
      <c r="AC240" s="359">
        <f>AC241/AC239</f>
        <v>2.1442662320953767</v>
      </c>
      <c r="AD240" s="162">
        <f t="shared" ref="AD240:AD241" si="392">SUM(Z240:AC240)</f>
        <v>8.577064928381507</v>
      </c>
      <c r="AE240" s="162">
        <f t="shared" ref="AE240:AG240" si="393">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394">Z272</f>
        <v>500</v>
      </c>
      <c r="AA241" s="359">
        <f>AA272</f>
        <v>500</v>
      </c>
      <c r="AB241" s="359">
        <f>AB272</f>
        <v>500</v>
      </c>
      <c r="AC241" s="359">
        <f>AC272</f>
        <v>500</v>
      </c>
      <c r="AD241" s="162">
        <f>SUM(Z241:AC241)</f>
        <v>2000</v>
      </c>
      <c r="AE241" s="162">
        <f t="shared" ref="AE241:AG241" si="395">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396">Y247</f>
        <v>394.3</v>
      </c>
      <c r="AA244" s="281">
        <f>Z247</f>
        <v>454.834</v>
      </c>
      <c r="AB244" s="281">
        <f>AA247</f>
        <v>523.84276</v>
      </c>
      <c r="AC244" s="281">
        <f>AB247</f>
        <v>584.5704688</v>
      </c>
      <c r="AD244" s="282">
        <f>Y247</f>
        <v>394.3</v>
      </c>
      <c r="AE244" s="282">
        <f t="shared" ref="AE244:AG244" si="397">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98">SUM(F245:I245)</f>
        <v>1e-12</v>
      </c>
      <c r="K245" s="413">
        <v>0</v>
      </c>
      <c r="L245" s="413">
        <v>0</v>
      </c>
      <c r="M245" s="413">
        <v>0</v>
      </c>
      <c r="N245" s="443">
        <v>0</v>
      </c>
      <c r="O245" s="329">
        <f t="shared" ref="O245:O246" si="399">SUM(K245:N245)</f>
        <v>1e-12</v>
      </c>
      <c r="P245" s="413">
        <v>0</v>
      </c>
      <c r="Q245" s="413">
        <v>0</v>
      </c>
      <c r="R245" s="443">
        <v>0</v>
      </c>
      <c r="S245" s="413">
        <v>0</v>
      </c>
      <c r="T245" s="329">
        <f t="shared" ref="T245:T246" si="400">SUM(P245:S245)</f>
        <v>1e-12</v>
      </c>
      <c r="U245" s="413">
        <v>0</v>
      </c>
      <c r="V245" s="413">
        <v>0</v>
      </c>
      <c r="W245" s="443">
        <v>0</v>
      </c>
      <c r="X245" s="330">
        <f>X271*X239</f>
        <v>0</v>
      </c>
      <c r="Y245" s="329">
        <f t="shared" ref="Y245:Y246" si="401">SUM(U245:X245)</f>
        <v>0</v>
      </c>
      <c r="Z245" s="330">
        <f t="shared" ref="Z245:AC245" si="402">Z271*Z239</f>
        <v>0</v>
      </c>
      <c r="AA245" s="330">
        <f>AA271*AA239</f>
      </c>
      <c r="AB245" s="330">
        <f>AB271*AB239</f>
      </c>
      <c r="AC245" s="330">
        <f>AC271*AC239</f>
      </c>
      <c r="AD245" s="329">
        <f t="shared" ref="AD245:AD246" si="403">SUM(Z245:AC245)</f>
        <v>0</v>
      </c>
      <c r="AE245" s="329">
        <f t="shared" ref="AE245:AG245" si="404">AE271*AE239</f>
        <v>0</v>
      </c>
      <c r="AF245" s="329">
        <f>AF271*AF239</f>
      </c>
      <c r="AG245" s="329">
        <f>AG271*AG239</f>
      </c>
      <c r="AH245" s="16"/>
      <c r="AI245" s="16"/>
      <c r="AJ245" s="16"/>
      <c r="AK245" s="16"/>
    </row>
    <row r="246" ht="13.5" customHeight="1" spans="1:37" x14ac:dyDescent="0.25">
      <c r="A246" s="264"/>
      <c r="B246" s="16"/>
      <c r="C246" s="139" t="s">
        <v>405</v>
      </c>
      <c r="D246" s="16"/>
      <c r="E246" s="16"/>
      <c r="F246" s="354">
        <v>24</v>
      </c>
      <c r="G246" s="354">
        <f>62-F246</f>
        <v>38</v>
      </c>
      <c r="H246" s="354">
        <f>79-SUM(F246:G246)</f>
        <v>17</v>
      </c>
      <c r="I246" s="354">
        <v>-5</v>
      </c>
      <c r="J246" s="355">
        <f>SUM(F246:I246)</f>
        <v>74</v>
      </c>
      <c r="K246" s="354">
        <v>42</v>
      </c>
      <c r="L246" s="354">
        <f>51-K246</f>
        <v>9</v>
      </c>
      <c r="M246" s="354">
        <v>24</v>
      </c>
      <c r="N246" s="367">
        <f>98-SUM(K246:M246)</f>
        <v>23</v>
      </c>
      <c r="O246" s="355">
        <f>SUM(K246:N246)</f>
        <v>98</v>
      </c>
      <c r="P246" s="354">
        <v>27</v>
      </c>
      <c r="Q246" s="354">
        <v>37</v>
      </c>
      <c r="R246" s="367">
        <v>43</v>
      </c>
      <c r="S246" s="354">
        <f>98-SUM(P246:R246)</f>
        <v>-9</v>
      </c>
      <c r="T246" s="355">
        <f>SUM(P246:S246)</f>
        <v>98</v>
      </c>
      <c r="U246" s="354">
        <v>54</v>
      </c>
      <c r="V246" s="354">
        <f>115-U246</f>
        <v>61</v>
      </c>
      <c r="W246" s="367">
        <f>169-SUM(U246:V246)</f>
        <v>54</v>
      </c>
      <c r="X246" s="356">
        <f>X249*X28</f>
        <v>51.3</v>
      </c>
      <c r="Y246" s="355">
        <f>SUM(U246:X246)</f>
        <v>220.3</v>
      </c>
      <c r="Z246" s="356">
        <f t="shared" ref="Z246:AC246" si="405">Z249*Z28</f>
        <v>60.534</v>
      </c>
      <c r="AA246" s="356">
        <f>AA249*AA28</f>
        <v>69.00876</v>
      </c>
      <c r="AB246" s="356">
        <f>AB249*AB28</f>
        <v>60.7277088</v>
      </c>
      <c r="AC246" s="356">
        <f>AC249*AC28</f>
        <v>57.69132336</v>
      </c>
      <c r="AD246" s="355">
        <f>SUM(Z246:AC246)</f>
        <v>247.96179216000002</v>
      </c>
      <c r="AE246" s="355">
        <f t="shared" ref="AE246:AG246" si="406">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07">F147</f>
        <v>66399</v>
      </c>
      <c r="G247" s="353">
        <f>G147</f>
        <v>69568</v>
      </c>
      <c r="H247" s="353">
        <f>H147</f>
        <v>70667</v>
      </c>
      <c r="I247" s="353">
        <f>I147</f>
        <v>73812</v>
      </c>
      <c r="J247" s="282">
        <f>J147</f>
        <v>73812</v>
      </c>
      <c r="K247" s="353">
        <f>K147</f>
        <v>75236</v>
      </c>
      <c r="L247" s="353">
        <f>L147</f>
        <v>78815</v>
      </c>
      <c r="M247" s="353">
        <f>M147</f>
        <v>79850</v>
      </c>
      <c r="N247" s="444">
        <f>N147</f>
        <v>83276</v>
      </c>
      <c r="O247" s="282">
        <f>O147</f>
        <v>83276</v>
      </c>
      <c r="P247" s="353">
        <f>P147</f>
        <v>84768</v>
      </c>
      <c r="Q247" s="353">
        <f>Q147</f>
        <v>88711</v>
      </c>
      <c r="R247" s="444">
        <f>R147</f>
        <v>89806</v>
      </c>
      <c r="S247" s="353">
        <f>S147</f>
        <v>93568</v>
      </c>
      <c r="T247" s="282">
        <f>T147</f>
        <v>93568</v>
      </c>
      <c r="U247" s="353">
        <f>U147</f>
        <v>95221</v>
      </c>
      <c r="V247" s="353">
        <f>V147</f>
        <v>99507</v>
      </c>
      <c r="W247" s="444">
        <f>W147</f>
        <v>343</v>
      </c>
      <c r="X247" s="281">
        <f>SUM(X244:X246)</f>
        <v>394.3</v>
      </c>
      <c r="Y247" s="282">
        <f>X247</f>
        <v>394.3</v>
      </c>
      <c r="Z247" s="281">
        <f t="shared" ref="Z247:AG247" si="408">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09">F246/F28</f>
        <v>0.00020485856223432405</v>
      </c>
      <c r="G249" s="445">
        <f>G246/G28</f>
        <v>0.00040069172044371337</v>
      </c>
      <c r="H249" s="445">
        <f>H246/H28</f>
        <v>0.00020783158306539358</v>
      </c>
      <c r="I249" s="445">
        <f>I246/I28</f>
        <v>-0.000055867170216094216</v>
      </c>
      <c r="J249" s="446">
        <f>J246/J28</f>
        <v>0.00019306782159489674</v>
      </c>
      <c r="K249" s="445">
        <f>K246/K28</f>
        <v>0.00035124398912816224</v>
      </c>
      <c r="L249" s="445">
        <f>L246/L28</f>
        <v>0.00009917027536279793</v>
      </c>
      <c r="M249" s="445">
        <f>M246/M28</f>
        <v>0.0002797952831178521</v>
      </c>
      <c r="N249" s="447">
        <f>N246/N28</f>
        <v>0.00024228378805435583</v>
      </c>
      <c r="O249" s="446">
        <f>O246/O28</f>
        <v>0.00025061695244671194</v>
      </c>
      <c r="P249" s="445">
        <f>P246/P28</f>
        <v>0.0002172164119066774</v>
      </c>
      <c r="Q249" s="445">
        <f>Q246/Q28</f>
        <v>0.00038800742457450267</v>
      </c>
      <c r="R249" s="447">
        <f>R246/R28</f>
        <v>0.00045727168318516315</v>
      </c>
      <c r="S249" s="445">
        <f>S246/S28</f>
        <v>-0.000087834013233658</v>
      </c>
      <c r="T249" s="446">
        <f>T246/T28</f>
        <v>0.00023548578554934268</v>
      </c>
      <c r="U249" s="445">
        <f>U246/U28</f>
        <v>0.0003756364951723754</v>
      </c>
      <c r="V249" s="445">
        <f>V246/V28</f>
        <v>0.0005486400920995827</v>
      </c>
      <c r="W249" s="447">
        <f>W246/W28</f>
        <v>0.0023562265468190942</v>
      </c>
      <c r="X249" s="448">
        <f>W249</f>
        <v>0.0023562265468190942</v>
      </c>
      <c r="Y249" s="446">
        <f>Y246/Y28</f>
        <v>0.0022786017266898423</v>
      </c>
      <c r="Z249" s="448">
        <f>X249</f>
        <v>0.0023562265468190942</v>
      </c>
      <c r="AA249" s="448">
        <f t="shared" ref="AA249:AC249" si="410">Z249</f>
        <v>0.0023562265468190942</v>
      </c>
      <c r="AB249" s="448">
        <f>AA249</f>
        <v>0.0023562265468190942</v>
      </c>
      <c r="AC249" s="448">
        <f>AB249</f>
        <v>0.0023562265468190942</v>
      </c>
      <c r="AD249" s="446">
        <f>AD246/AD28</f>
        <v>0.0023562265468190947</v>
      </c>
      <c r="AE249" s="449">
        <f>AC249</f>
        <v>0.0023562265468190942</v>
      </c>
      <c r="AF249" s="449">
        <f t="shared" ref="AF249:AG249" si="411">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12">E256</f>
        <v>1e-12</v>
      </c>
      <c r="G252" s="353">
        <f>F256</f>
        <v>3240</v>
      </c>
      <c r="H252" s="353">
        <f>G256</f>
        <v>4336</v>
      </c>
      <c r="I252" s="353">
        <f>H256</f>
        <v>1408</v>
      </c>
      <c r="J252" s="282">
        <f>F252</f>
        <v>1e-12</v>
      </c>
      <c r="K252" s="353">
        <f t="shared" ref="K252:N252" si="413">J256</f>
        <v>-214</v>
      </c>
      <c r="L252" s="353">
        <f>K256</f>
        <v>8242</v>
      </c>
      <c r="M252" s="353">
        <f>L256</f>
        <v>4339</v>
      </c>
      <c r="N252" s="444">
        <f>M256</f>
        <v>-4726</v>
      </c>
      <c r="O252" s="282">
        <f>K252</f>
        <v>-214</v>
      </c>
      <c r="P252" s="353">
        <f t="shared" ref="P252:S252" si="414">O256</f>
        <v>-19154</v>
      </c>
      <c r="Q252" s="353">
        <f>P256</f>
        <v>-11221</v>
      </c>
      <c r="R252" s="444">
        <f>Q256</f>
        <v>-15552</v>
      </c>
      <c r="S252" s="353">
        <f>R256</f>
        <v>-17607</v>
      </c>
      <c r="T252" s="282">
        <f>P252</f>
        <v>-19154</v>
      </c>
      <c r="U252" s="353">
        <f t="shared" ref="U252:X252" si="415">T256</f>
        <v>-14264</v>
      </c>
      <c r="V252" s="353">
        <f>U256</f>
        <v>-2177</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16">F45</f>
        <v>29998</v>
      </c>
      <c r="G253" s="384">
        <f>G45</f>
        <v>24160</v>
      </c>
      <c r="H253" s="384">
        <f>H45</f>
        <v>19881</v>
      </c>
      <c r="I253" s="384">
        <f>I45</f>
        <v>22956</v>
      </c>
      <c r="J253" s="162">
        <f t="shared" ref="J253:J255" si="417">SUM(F253:I253)</f>
        <v>96995</v>
      </c>
      <c r="K253" s="384">
        <f t="shared" ref="K253:N253" si="418">K45</f>
        <v>33916</v>
      </c>
      <c r="L253" s="384">
        <f>L45</f>
        <v>23636</v>
      </c>
      <c r="M253" s="384">
        <f>M45</f>
        <v>21448</v>
      </c>
      <c r="N253" s="437">
        <f>N45</f>
        <v>14736</v>
      </c>
      <c r="O253" s="162">
        <f t="shared" ref="O253:O255" si="419">SUM(K253:N253)</f>
        <v>93736</v>
      </c>
      <c r="P253" s="384">
        <f t="shared" ref="P253:S253" si="420">P45</f>
        <v>36330</v>
      </c>
      <c r="Q253" s="384">
        <f>Q45</f>
        <v>24780</v>
      </c>
      <c r="R253" s="437">
        <f>R45</f>
        <v>23434</v>
      </c>
      <c r="S253" s="384">
        <f>S45</f>
        <v>27466</v>
      </c>
      <c r="T253" s="162">
        <f t="shared" ref="T253:T255" si="421">SUM(P253:S253)</f>
        <v>112010</v>
      </c>
      <c r="U253" s="384">
        <f t="shared" ref="U253:X253" si="422">U45</f>
        <v>42097</v>
      </c>
      <c r="V253" s="384">
        <f>V45</f>
        <v>24299</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-3768</v>
      </c>
      <c r="G254" s="438">
        <v>-3650</v>
      </c>
      <c r="H254" s="358">
        <v>-3849</v>
      </c>
      <c r="I254" s="358">
        <v>-3758</v>
      </c>
      <c r="J254" s="162">
        <f>SUM(F254:I254)</f>
        <v>-15025</v>
      </c>
      <c r="K254" s="358">
        <v>-3825</v>
      </c>
      <c r="L254" s="358">
        <v>-3710</v>
      </c>
      <c r="M254" s="358">
        <v>-3895</v>
      </c>
      <c r="N254" s="438">
        <v>-3804</v>
      </c>
      <c r="O254" s="162">
        <f>SUM(K254:N254)</f>
        <v>-15234</v>
      </c>
      <c r="P254" s="358">
        <v>-3856</v>
      </c>
      <c r="Q254" s="358">
        <v>-3758</v>
      </c>
      <c r="R254" s="438">
        <v>-3945</v>
      </c>
      <c r="S254" s="358">
        <v>-3862</v>
      </c>
      <c r="T254" s="162">
        <f>SUM(P254:S254)</f>
        <v>-15421</v>
      </c>
      <c r="U254" s="358">
        <v>-3921</v>
      </c>
      <c r="V254" s="358">
        <f>-870-U254</f>
        <v>3051</v>
      </c>
      <c r="W254" s="438">
        <f>-1433-SUM(U254:V254)</f>
        <v>-563</v>
      </c>
      <c r="X254" s="359">
        <f>-X267</f>
        <v>-519.8</v>
      </c>
      <c r="Y254" s="162">
        <f>SUM(U254:X254)</f>
        <v>-1952.8</v>
      </c>
      <c r="Z254" s="359">
        <f t="shared" ref="Z254:AC254" si="423">-Z267</f>
        <v>-505.99999999999994</v>
      </c>
      <c r="AA254" s="359">
        <f>-AA267</f>
        <v>-494.49999999999994</v>
      </c>
      <c r="AB254" s="359">
        <f>-AB267</f>
        <v>-647.4499999999999</v>
      </c>
      <c r="AC254" s="359">
        <f>-AC267</f>
        <v>-597.7699999999999</v>
      </c>
      <c r="AD254" s="162">
        <f>SUM(Z254:AC254)</f>
        <v>-2245.72</v>
      </c>
      <c r="AE254" s="162">
        <f t="shared" ref="AE254:AG254" si="424">-AE267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25">F256-SUM(F252:F254)</f>
        <v>-22990</v>
      </c>
      <c r="G255" s="372">
        <f>G256-SUM(G252:G254)</f>
        <v>-19414</v>
      </c>
      <c r="H255" s="372">
        <f>H256-SUM(H252:H254)</f>
        <v>-18960</v>
      </c>
      <c r="I255" s="372">
        <f>I256-SUM(I252:I254)</f>
        <v>-20820</v>
      </c>
      <c r="J255" s="355">
        <f>SUM(F255:I255)</f>
        <v>-82184</v>
      </c>
      <c r="K255" s="372">
        <f t="shared" ref="K255:N255" si="426">K256-SUM(K252:K254)</f>
        <v>-21635</v>
      </c>
      <c r="L255" s="372">
        <f>L256-SUM(L252:L254)</f>
        <v>-23829</v>
      </c>
      <c r="M255" s="372">
        <f>M256-SUM(M252:M254)</f>
        <v>-26618</v>
      </c>
      <c r="N255" s="450">
        <f>N256-SUM(N252:N254)</f>
        <v>-25360</v>
      </c>
      <c r="O255" s="355">
        <f>SUM(K255:N255)</f>
        <v>-97442</v>
      </c>
      <c r="P255" s="372">
        <f t="shared" ref="P255:S255" si="427">P256-SUM(P252:P254)</f>
        <v>-24541</v>
      </c>
      <c r="Q255" s="372">
        <f>Q256-SUM(Q252:Q254)</f>
        <v>-25353</v>
      </c>
      <c r="R255" s="450">
        <f>R256-SUM(R252:R254)</f>
        <v>-21544</v>
      </c>
      <c r="S255" s="372">
        <f>S256-SUM(S252:S254)</f>
        <v>-20261</v>
      </c>
      <c r="T255" s="355">
        <f>SUM(P255:S255)</f>
        <v>-91699</v>
      </c>
      <c r="U255" s="372">
        <f t="shared" ref="U255:W255" si="428">U256-SUM(U252:U254)</f>
        <v>-26089</v>
      </c>
      <c r="V255" s="372">
        <f>V256-SUM(V252:V254)</f>
        <v>-12814</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29">F148</f>
        <v>3240</v>
      </c>
      <c r="G256" s="353">
        <f>G148</f>
        <v>4336</v>
      </c>
      <c r="H256" s="353">
        <f>H148</f>
        <v>1408</v>
      </c>
      <c r="I256" s="353">
        <f>I148</f>
        <v>-214</v>
      </c>
      <c r="J256" s="282">
        <f>J148</f>
        <v>-214</v>
      </c>
      <c r="K256" s="353">
        <f>K148</f>
        <v>8242</v>
      </c>
      <c r="L256" s="353">
        <f>L148</f>
        <v>4339</v>
      </c>
      <c r="M256" s="353">
        <f>M148</f>
        <v>-4726</v>
      </c>
      <c r="N256" s="444">
        <f>N148</f>
        <v>-19154</v>
      </c>
      <c r="O256" s="282">
        <f>O148</f>
        <v>-19154</v>
      </c>
      <c r="P256" s="353">
        <f>P148</f>
        <v>-11221</v>
      </c>
      <c r="Q256" s="353">
        <f>Q148</f>
        <v>-15552</v>
      </c>
      <c r="R256" s="444">
        <f>R148</f>
        <v>-17607</v>
      </c>
      <c r="S256" s="353">
        <f>S148</f>
        <v>-14264</v>
      </c>
      <c r="T256" s="282">
        <f>T148</f>
        <v>-14264</v>
      </c>
      <c r="U256" s="353">
        <f>U148</f>
        <v>-2177</v>
      </c>
      <c r="V256" s="353">
        <f>V148</f>
        <v>12359</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30">E261</f>
        <v>1e-12</v>
      </c>
      <c r="G259" s="353">
        <f>F261</f>
        <v>-12912</v>
      </c>
      <c r="H259" s="353">
        <f>G261</f>
        <v>-11746</v>
      </c>
      <c r="I259" s="353">
        <f>H261</f>
        <v>-11801</v>
      </c>
      <c r="J259" s="282">
        <f>F259</f>
        <v>1e-12</v>
      </c>
      <c r="K259" s="353">
        <f t="shared" ref="K259:N259" si="431">J261</f>
        <v>1389.000000000001</v>
      </c>
      <c r="L259" s="353">
        <f>K261</f>
        <v>-9378</v>
      </c>
      <c r="M259" s="353">
        <f>L261</f>
        <v>-8960</v>
      </c>
      <c r="N259" s="444">
        <f>M261</f>
        <v>-8416</v>
      </c>
      <c r="O259" s="282">
        <f>K259</f>
        <v>1389.000000000001</v>
      </c>
      <c r="P259" s="353">
        <f t="shared" ref="P259:S259" si="432">O261</f>
        <v>-7171.999999999999</v>
      </c>
      <c r="Q259" s="353">
        <f>P261</f>
        <v>-6789</v>
      </c>
      <c r="R259" s="353">
        <f>Q261</f>
        <v>-6363</v>
      </c>
      <c r="S259" s="353">
        <f>R261</f>
        <v>-6369</v>
      </c>
      <c r="T259" s="282">
        <f>P259</f>
        <v>-7171.999999999999</v>
      </c>
      <c r="U259" s="353">
        <f t="shared" ref="U259:X259" si="433">T261</f>
        <v>-5571</v>
      </c>
      <c r="V259" s="353">
        <f>U261</f>
        <v>-4854</v>
      </c>
      <c r="W259" s="353">
        <f>V261</f>
        <v>-65</v>
      </c>
      <c r="X259" s="281">
        <f>W261</f>
        <v>-6</v>
      </c>
      <c r="Y259" s="282">
        <f>T261</f>
        <v>-136</v>
      </c>
      <c r="Z259" s="281">
        <f t="shared" ref="Z259:AC259" si="434">Y261</f>
        <v>-6</v>
      </c>
      <c r="AA259" s="281">
        <f>Z261</f>
        <v>-6</v>
      </c>
      <c r="AB259" s="281">
        <f>AA261</f>
        <v>-6</v>
      </c>
      <c r="AC259" s="281">
        <f>AB261</f>
        <v>-6</v>
      </c>
      <c r="AD259" s="282">
        <f>Y261</f>
        <v>-6</v>
      </c>
      <c r="AE259" s="282">
        <f t="shared" ref="AE259:AG259" si="435">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36">F261-F259</f>
        <v>-71</v>
      </c>
      <c r="G260" s="372">
        <f>G261-G259</f>
        <v>1166</v>
      </c>
      <c r="H260" s="372">
        <f>H261-H259</f>
        <v>-55</v>
      </c>
      <c r="I260" s="372">
        <f>I261-I259</f>
        <v>349</v>
      </c>
      <c r="J260" s="355">
        <f>SUM(F260:I260)</f>
        <v>1389</v>
      </c>
      <c r="K260" s="372">
        <f t="shared" ref="K260:N260" si="437">K261-K259</f>
        <v>-10767</v>
      </c>
      <c r="L260" s="372">
        <f>L261-L259</f>
        <v>418</v>
      </c>
      <c r="M260" s="372">
        <f>M261-M259</f>
        <v>544</v>
      </c>
      <c r="N260" s="450">
        <f>N261-N259</f>
        <v>1244</v>
      </c>
      <c r="O260" s="355">
        <f>SUM(K260:N260)</f>
        <v>-8561</v>
      </c>
      <c r="P260" s="372">
        <f t="shared" ref="P260:S260" si="438">P261-P259</f>
        <v>382.9999999999991</v>
      </c>
      <c r="Q260" s="372">
        <f>Q261-Q259</f>
        <v>426</v>
      </c>
      <c r="R260" s="372">
        <f>R261-R259</f>
        <v>-6</v>
      </c>
      <c r="S260" s="372">
        <f>S261-S259</f>
        <v>798</v>
      </c>
      <c r="T260" s="355">
        <f>SUM(P260:S260)</f>
        <v>1600.999999999999</v>
      </c>
      <c r="U260" s="372">
        <f t="shared" ref="U260:W260" si="439">U261-U259</f>
        <v>717</v>
      </c>
      <c r="V260" s="372">
        <f>V261-V259</f>
        <v>-521</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40">F150</f>
        <v>-12912</v>
      </c>
      <c r="G261" s="353">
        <f>G150</f>
        <v>-11746</v>
      </c>
      <c r="H261" s="353">
        <f>H150</f>
        <v>-11801</v>
      </c>
      <c r="I261" s="353">
        <f>I150</f>
        <v>-11452</v>
      </c>
      <c r="J261" s="282">
        <f>SUM(J259:J260)</f>
        <v>1389.000000000001</v>
      </c>
      <c r="K261" s="353">
        <f t="shared" ref="K261:N261" si="441">K150</f>
        <v>-9378</v>
      </c>
      <c r="L261" s="353">
        <f>L150</f>
        <v>-8960</v>
      </c>
      <c r="M261" s="353">
        <f>M150</f>
        <v>-8416</v>
      </c>
      <c r="N261" s="353">
        <f>N150</f>
        <v>-7172</v>
      </c>
      <c r="O261" s="282">
        <f>SUM(O259:O260)</f>
        <v>-7171.999999999999</v>
      </c>
      <c r="P261" s="353">
        <f t="shared" ref="P261:S261" si="442">P150</f>
        <v>-6789</v>
      </c>
      <c r="Q261" s="353">
        <f>Q150</f>
        <v>-6363</v>
      </c>
      <c r="R261" s="353">
        <f>R150</f>
        <v>-6369</v>
      </c>
      <c r="S261" s="353">
        <f>S150</f>
        <v>-5571</v>
      </c>
      <c r="T261" s="282">
        <f>SUM(T259:T260)</f>
        <v>-5571</v>
      </c>
      <c r="U261" s="353">
        <f t="shared" ref="U261:W261" si="443">U150</f>
        <v>-4854</v>
      </c>
      <c r="V261" s="353">
        <f>V150</f>
        <v>-5375</v>
      </c>
      <c r="W261" s="353">
        <f>W150</f>
        <v>-6</v>
      </c>
      <c r="X261" s="281">
        <f t="shared" ref="X261:AG261" si="444">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45">F267/F266</f>
        <v>4.567272727272727</v>
      </c>
      <c r="G264" s="370">
        <f>G267/G266</f>
        <v>4.4895448954489545</v>
      </c>
      <c r="H264" s="370">
        <f>H267/H266</f>
        <v>4.7754342431761785</v>
      </c>
      <c r="I264" s="370">
        <f>I267/I266</f>
        <v>4.6916354556804</v>
      </c>
      <c r="J264" s="127">
        <f>J267/J266</f>
        <v>18.757802746566792</v>
      </c>
      <c r="K264" s="370">
        <f>K267/K266</f>
        <v>4.636363636363637</v>
      </c>
      <c r="L264" s="370">
        <f>L267/L266</f>
        <v>4.5633456334563345</v>
      </c>
      <c r="M264" s="370">
        <f>M267/M266</f>
        <v>4.832506203473946</v>
      </c>
      <c r="N264" s="370">
        <f>N267/N266</f>
        <v>4.749063670411985</v>
      </c>
      <c r="O264" s="127">
        <f>O267/O266</f>
        <v>19.0187265917603</v>
      </c>
      <c r="P264" s="370">
        <f>P267/P266</f>
        <v>5.107284768211921</v>
      </c>
      <c r="Q264" s="370">
        <f>Q267/Q266</f>
        <v>4.997340425531915</v>
      </c>
      <c r="R264" s="370">
        <f>R267/R266</f>
        <v>5.246010638297872</v>
      </c>
      <c r="S264" s="370">
        <f>S267/S266</f>
        <v>5.163101604278075</v>
      </c>
      <c r="T264" s="127">
        <f>T267/T266</f>
        <v>20.61631016042781</v>
      </c>
      <c r="U264" s="370">
        <f>U267/U266</f>
        <v>5.46100278551532</v>
      </c>
      <c r="V264" s="370">
        <f>V267/V266</f>
        <v>-4.327659574468085</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46">4*F264/F239</f>
        <v>0.21248070375774492</v>
      </c>
      <c r="G265" s="397">
        <f>4*G264/G239</f>
        <v>0.19562287126139236</v>
      </c>
      <c r="H265" s="397">
        <f>4*H264/H239</f>
        <v>0.19966276756250353</v>
      </c>
      <c r="I265" s="397">
        <f>4*I264/I239</f>
        <v>0.16865769589935825</v>
      </c>
      <c r="J265" s="398">
        <f>J264/J239</f>
        <v>0.19952879920705144</v>
      </c>
      <c r="K265" s="397">
        <f t="shared" ref="K265:N265" si="447">4*K264/K239</f>
        <v>0.1811964293644802</v>
      </c>
      <c r="L265" s="397">
        <f>4*L264/L239</f>
        <v>0.17792555350253764</v>
      </c>
      <c r="M265" s="397">
        <f>4*M264/M239</f>
        <v>0.17830481333729162</v>
      </c>
      <c r="N265" s="397">
        <f>4*N264/N239</f>
        <v>0.1802814338203278</v>
      </c>
      <c r="O265" s="398">
        <f>O264/O239</f>
        <v>0.1826876971942373</v>
      </c>
      <c r="P265" s="397">
        <f t="shared" ref="P265:S265" si="448">4*P264/P239</f>
        <v>0.20681452796970726</v>
      </c>
      <c r="Q265" s="397">
        <f>4*Q264/Q239</f>
        <v>0.20236243877432333</v>
      </c>
      <c r="R265" s="397">
        <f>4*R264/R239</f>
        <v>0.12398852603565572</v>
      </c>
      <c r="S265" s="397">
        <f>4*S264/S239</f>
        <v>0.09857072488553054</v>
      </c>
      <c r="T265" s="398">
        <f>T264/T239</f>
        <v>0.12248229784199104</v>
      </c>
      <c r="U265" s="397">
        <f t="shared" ref="U265:W265" si="449">4*U264/U239</f>
        <v>0.1198902916688325</v>
      </c>
      <c r="V265" s="397">
        <f>4*V264/V239</f>
        <v>-0.09067117688329973</v>
      </c>
      <c r="W265" s="397">
        <f>4*W264/W239</f>
        <v>0.015815639175527117</v>
      </c>
      <c r="X265" s="399">
        <f>X264*4/X239</f>
        <v>0.013255607773099433</v>
      </c>
      <c r="Y265" s="398">
        <f>Y264/Y239</f>
        <v>0.014445001368382868</v>
      </c>
      <c r="Z265" s="399">
        <f t="shared" ref="Z265:AC265" si="450">Z264*4/Z239</f>
        <v>0.012944953224338555</v>
      </c>
      <c r="AA265" s="399">
        <f>AA264*4/AA239</f>
        <v>0.012691334904192815</v>
      </c>
      <c r="AB265" s="399">
        <f>AB264*4/AB239</f>
        <v>0.01667027459747688</v>
      </c>
      <c r="AC265" s="399">
        <f>AC264*4/AC239</f>
        <v>0.015440830034318303</v>
      </c>
      <c r="AD265" s="398">
        <f t="shared" ref="AD265:AG265" si="451">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52">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53">-F254</f>
        <v>3768</v>
      </c>
      <c r="G267" s="353">
        <f>-G254</f>
        <v>3650</v>
      </c>
      <c r="H267" s="353">
        <f>-H254</f>
        <v>3849</v>
      </c>
      <c r="I267" s="353">
        <f>-I254</f>
        <v>3758</v>
      </c>
      <c r="J267" s="282">
        <f>SUM(F267:I267)</f>
        <v>15025</v>
      </c>
      <c r="K267" s="353">
        <f t="shared" ref="K267:N267" si="454">-K254</f>
        <v>3825</v>
      </c>
      <c r="L267" s="353">
        <f>-L254</f>
        <v>3710</v>
      </c>
      <c r="M267" s="353">
        <f>-M254</f>
        <v>3895</v>
      </c>
      <c r="N267" s="353">
        <f>-N254</f>
        <v>3804</v>
      </c>
      <c r="O267" s="282">
        <f>SUM(K267:N267)</f>
        <v>15234</v>
      </c>
      <c r="P267" s="353">
        <f t="shared" ref="P267:S267" si="455">-P254</f>
        <v>3856</v>
      </c>
      <c r="Q267" s="353">
        <f>-Q254</f>
        <v>3758</v>
      </c>
      <c r="R267" s="353">
        <f>-R254</f>
        <v>3945</v>
      </c>
      <c r="S267" s="353">
        <f>-S254</f>
        <v>3862</v>
      </c>
      <c r="T267" s="282">
        <f>SUM(P267:S267)</f>
        <v>15421</v>
      </c>
      <c r="U267" s="353">
        <f t="shared" ref="U267:W267" si="456">-U254</f>
        <v>3921</v>
      </c>
      <c r="V267" s="353">
        <f>-V254</f>
        <v>-3051</v>
      </c>
      <c r="W267" s="353">
        <f>-W254</f>
        <v>563</v>
      </c>
      <c r="X267" s="281">
        <f>S267*(1+X273)</f>
        <v>519.8</v>
      </c>
      <c r="Y267" s="282">
        <f>SUM(U267:X267)</f>
        <v>1952.8</v>
      </c>
      <c r="Z267" s="281">
        <f t="shared" ref="Z267:AC267" si="457">U267*(1+Z273)</f>
        <v>505.99999999999994</v>
      </c>
      <c r="AA267" s="281">
        <f>V267*(1+AA273)</f>
        <v>494.49999999999994</v>
      </c>
      <c r="AB267" s="281">
        <f>W267*(1+AB273)</f>
        <v>647.4499999999999</v>
      </c>
      <c r="AC267" s="281">
        <f>X267*(1+AC273)</f>
        <v>597.7699999999999</v>
      </c>
      <c r="AD267" s="282">
        <f>SUM(Z267:AC267)</f>
        <v>2245.72</v>
      </c>
      <c r="AE267" s="282">
        <f t="shared" ref="AE267:AG267" si="458">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1e-12</v>
      </c>
      <c r="K271" s="413">
        <v>0</v>
      </c>
      <c r="L271" s="413">
        <v>0</v>
      </c>
      <c r="M271" s="413">
        <v>0</v>
      </c>
      <c r="N271" s="413">
        <v>0</v>
      </c>
      <c r="O271" s="329">
        <f>SUM(K271:N271)</f>
        <v>1e-12</v>
      </c>
      <c r="P271" s="413">
        <v>0</v>
      </c>
      <c r="Q271" s="413">
        <v>0</v>
      </c>
      <c r="R271" s="413">
        <v>0</v>
      </c>
      <c r="S271" s="413">
        <v>0</v>
      </c>
      <c r="T271" s="329">
        <f>SUM(P271:S271)</f>
        <v>1e-12</v>
      </c>
      <c r="U271" s="413">
        <v>0</v>
      </c>
      <c r="V271" s="413">
        <v>0</v>
      </c>
      <c r="W271" s="413">
        <v>0</v>
      </c>
      <c r="X271" s="417">
        <v>0</v>
      </c>
      <c r="Y271" s="329">
        <f t="shared" ref="Y271:Y272" si="459">SUM(U271:X271)</f>
        <v>0</v>
      </c>
      <c r="Z271" s="417">
        <v>0</v>
      </c>
      <c r="AA271" s="417">
        <v>0</v>
      </c>
      <c r="AB271" s="417">
        <v>0</v>
      </c>
      <c r="AC271" s="417">
        <v>0</v>
      </c>
      <c r="AD271" s="329">
        <f t="shared" ref="AD271:AD272" si="460">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61">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v>1e-12</v>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62">K267/F267-1</f>
        <v>0.015127388535031816</v>
      </c>
      <c r="L273" s="397">
        <f>L267/G267-1</f>
        <v>0.016438356164383494</v>
      </c>
      <c r="M273" s="397">
        <f>M267/H267-1</f>
        <v>0.01195115614445319</v>
      </c>
      <c r="N273" s="397">
        <f>N267/I267-1</f>
        <v>0.012240553485896699</v>
      </c>
      <c r="O273" s="398">
        <f>O267/J267-1</f>
        <v>0.013910149750415934</v>
      </c>
      <c r="P273" s="397">
        <f>P267/K267-1</f>
        <v>0.008104575163398797</v>
      </c>
      <c r="Q273" s="397">
        <f>Q267/L267-1</f>
        <v>0.012938005390835672</v>
      </c>
      <c r="R273" s="397">
        <f>R267/M267-1</f>
        <v>0.012836970474968012</v>
      </c>
      <c r="S273" s="397">
        <f>S267/N267-1</f>
        <v>0.01524710830704512</v>
      </c>
      <c r="T273" s="398">
        <f>T267/O267-1</f>
        <v>0.012275173952999818</v>
      </c>
      <c r="U273" s="397">
        <f>U267/P267-1</f>
        <v>0.016856846473028986</v>
      </c>
      <c r="V273" s="397">
        <f>V267/Q267-1</f>
        <v>-1.8118680149015434</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F$25</f>
        <v>1e-12</v>
      </c>
      <c r="G275" s="63" t="str">
        <f t="shared" ref="G275:AG275" si="463">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64">Y280</f>
        <v>671.6029227679047</v>
      </c>
      <c r="AA277" s="360">
        <f>Z280</f>
        <v>669.4586565358094</v>
      </c>
      <c r="AB277" s="360">
        <f>AA280</f>
        <v>667.314390303714</v>
      </c>
      <c r="AC277" s="360">
        <f>AB280</f>
        <v>665.1701240716187</v>
      </c>
      <c r="AD277" s="162">
        <f>Y280</f>
        <v>671.6029227679047</v>
      </c>
      <c r="AE277" s="453">
        <f t="shared" ref="AE277:AG277" si="465">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66">SUM(U278:X278)</f>
        <v>0</v>
      </c>
      <c r="Z278" s="360">
        <f t="shared" ref="Z278:AC278" si="467">Z271</f>
        <v>0</v>
      </c>
      <c r="AA278" s="360">
        <f>AA271</f>
      </c>
      <c r="AB278" s="360">
        <f>AB271</f>
      </c>
      <c r="AC278" s="360">
        <f>AC271</f>
      </c>
      <c r="AD278" s="453">
        <f t="shared" ref="AD278:AD279" si="468">SUM(Z278:AC278)</f>
        <v>0</v>
      </c>
      <c r="AE278" s="453">
        <f t="shared" ref="AE278:AG278" si="469">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70">-Z240</f>
        <v>-2.1442662320953767</v>
      </c>
      <c r="AA279" s="458">
        <f>-AA240</f>
        <v>-2.1442662320953767</v>
      </c>
      <c r="AB279" s="458">
        <f>-AB240</f>
        <v>-2.1442662320953767</v>
      </c>
      <c r="AC279" s="458">
        <f>-AC240</f>
        <v>-2.1442662320953767</v>
      </c>
      <c r="AD279" s="459">
        <f>SUM(Z279:AC279)</f>
        <v>-8.577064928381507</v>
      </c>
      <c r="AE279" s="459">
        <f t="shared" ref="AE279:AG279" si="471">-AE240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72">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73">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74">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75">F284-F282</f>
        <v>1</v>
      </c>
      <c r="G283" s="372">
        <f>G284-G282</f>
        <v>1</v>
      </c>
      <c r="H283" s="372">
        <f>H284-H282</f>
        <v>1</v>
      </c>
      <c r="I283" s="372">
        <f>I284-I282</f>
        <v>1e-12</v>
      </c>
      <c r="J283" s="355">
        <f>J284-J282</f>
        <v>1e-12</v>
      </c>
      <c r="K283" s="372">
        <f>K284-K282</f>
        <v>1</v>
      </c>
      <c r="L283" s="372">
        <f>L284-L282</f>
        <v>1</v>
      </c>
      <c r="M283" s="372">
        <f>M284-M282</f>
        <v>1</v>
      </c>
      <c r="N283" s="372">
        <f>N284-N282</f>
        <v>1e-12</v>
      </c>
      <c r="O283" s="355">
        <f>O284-O282</f>
        <v>1e-12</v>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76">Z283</f>
        <v>2</v>
      </c>
      <c r="AB283" s="368">
        <f>AA283</f>
        <v>2</v>
      </c>
      <c r="AC283" s="368">
        <f>AB283</f>
        <v>2</v>
      </c>
      <c r="AD283" s="355">
        <f>AD284-AD282</f>
        <v>2</v>
      </c>
      <c r="AE283" s="369">
        <f>AC283</f>
        <v>2</v>
      </c>
      <c r="AF283" s="369">
        <f t="shared" ref="AF283:AG283" si="477">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78">SUM(Z282:Z283)</f>
        <v>672.530789651857</v>
      </c>
      <c r="AA284" s="359">
        <f>SUM(AA282:AA283)</f>
        <v>670.3865234197617</v>
      </c>
      <c r="AB284" s="359">
        <f>SUM(AB282:AB283)</f>
        <v>668.2422571876664</v>
      </c>
      <c r="AC284" s="359">
        <f>SUM(AC282:AC283)</f>
        <v>666.097990955571</v>
      </c>
      <c r="AD284" s="162">
        <f>AVERAGE(Z284:AC284)</f>
        <v>669.314390303714</v>
      </c>
      <c r="AE284" s="162">
        <f t="shared" ref="AE284:AG284" si="479">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F$25</f>
        <v>1e-12</v>
      </c>
      <c r="G286" s="63" t="str">
        <f t="shared" ref="G286:AG286" si="480">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81">-Z241</f>
        <v>-500</v>
      </c>
      <c r="AA289" s="359">
        <f>-AA241</f>
        <v>-500</v>
      </c>
      <c r="AB289" s="359">
        <f>-AB241</f>
        <v>-500</v>
      </c>
      <c r="AC289" s="359">
        <f>-AC241</f>
        <v>-500</v>
      </c>
      <c r="AD289" s="16"/>
      <c r="AE289" s="162">
        <f t="shared" ref="AE289:AG289" si="482">-AE241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483">-Z267</f>
        <v>-505.99999999999994</v>
      </c>
      <c r="AA290" s="359">
        <f>-AA267</f>
        <v>-494.49999999999994</v>
      </c>
      <c r="AB290" s="359">
        <f>-AB267</f>
        <v>-647.4499999999999</v>
      </c>
      <c r="AC290" s="359">
        <f>-AC267</f>
        <v>-597.7699999999999</v>
      </c>
      <c r="AD290" s="16"/>
      <c r="AE290" s="162">
        <f t="shared" ref="AE290:AG290" si="484">-AE267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485">Z245</f>
        <v>0</v>
      </c>
      <c r="AA291" s="330">
        <f>AA245</f>
      </c>
      <c r="AB291" s="330">
        <f>AB245</f>
      </c>
      <c r="AC291" s="330">
        <f>AC245</f>
      </c>
      <c r="AD291" s="16"/>
      <c r="AE291" s="329">
        <f t="shared" ref="AE291:AG291" si="486">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487">Z299*Z28</f>
        <v>-16.04103245794392</v>
      </c>
      <c r="AA293" s="359">
        <f>AA299*AA28</f>
        <v>-18.286777002056073</v>
      </c>
      <c r="AB293" s="359">
        <f>AB299*AB28</f>
        <v>-16.092363761809345</v>
      </c>
      <c r="AC293" s="359">
        <f>AC299*AC28</f>
        <v>-15.287745573718876</v>
      </c>
      <c r="AD293" s="16"/>
      <c r="AE293" s="162">
        <f t="shared" ref="AE293:AG293" si="488">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89">F178/F28</f>
        <v>1e-12</v>
      </c>
      <c r="G299" s="463">
        <f>G178/G28</f>
        <v>0.10353663165886372</v>
      </c>
      <c r="H299" s="463">
        <f>H178/H28</f>
        <v>-0.027776079807327898</v>
      </c>
      <c r="I299" s="463">
        <f>I178/I28</f>
        <v>-0.077912355583365</v>
      </c>
      <c r="J299" s="464">
        <f>J178/J28</f>
        <v>1e-12</v>
      </c>
      <c r="K299" s="463">
        <f>K178/K28</f>
        <v>0.0139577670917834</v>
      </c>
      <c r="L299" s="463">
        <f>L178/L28</f>
        <v>-0.11853051689751302</v>
      </c>
      <c r="M299" s="463">
        <f>M178/M28</f>
        <v>0.01084206722081677</v>
      </c>
      <c r="N299" s="463">
        <f>N178/N28</f>
        <v>0.10165385020541452</v>
      </c>
      <c r="O299" s="464">
        <f>O178/O28</f>
        <v>0.0038155152352091245</v>
      </c>
      <c r="P299" s="463">
        <f>P178/P28</f>
        <v>-0.02336283185840708</v>
      </c>
      <c r="Q299" s="463">
        <f>Q178/Q28</f>
        <v>-0.03816105454125987</v>
      </c>
      <c r="R299" s="463">
        <f>R178/R28</f>
        <v>-0.051352673444212855</v>
      </c>
      <c r="S299" s="463">
        <f>S178/S28</f>
        <v>0.07293150898834735</v>
      </c>
      <c r="T299" s="464">
        <f>T178/T28</f>
        <v>-0.009368970182213134</v>
      </c>
      <c r="U299" s="463">
        <f>U178/U28</f>
        <v>0.0029633545730265174</v>
      </c>
      <c r="V299" s="463">
        <f>V178/V28</f>
        <v>-0.04072528421355591</v>
      </c>
      <c r="W299" s="463">
        <f>W178/W28</f>
        <v>-0.0017453529976437735</v>
      </c>
      <c r="X299" s="465">
        <f>AVERAGE($F$299:$V$299)</f>
        <v>-0.0006243814470511484</v>
      </c>
      <c r="Y299" s="16"/>
      <c r="Z299" s="465">
        <f t="shared" ref="Z299:AC299" si="490">AVERAGE($F$299:$V$299)</f>
        <v>-0.0006243814470511484</v>
      </c>
      <c r="AA299" s="465">
        <f>AVERAGE($F$299:$V$299)</f>
        <v>-0.0006243814470511484</v>
      </c>
      <c r="AB299" s="465">
        <f>AVERAGE($F$299:$V$299)</f>
        <v>-0.0006243814470511484</v>
      </c>
      <c r="AC299" s="465">
        <f>AVERAGE($F$299:$V$299)</f>
        <v>-0.0006243814470511484</v>
      </c>
      <c r="AD299" s="16"/>
      <c r="AE299" s="464">
        <f t="shared" ref="AE299:AG299" si="491">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92">E304</f>
        <v>1e-12</v>
      </c>
      <c r="G302" s="353">
        <f>F304</f>
        <v>1e-12</v>
      </c>
      <c r="H302" s="353">
        <f>G304</f>
        <v>1e-12</v>
      </c>
      <c r="I302" s="353">
        <f>H304</f>
        <v>1e-12</v>
      </c>
      <c r="J302" s="282">
        <f>F302</f>
        <v>1e-12</v>
      </c>
      <c r="K302" s="353">
        <f t="shared" ref="K302:N302" si="493">J304</f>
        <v>1e-12</v>
      </c>
      <c r="L302" s="353">
        <f>K304</f>
        <v>1e-12</v>
      </c>
      <c r="M302" s="353">
        <f>L304</f>
        <v>1e-12</v>
      </c>
      <c r="N302" s="353">
        <f>M304</f>
        <v>1e-12</v>
      </c>
      <c r="O302" s="282">
        <f>K302</f>
        <v>1e-12</v>
      </c>
      <c r="P302" s="353">
        <f t="shared" ref="P302:S302" si="494">O304</f>
        <v>1e-12</v>
      </c>
      <c r="Q302" s="353">
        <f>P304</f>
        <v>1e-12</v>
      </c>
      <c r="R302" s="353">
        <f>Q304</f>
        <v>1e-12</v>
      </c>
      <c r="S302" s="353">
        <f>R304</f>
        <v>1e-12</v>
      </c>
      <c r="T302" s="282">
        <f>P302</f>
        <v>1e-12</v>
      </c>
      <c r="U302" s="353">
        <f t="shared" ref="U302:X302" si="495">T304</f>
        <v>1e-12</v>
      </c>
      <c r="V302" s="353">
        <f>U304</f>
        <v>1e-12</v>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496">F304-F302</f>
        <v>1e-12</v>
      </c>
      <c r="G303" s="384">
        <f>G304-G302</f>
        <v>1e-12</v>
      </c>
      <c r="H303" s="384">
        <f>H304-H302</f>
        <v>1e-12</v>
      </c>
      <c r="I303" s="384">
        <f>I304-I302</f>
        <v>1e-12</v>
      </c>
      <c r="J303" s="162">
        <f>IF(J305&gt;J302,J305-J302,0)</f>
        <v>1e-12</v>
      </c>
      <c r="K303" s="384">
        <f t="shared" ref="K303:N303" si="497">K304-K302</f>
        <v>1e-12</v>
      </c>
      <c r="L303" s="384">
        <f>L304-L302</f>
        <v>1e-12</v>
      </c>
      <c r="M303" s="384">
        <f>M304-M302</f>
        <v>1e-12</v>
      </c>
      <c r="N303" s="384">
        <f>N304-N302</f>
        <v>1e-12</v>
      </c>
      <c r="O303" s="162">
        <f>IF(O305&gt;O302,O305-O302,0)</f>
        <v>1e-12</v>
      </c>
      <c r="P303" s="384">
        <f t="shared" ref="P303:S303" si="498">P304-P302</f>
        <v>1e-12</v>
      </c>
      <c r="Q303" s="384">
        <f>Q304-Q302</f>
        <v>1e-12</v>
      </c>
      <c r="R303" s="384">
        <f>R304-R302</f>
        <v>1e-12</v>
      </c>
      <c r="S303" s="384">
        <f>S304-S302</f>
        <v>1e-12</v>
      </c>
      <c r="T303" s="162">
        <f>IF(T305&gt;T302,T305-T302,0)</f>
        <v>1e-12</v>
      </c>
      <c r="U303" s="384">
        <f t="shared" ref="U303:W303" si="499">U304-U302</f>
        <v>1e-12</v>
      </c>
      <c r="V303" s="384">
        <f>V304-V302</f>
        <v>1e-12</v>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00">F139</f>
        <v>1e-12</v>
      </c>
      <c r="G304" s="353">
        <f>G139</f>
        <v>1e-12</v>
      </c>
      <c r="H304" s="353">
        <f>H139</f>
        <v>1e-12</v>
      </c>
      <c r="I304" s="353">
        <f>I139</f>
        <v>1e-12</v>
      </c>
      <c r="J304" s="282">
        <f>J139</f>
        <v>1e-12</v>
      </c>
      <c r="K304" s="353">
        <f>K139</f>
        <v>1e-12</v>
      </c>
      <c r="L304" s="353">
        <f>L139</f>
        <v>1e-12</v>
      </c>
      <c r="M304" s="353">
        <f>M139</f>
        <v>1e-12</v>
      </c>
      <c r="N304" s="353">
        <f>N139</f>
        <v>1e-12</v>
      </c>
      <c r="O304" s="282">
        <f>O139</f>
        <v>1e-12</v>
      </c>
      <c r="P304" s="353">
        <f>P139</f>
        <v>1e-12</v>
      </c>
      <c r="Q304" s="353">
        <f>Q139</f>
        <v>1e-12</v>
      </c>
      <c r="R304" s="353">
        <f>R139</f>
        <v>1e-12</v>
      </c>
      <c r="S304" s="353">
        <f>S139</f>
        <v>1e-12</v>
      </c>
      <c r="T304" s="282">
        <f>T139</f>
        <v>1e-12</v>
      </c>
      <c r="U304" s="353">
        <f>U139</f>
        <v>1e-12</v>
      </c>
      <c r="V304" s="353">
        <f>V139</f>
        <v>1e-12</v>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01">E310</f>
        <v>1e-12</v>
      </c>
      <c r="G307" s="353">
        <f>F310</f>
        <v>99627</v>
      </c>
      <c r="H307" s="353">
        <f>G310</f>
        <v>97041</v>
      </c>
      <c r="I307" s="353">
        <f>H310</f>
        <v>98071</v>
      </c>
      <c r="J307" s="282">
        <f>F307</f>
        <v>1e-12</v>
      </c>
      <c r="K307" s="353">
        <f t="shared" ref="K307:N307" si="502">J310</f>
        <v>95281</v>
      </c>
      <c r="L307" s="353">
        <f>K310</f>
        <v>95088</v>
      </c>
      <c r="M307" s="353">
        <f>L310</f>
        <v>91831</v>
      </c>
      <c r="N307" s="353">
        <f>M310</f>
        <v>86196</v>
      </c>
      <c r="O307" s="282">
        <f>K307</f>
        <v>95281</v>
      </c>
      <c r="P307" s="353">
        <f t="shared" ref="P307:S307" si="503">O310</f>
        <v>85750</v>
      </c>
      <c r="Q307" s="353">
        <f>P310</f>
        <v>83956</v>
      </c>
      <c r="R307" s="353">
        <f>Q310</f>
        <v>78566</v>
      </c>
      <c r="S307" s="353">
        <f>R310</f>
        <v>82430</v>
      </c>
      <c r="T307" s="282">
        <f>P307</f>
        <v>85750</v>
      </c>
      <c r="U307" s="353">
        <f t="shared" ref="U307:X307" si="504">T310</f>
        <v>78328</v>
      </c>
      <c r="V307" s="353">
        <f>U310</f>
        <v>76685</v>
      </c>
      <c r="W307" s="353">
        <f>V310</f>
        <v>23311</v>
      </c>
      <c r="X307" s="281">
        <f>W310</f>
        <v>25233</v>
      </c>
      <c r="Y307" s="16"/>
      <c r="Z307" s="281">
        <f>X310</f>
        <v>24733</v>
      </c>
      <c r="AA307" s="281">
        <f t="shared" ref="AA307:AC307" si="505">Z310</f>
        <v>24233</v>
      </c>
      <c r="AB307" s="281">
        <f>AA310</f>
        <v>23733</v>
      </c>
      <c r="AC307" s="281">
        <f>AB310</f>
        <v>23233</v>
      </c>
      <c r="AD307" s="16"/>
      <c r="AE307" s="282">
        <f>AC310</f>
        <v>22733</v>
      </c>
      <c r="AF307" s="282">
        <f t="shared" ref="AF307:AG307" si="506">AE310</f>
        <v>21333</v>
      </c>
      <c r="AG307" s="282">
        <f>AF310</f>
        <v>20033</v>
      </c>
      <c r="AH307" s="16"/>
      <c r="AI307" s="16"/>
      <c r="AJ307" s="16"/>
      <c r="AK307" s="16"/>
    </row>
    <row r="308" ht="13.5" customHeight="1" spans="1:37" x14ac:dyDescent="0.25">
      <c r="A308" s="264"/>
      <c r="B308" s="16"/>
      <c r="C308" s="139" t="s">
        <v>310</v>
      </c>
      <c r="D308" s="16"/>
      <c r="E308" s="16"/>
      <c r="F308" s="384">
        <f t="shared" ref="F308:W308" si="507">IF(F310&gt;F307,F310-F307,0)</f>
        <v>15844</v>
      </c>
      <c r="G308" s="384">
        <f>IF(G310&gt;G307,G310-G307,0)</f>
        <v>1e-12</v>
      </c>
      <c r="H308" s="384">
        <f>IF(H310&gt;H307,H310-H307,0)</f>
        <v>1e-12</v>
      </c>
      <c r="I308" s="384">
        <f>IF(I310&gt;I307,I310-I307,0)</f>
        <v>1e-12</v>
      </c>
      <c r="J308" s="162">
        <f>IF(J310&gt;J307,J310-J307,0)</f>
        <v>15501</v>
      </c>
      <c r="K308" s="384">
        <f>IF(K310&gt;K307,K310-K307,0)</f>
        <v>2049</v>
      </c>
      <c r="L308" s="384">
        <f>IF(L310&gt;L307,L310-L307,0)</f>
        <v>1e-12</v>
      </c>
      <c r="M308" s="384">
        <f>IF(M310&gt;M307,M310-M307,0)</f>
        <v>1e-12</v>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v>1e-12</v>
      </c>
      <c r="V308" s="384">
        <f>IF(V310&gt;V307,V310-V307,0)</f>
        <v>67</v>
      </c>
      <c r="W308" s="384">
        <f>IF(W310&gt;W307,W310-W307,0)</f>
        <v>1922</v>
      </c>
      <c r="X308" s="330">
        <f t="shared" ref="X308:X309" si="508">X295</f>
        <v>0</v>
      </c>
      <c r="Y308" s="16"/>
      <c r="Z308" s="330">
        <f t="shared" ref="Z308:AC308" si="509">Z295</f>
        <v>0</v>
      </c>
      <c r="AA308" s="330">
        <f>AA295</f>
      </c>
      <c r="AB308" s="330">
        <f>AB295</f>
      </c>
      <c r="AC308" s="330">
        <f>AC295</f>
      </c>
      <c r="AD308" s="16"/>
      <c r="AE308" s="329">
        <f t="shared" ref="AE308:AG308" si="510">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11">IF(F307&gt;F310,F310-F307,0)</f>
        <v>1e-12</v>
      </c>
      <c r="G309" s="384">
        <f>IF(G307&gt;G310,G310-G307,0)</f>
        <v>-13</v>
      </c>
      <c r="H309" s="384">
        <f>IF(H307&gt;H310,H310-H307,0)</f>
        <v>-254</v>
      </c>
      <c r="I309" s="384">
        <f>IF(I307&gt;I310,I310-I307,0)</f>
        <v>-76</v>
      </c>
      <c r="J309" s="162">
        <f>IF(J307&gt;J310,J310-J307,0)</f>
        <v>1e-12</v>
      </c>
      <c r="K309" s="384">
        <f>IF(K307&gt;K310,K310-K307,0)</f>
        <v>1e-12</v>
      </c>
      <c r="L309" s="384">
        <f>IF(L307&gt;L310,L310-L307,0)</f>
        <v>-3</v>
      </c>
      <c r="M309" s="384">
        <f>IF(M307&gt;M310,M310-M307,0)</f>
        <v>-338</v>
      </c>
      <c r="N309" s="384">
        <f>IF(N307&gt;N310,N310-N307,0)</f>
        <v>1e-12</v>
      </c>
      <c r="O309" s="162">
        <f>IF(O307&gt;O310,O310-O307,0)</f>
        <v>1e-12</v>
      </c>
      <c r="P309" s="384">
        <f>IF(P307&gt;P310,P310-P307,0)</f>
        <v>1e-12</v>
      </c>
      <c r="Q309" s="384">
        <f>IF(Q307&gt;Q310,Q310-Q307,0)</f>
        <v>1e-12</v>
      </c>
      <c r="R309" s="384">
        <f>IF(R307&gt;R310,R310-R307,0)</f>
        <v>1e-12</v>
      </c>
      <c r="S309" s="384">
        <f>IF(S307&gt;S310,S310-S307,0)</f>
        <v>1e-12</v>
      </c>
      <c r="T309" s="162">
        <f>IF(T307&gt;T310,T310-T307,0)</f>
        <v>1e-12</v>
      </c>
      <c r="U309" s="384">
        <f>IF(U307&gt;U310,U310-U307,0)</f>
        <v>-2967</v>
      </c>
      <c r="V309" s="384">
        <f>IF(V307&gt;V310,V310-V307,0)</f>
        <v>1e-12</v>
      </c>
      <c r="W309" s="384">
        <f>IF(W307&gt;W310,W310-W307,0)</f>
      </c>
      <c r="X309" s="330">
        <f>X296</f>
        <v>-500</v>
      </c>
      <c r="Y309" s="16"/>
      <c r="Z309" s="330">
        <f t="shared" ref="Z309:AC309" si="512">Z296</f>
        <v>-500</v>
      </c>
      <c r="AA309" s="330">
        <f>AA296</f>
        <v>-500</v>
      </c>
      <c r="AB309" s="330">
        <f>AB296</f>
        <v>-500</v>
      </c>
      <c r="AC309" s="330">
        <f>AC296</f>
        <v>-500</v>
      </c>
      <c r="AD309" s="16"/>
      <c r="AE309" s="329">
        <f t="shared" ref="AE309:AG309" si="513">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14">F140</f>
        <v>99627</v>
      </c>
      <c r="G310" s="353">
        <f>G140</f>
        <v>97041</v>
      </c>
      <c r="H310" s="353">
        <f>H140</f>
        <v>98071</v>
      </c>
      <c r="I310" s="353">
        <f>I140</f>
        <v>95281</v>
      </c>
      <c r="J310" s="282">
        <f>J140</f>
        <v>95281</v>
      </c>
      <c r="K310" s="353">
        <f>K140</f>
        <v>95088</v>
      </c>
      <c r="L310" s="353">
        <f>L140</f>
        <v>91831</v>
      </c>
      <c r="M310" s="353">
        <f>M140</f>
        <v>86196</v>
      </c>
      <c r="N310" s="353">
        <f>N140</f>
        <v>85750</v>
      </c>
      <c r="O310" s="282">
        <f>O140</f>
        <v>85750</v>
      </c>
      <c r="P310" s="353">
        <f>P140</f>
        <v>83956</v>
      </c>
      <c r="Q310" s="353">
        <f>Q140</f>
        <v>78566</v>
      </c>
      <c r="R310" s="353">
        <f>R140</f>
        <v>82430</v>
      </c>
      <c r="S310" s="353">
        <f>S140</f>
        <v>78328</v>
      </c>
      <c r="T310" s="282">
        <f>T140</f>
        <v>78328</v>
      </c>
      <c r="U310" s="353">
        <f>U140</f>
        <v>76685</v>
      </c>
      <c r="V310" s="353">
        <f>V140</f>
        <v>74404</v>
      </c>
      <c r="W310" s="353">
        <f>W140</f>
        <v>25233</v>
      </c>
      <c r="X310" s="281">
        <f>SUM(X307:X309)</f>
        <v>24733</v>
      </c>
      <c r="Y310" s="16"/>
      <c r="Z310" s="281">
        <f t="shared" ref="Z310:AC310" si="515">SUM(Z307:Z309)</f>
        <v>24233</v>
      </c>
      <c r="AA310" s="281">
        <f>SUM(AA307:AA309)</f>
        <v>23733</v>
      </c>
      <c r="AB310" s="281">
        <f>SUM(AB307:AB309)</f>
        <v>23233</v>
      </c>
      <c r="AC310" s="281">
        <f>SUM(AC307:AC309)</f>
        <v>22733</v>
      </c>
      <c r="AD310" s="16"/>
      <c r="AE310" s="282">
        <f t="shared" ref="AE310:AG310" si="516">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17">5%/4</f>
        <v>0.0125</v>
      </c>
      <c r="AA314" s="466">
        <f>5%/4</f>
        <v>0.0125</v>
      </c>
      <c r="AB314" s="466">
        <f>5%/4</f>
        <v>0.0125</v>
      </c>
      <c r="AC314" s="466">
        <f>5%/4</f>
        <v>0.0125</v>
      </c>
      <c r="AD314" s="16"/>
      <c r="AE314" s="467">
        <f t="shared" ref="AE314:AG314" si="518">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19">AVERAGE(Z310,Z307)</f>
        <v>24483</v>
      </c>
      <c r="AA318" s="281">
        <f>AVERAGE(AA310,AA307)</f>
        <v>23983</v>
      </c>
      <c r="AB318" s="281">
        <f>AVERAGE(AB310,AB307)</f>
        <v>23483</v>
      </c>
      <c r="AC318" s="281">
        <f>AVERAGE(AC310,AC307)</f>
        <v>22983</v>
      </c>
      <c r="AD318" s="16"/>
      <c r="AE318" s="282">
        <f t="shared" ref="AE318:AG318" si="520">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21">-(Z318*Z319)</f>
        <v>-213.614175</v>
      </c>
      <c r="AA320" s="281">
        <f>-(AA318*AA319)</f>
        <v>-209.251675</v>
      </c>
      <c r="AB320" s="281">
        <f>-(AB318*AB319)</f>
        <v>-204.889175</v>
      </c>
      <c r="AC320" s="281">
        <f>-(AC318*AC319)</f>
        <v>-200.526675</v>
      </c>
      <c r="AD320" s="16"/>
      <c r="AE320" s="282">
        <f t="shared" ref="AE320:AG320" si="522">-(AE318*AE319)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23">Z326</f>
        <v>0</v>
      </c>
      <c r="AB326" s="466">
        <f>AA326</f>
      </c>
      <c r="AC326" s="466">
        <f>AB326</f>
      </c>
      <c r="AD326" s="16"/>
      <c r="AE326" s="467">
        <f>AC326</f>
        <v>0</v>
      </c>
      <c r="AF326" s="467">
        <f t="shared" ref="AF326:AG326" si="524">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117154</v>
      </c>
      <c r="G7" s="317">
        <f>SUM(G8:G13)</f>
        <v>94836</v>
      </c>
      <c r="H7" s="317">
        <f>SUM(H8:H13)</f>
        <v>81797</v>
      </c>
      <c r="I7" s="317">
        <f>SUM(I8:I13)</f>
        <v>89498</v>
      </c>
      <c r="J7" s="287">
        <f t="shared" ref="J7:J13" si="1">SUM(F7:I7)</f>
        <v>383285</v>
      </c>
      <c r="K7" s="317">
        <f t="shared" ref="K7:N7" si="2">SUM(K8:K13)</f>
        <v>119575</v>
      </c>
      <c r="L7" s="317">
        <f>SUM(L8:L13)</f>
        <v>90753</v>
      </c>
      <c r="M7" s="317">
        <f>SUM(M8:M13)</f>
        <v>85777</v>
      </c>
      <c r="N7" s="317">
        <f>SUM(N8:N13)</f>
        <v>94930</v>
      </c>
      <c r="O7" s="287">
        <f t="shared" ref="O7:O13" si="3">SUM(K7:N7)</f>
        <v>391035</v>
      </c>
      <c r="P7" s="317">
        <f t="shared" ref="P7:S7" si="4">SUM(P8:P13)</f>
        <v>124300</v>
      </c>
      <c r="Q7" s="317">
        <f>SUM(Q8:Q13)</f>
        <v>95359</v>
      </c>
      <c r="R7" s="317">
        <f>SUM(R8:R13)</f>
        <v>94036</v>
      </c>
      <c r="S7" s="317">
        <f>SUM(S8:S13)</f>
        <v>102466</v>
      </c>
      <c r="T7" s="287">
        <f t="shared" ref="T7:T13" si="5">SUM(P7:S7)</f>
        <v>416161</v>
      </c>
      <c r="U7" s="317">
        <f t="shared" ref="U7:X7" si="6">SUM(U8:U13)</f>
        <v>143756</v>
      </c>
      <c r="V7" s="317">
        <f>SUM(V8:V13)</f>
        <v>111184</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C16&amp;" Revenue"</f>
        <v>Services Revenue</v>
      </c>
      <c r="D8" s="16"/>
      <c r="E8" s="16"/>
      <c r="F8" s="469">
        <v>20766</v>
      </c>
      <c r="G8" s="469">
        <v>20907</v>
      </c>
      <c r="H8" s="469">
        <v>21213</v>
      </c>
      <c r="I8" s="469">
        <f>85200-SUM(F8:H8)</f>
        <v>22314</v>
      </c>
      <c r="J8" s="470">
        <f>SUM(F8:I8)</f>
        <v>85200</v>
      </c>
      <c r="K8" s="469">
        <v>23117</v>
      </c>
      <c r="L8" s="469">
        <v>23867</v>
      </c>
      <c r="M8" s="469">
        <v>24213</v>
      </c>
      <c r="N8" s="469">
        <v>24972</v>
      </c>
      <c r="O8" s="470">
        <f>SUM(K8:N8)</f>
        <v>96169</v>
      </c>
      <c r="P8" s="469">
        <v>26340</v>
      </c>
      <c r="Q8" s="469">
        <v>26645</v>
      </c>
      <c r="R8" s="469">
        <v>27423</v>
      </c>
      <c r="S8" s="469">
        <v>28750</v>
      </c>
      <c r="T8" s="470">
        <f>SUM(P8:S8)</f>
        <v>109158</v>
      </c>
      <c r="U8" s="469">
        <v>30013</v>
      </c>
      <c r="V8" s="469">
        <v>30976</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iPhone Revenue</v>
      </c>
      <c r="D9" s="16"/>
      <c r="E9" s="16"/>
      <c r="F9" s="469">
        <v>65775</v>
      </c>
      <c r="G9" s="469">
        <v>51334</v>
      </c>
      <c r="H9" s="469">
        <v>39669</v>
      </c>
      <c r="I9" s="469">
        <v>43805</v>
      </c>
      <c r="J9" s="470">
        <f>SUM(F9:I9)</f>
        <v>200583</v>
      </c>
      <c r="K9" s="469">
        <v>69702</v>
      </c>
      <c r="L9" s="469">
        <v>45963</v>
      </c>
      <c r="M9" s="469">
        <v>39296</v>
      </c>
      <c r="N9" s="469">
        <v>46222</v>
      </c>
      <c r="O9" s="470">
        <f>SUM(K9:N9)</f>
        <v>201183</v>
      </c>
      <c r="P9" s="469">
        <v>69138</v>
      </c>
      <c r="Q9" s="469">
        <v>46841</v>
      </c>
      <c r="R9" s="469">
        <v>44582</v>
      </c>
      <c r="S9" s="469">
        <v>49025</v>
      </c>
      <c r="T9" s="470">
        <f>SUM(P9:S9)</f>
        <v>209586</v>
      </c>
      <c r="U9" s="469">
        <v>85269</v>
      </c>
      <c r="V9" s="469">
        <v>56994</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Mac Revenue</v>
      </c>
      <c r="D10" s="16"/>
      <c r="E10" s="16"/>
      <c r="F10" s="469">
        <v>7735</v>
      </c>
      <c r="G10" s="469">
        <v>7168</v>
      </c>
      <c r="H10" s="469">
        <v>6840</v>
      </c>
      <c r="I10" s="469">
        <v>7614</v>
      </c>
      <c r="J10" s="470">
        <f>SUM(F10:I10)</f>
        <v>29357</v>
      </c>
      <c r="K10" s="469">
        <v>7780</v>
      </c>
      <c r="L10" s="469">
        <v>7451</v>
      </c>
      <c r="M10" s="469">
        <v>7009</v>
      </c>
      <c r="N10" s="469">
        <v>7744</v>
      </c>
      <c r="O10" s="470">
        <f>SUM(K10:N10)</f>
        <v>29984</v>
      </c>
      <c r="P10" s="469">
        <v>8987</v>
      </c>
      <c r="Q10" s="469">
        <v>7949</v>
      </c>
      <c r="R10" s="469">
        <v>8046</v>
      </c>
      <c r="S10" s="469">
        <v>8726</v>
      </c>
      <c r="T10" s="470">
        <f>SUM(P10:S10)</f>
        <v>33708</v>
      </c>
      <c r="U10" s="469">
        <v>8386</v>
      </c>
      <c r="V10" s="469">
        <v>8399</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iPad Revenue</v>
      </c>
      <c r="D11" s="16"/>
      <c r="E11" s="16"/>
      <c r="F11" s="469">
        <v>9396</v>
      </c>
      <c r="G11" s="469">
        <v>6670</v>
      </c>
      <c r="H11" s="469">
        <v>5791</v>
      </c>
      <c r="I11" s="469">
        <v>6443</v>
      </c>
      <c r="J11" s="470">
        <f>SUM(F11:I11)</f>
        <v>28300</v>
      </c>
      <c r="K11" s="469">
        <v>7023</v>
      </c>
      <c r="L11" s="469">
        <v>5559</v>
      </c>
      <c r="M11" s="469">
        <v>7162</v>
      </c>
      <c r="N11" s="469">
        <v>6950</v>
      </c>
      <c r="O11" s="470">
        <f>SUM(K11:N11)</f>
        <v>26694</v>
      </c>
      <c r="P11" s="469">
        <v>8088</v>
      </c>
      <c r="Q11" s="469">
        <v>6402</v>
      </c>
      <c r="R11" s="469">
        <v>6581</v>
      </c>
      <c r="S11" s="469">
        <v>6952</v>
      </c>
      <c r="T11" s="470">
        <f>SUM(P11:S11)</f>
        <v>28023</v>
      </c>
      <c r="U11" s="469">
        <v>8595</v>
      </c>
      <c r="V11" s="469">
        <v>6914</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Wearables, Home and Accessories Revenue</v>
      </c>
      <c r="D12" s="16"/>
      <c r="E12" s="16"/>
      <c r="F12" s="469">
        <v>13482</v>
      </c>
      <c r="G12" s="469">
        <v>8757</v>
      </c>
      <c r="H12" s="469">
        <v>8284</v>
      </c>
      <c r="I12" s="469">
        <v>9322</v>
      </c>
      <c r="J12" s="470">
        <f>SUM(F12:I12)</f>
        <v>39845</v>
      </c>
      <c r="K12" s="469">
        <v>11953</v>
      </c>
      <c r="L12" s="469">
        <v>7913</v>
      </c>
      <c r="M12" s="469">
        <v>8097</v>
      </c>
      <c r="N12" s="469">
        <v>9042</v>
      </c>
      <c r="O12" s="470">
        <f>SUM(K12:N12)</f>
        <v>37005</v>
      </c>
      <c r="P12" s="469">
        <v>11747</v>
      </c>
      <c r="Q12" s="469">
        <v>7522</v>
      </c>
      <c r="R12" s="469">
        <v>7404</v>
      </c>
      <c r="S12" s="469">
        <v>9013</v>
      </c>
      <c r="T12" s="470">
        <f>SUM(P12:S12)</f>
        <v>35686</v>
      </c>
      <c r="U12" s="469">
        <v>11493</v>
      </c>
      <c r="V12" s="469">
        <v>7901</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v>1e-12</v>
      </c>
      <c r="K13" s="469">
        <v>0</v>
      </c>
      <c r="L13" s="469">
        <v>0</v>
      </c>
      <c r="M13" s="469">
        <v>0</v>
      </c>
      <c r="N13" s="469">
        <v>0</v>
      </c>
      <c r="O13" s="470">
        <f>SUM(K13:N13)</f>
        <v>1e-12</v>
      </c>
      <c r="P13" s="469">
        <v>0</v>
      </c>
      <c r="Q13" s="469">
        <v>0</v>
      </c>
      <c r="R13" s="469">
        <v>0</v>
      </c>
      <c r="S13" s="469">
        <v>0</v>
      </c>
      <c r="T13" s="470">
        <f>SUM(P13:S13)</f>
        <v>1e-12</v>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1">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2">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3">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4">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5">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6">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7">SUM(F24:F26)</f>
        <v>1e-12</v>
      </c>
      <c r="G23" s="317">
        <f>SUM(G24:G26)</f>
        <v>1e-12</v>
      </c>
      <c r="H23" s="317">
        <f>SUM(H24:H26)</f>
        <v>1e-12</v>
      </c>
      <c r="I23" s="317">
        <f>SUM(I24:I26)</f>
        <v>1e-12</v>
      </c>
      <c r="J23" s="287">
        <f t="shared" ref="J23:J26" si="18">SUM(F23:I23)</f>
        <v>1e-12</v>
      </c>
      <c r="K23" s="317">
        <f t="shared" ref="K23:N23" si="19">SUM(K24:K26)</f>
        <v>1e-12</v>
      </c>
      <c r="L23" s="317">
        <f>SUM(L24:L26)</f>
        <v>1e-12</v>
      </c>
      <c r="M23" s="317">
        <f>SUM(M24:M26)</f>
        <v>1e-12</v>
      </c>
      <c r="N23" s="317">
        <f>SUM(N24:N26)</f>
        <v>1e-12</v>
      </c>
      <c r="O23" s="287">
        <f t="shared" ref="O23:O26" si="20">SUM(K23:N23)</f>
        <v>1e-12</v>
      </c>
      <c r="P23" s="317">
        <f t="shared" ref="P23:S23" si="21">SUM(P24:P26)</f>
        <v>1e-12</v>
      </c>
      <c r="Q23" s="317">
        <f>SUM(Q24:Q26)</f>
        <v>1e-12</v>
      </c>
      <c r="R23" s="317">
        <f>SUM(R24:R26)</f>
        <v>1e-12</v>
      </c>
      <c r="S23" s="317">
        <f>SUM(S24:S26)</f>
        <v>1e-12</v>
      </c>
      <c r="T23" s="287">
        <f t="shared" ref="T23:T26" si="22">SUM(P23:S23)</f>
        <v>1e-12</v>
      </c>
      <c r="U23" s="317">
        <f t="shared" ref="U23:X23" si="23">SUM(U24:U26)</f>
        <v>1e-12</v>
      </c>
      <c r="V23" s="317">
        <f>SUM(V24:V26)</f>
        <v>1e-12</v>
      </c>
      <c r="W23" s="317">
        <f>SUM(W24:W26)</f>
      </c>
      <c r="X23" s="286">
        <f>SUM(X24:X26)</f>
      </c>
      <c r="Y23" s="287">
        <f t="shared" ref="Y23:Y26" si="24">SUM(U23:X23)</f>
        <v>0</v>
      </c>
      <c r="Z23" s="286">
        <f t="shared" ref="Z23:AC23" si="25">SUM(Z24:Z26)</f>
        <v>0</v>
      </c>
      <c r="AA23" s="286">
        <f>SUM(AA24:AA26)</f>
      </c>
      <c r="AB23" s="286">
        <f>SUM(AB24:AB26)</f>
      </c>
      <c r="AC23" s="286">
        <f>SUM(AC24:AC26)</f>
      </c>
      <c r="AD23" s="287">
        <f t="shared" ref="AD23:AD26" si="26">SUM(Z23:AC23)</f>
        <v>0</v>
      </c>
      <c r="AE23" s="287">
        <f t="shared" ref="AE23:AG23" si="27">SUM(AE24:AE26)</f>
        <v>0</v>
      </c>
      <c r="AF23" s="287">
        <f>SUM(AF24:AF26)</f>
      </c>
      <c r="AG23" s="287">
        <f>SUM(AG24:AG26)</f>
      </c>
    </row>
    <row r="24" ht="14.25" customHeight="1" hidden="1" spans="1:33" x14ac:dyDescent="0.25" outlineLevel="1">
      <c r="C24" s="139" t="str">
        <f t="shared" ref="C24:C26" si="28">C29&amp;" Revenue"</f>
        <v>Boeing Military Aircraft Revenue</v>
      </c>
      <c r="D24" s="16"/>
      <c r="E24" s="16"/>
      <c r="F24" s="469">
        <v>0</v>
      </c>
      <c r="G24" s="469">
        <v>0</v>
      </c>
      <c r="H24" s="469">
        <v>0</v>
      </c>
      <c r="I24" s="469">
        <v>0</v>
      </c>
      <c r="J24" s="470">
        <f>SUM(F24:I24)</f>
        <v>1e-12</v>
      </c>
      <c r="K24" s="469">
        <v>0</v>
      </c>
      <c r="L24" s="469">
        <v>0</v>
      </c>
      <c r="M24" s="469">
        <v>0</v>
      </c>
      <c r="N24" s="469">
        <v>0</v>
      </c>
      <c r="O24" s="470">
        <f>SUM(K24:N24)</f>
        <v>1e-12</v>
      </c>
      <c r="P24" s="469">
        <v>0</v>
      </c>
      <c r="Q24" s="469">
        <v>0</v>
      </c>
      <c r="R24" s="469">
        <v>0</v>
      </c>
      <c r="S24" s="469">
        <v>0</v>
      </c>
      <c r="T24" s="470">
        <f>SUM(P24:S24)</f>
        <v>1e-12</v>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v>1e-12</v>
      </c>
      <c r="K25" s="469">
        <v>0</v>
      </c>
      <c r="L25" s="469">
        <v>0</v>
      </c>
      <c r="M25" s="469">
        <v>0</v>
      </c>
      <c r="N25" s="469">
        <v>0</v>
      </c>
      <c r="O25" s="470">
        <f>SUM(K25:N25)</f>
        <v>1e-12</v>
      </c>
      <c r="P25" s="469">
        <v>0</v>
      </c>
      <c r="Q25" s="469">
        <v>0</v>
      </c>
      <c r="R25" s="469">
        <v>0</v>
      </c>
      <c r="S25" s="469">
        <v>0</v>
      </c>
      <c r="T25" s="470">
        <f>SUM(P25:S25)</f>
        <v>1e-12</v>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v>1e-12</v>
      </c>
      <c r="K26" s="469">
        <v>0</v>
      </c>
      <c r="L26" s="469">
        <v>0</v>
      </c>
      <c r="M26" s="469">
        <v>0</v>
      </c>
      <c r="N26" s="469">
        <v>0</v>
      </c>
      <c r="O26" s="470">
        <f>SUM(K26:N26)</f>
        <v>1e-12</v>
      </c>
      <c r="P26" s="469">
        <v>0</v>
      </c>
      <c r="Q26" s="469">
        <v>0</v>
      </c>
      <c r="R26" s="469">
        <v>0</v>
      </c>
      <c r="S26" s="469">
        <v>0</v>
      </c>
      <c r="T26" s="470">
        <f>SUM(P26:S26)</f>
        <v>1e-12</v>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9">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0">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1">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2">SUM(F34:F39)</f>
        <v>36016</v>
      </c>
      <c r="G33" s="317">
        <f>SUM(G34:G39)</f>
        <v>28318</v>
      </c>
      <c r="H33" s="317">
        <f>SUM(H34:H39)</f>
        <v>22998</v>
      </c>
      <c r="I33" s="317">
        <f>SUM(I34:I39)</f>
        <v>26969</v>
      </c>
      <c r="J33" s="287">
        <f t="shared" ref="J33:J39" si="33">SUM(F33:I33)</f>
        <v>114301</v>
      </c>
      <c r="K33" s="317">
        <f t="shared" ref="K33:N33" si="34">SUM(K34:K39)</f>
        <v>40373</v>
      </c>
      <c r="L33" s="317">
        <f>SUM(L34:L39)</f>
        <v>27900</v>
      </c>
      <c r="M33" s="317">
        <f>SUM(M34:M39)</f>
        <v>25352</v>
      </c>
      <c r="N33" s="317">
        <f>SUM(N34:N39)</f>
        <v>29591</v>
      </c>
      <c r="O33" s="287">
        <f t="shared" ref="O33:O39" si="35">SUM(K33:N33)</f>
        <v>123216</v>
      </c>
      <c r="P33" s="317">
        <f t="shared" ref="P33:Q33" si="36">SUM(P34:P39)</f>
        <v>42832</v>
      </c>
      <c r="Q33" s="317">
        <f>SUM(Q34:Q39)</f>
        <v>29589</v>
      </c>
      <c r="R33" s="317">
        <f>SUM(R34:R39)</f>
        <v>28202</v>
      </c>
      <c r="S33" s="317">
        <f>SUM(S34:S39)</f>
        <v>32427</v>
      </c>
      <c r="T33" s="287">
        <f t="shared" ref="T33:T39" si="37">SUM(P33:S33)</f>
        <v>133050</v>
      </c>
      <c r="U33" s="317">
        <f t="shared" ref="U33:V33" si="38">SUM(U34:U39)</f>
        <v>50852</v>
      </c>
      <c r="V33" s="317">
        <f>SUM(V34:V39)</f>
        <v>35885</v>
      </c>
      <c r="W33" s="317">
        <f>W34</f>
        <v>2789</v>
      </c>
      <c r="X33" s="286">
        <f>SUM(X34:X39)</f>
        <v>2830.373</v>
      </c>
      <c r="Y33" s="287">
        <f t="shared" ref="Y33:Y39" si="39">SUM(U33:X33)</f>
        <v>11161.242999999999</v>
      </c>
      <c r="Z33" s="286">
        <f t="shared" ref="Z33:AC33" si="40">SUM(Z34:Z39)</f>
        <v>3596.75092</v>
      </c>
      <c r="AA33" s="286">
        <f>SUM(AA34:AA39)</f>
        <v>4246.7351934</v>
      </c>
      <c r="AB33" s="286">
        <f>SUM(AB34:AB39)</f>
        <v>3092.794733952</v>
      </c>
      <c r="AC33" s="286">
        <f>SUM(AC34:AC39)</f>
        <v>3305.4243719112</v>
      </c>
      <c r="AD33" s="287">
        <f t="shared" ref="AD33:AD39" si="41">SUM(Z33:AC33)</f>
        <v>14241.7052192632</v>
      </c>
      <c r="AE33" s="287">
        <f t="shared" ref="AE33:AG33" si="42">SUM(AE34:AE39)</f>
        <v>14920.47653053796</v>
      </c>
      <c r="AF33" s="287">
        <f>SUM(AF34:AF39)</f>
        <v>15328.374450077847</v>
      </c>
      <c r="AG33" s="287">
        <f>SUM(AG34:AG39)</f>
        <v>15858.298252494822</v>
      </c>
    </row>
    <row r="34" ht="14.25" customHeight="1" spans="1:33" x14ac:dyDescent="0.25">
      <c r="C34" s="139" t="str">
        <f>C16&amp;" Operating Income"</f>
        <v>Americas Segment Operating Income</v>
      </c>
      <c r="D34" s="16"/>
      <c r="E34" s="16"/>
      <c r="F34" s="469">
        <v>17864</v>
      </c>
      <c r="G34" s="469">
        <v>13927</v>
      </c>
      <c r="H34" s="469">
        <v>13117</v>
      </c>
      <c r="I34" s="469">
        <f>60508-SUM(F34:H34)</f>
        <v>15600</v>
      </c>
      <c r="J34" s="470">
        <f>SUM(F34:I34)</f>
        <v>60508</v>
      </c>
      <c r="K34" s="469">
        <v>20357</v>
      </c>
      <c r="L34" s="469">
        <v>15074</v>
      </c>
      <c r="M34" s="469">
        <v>15209</v>
      </c>
      <c r="N34" s="469">
        <v>17016</v>
      </c>
      <c r="O34" s="470">
        <f>SUM(K34:N34)</f>
        <v>67656</v>
      </c>
      <c r="P34" s="469">
        <v>21509</v>
      </c>
      <c r="Q34" s="469">
        <v>16774</v>
      </c>
      <c r="R34" s="469">
        <v>16511</v>
      </c>
      <c r="S34" s="469">
        <v>17686</v>
      </c>
      <c r="T34" s="470">
        <f>SUM(P34:S34)</f>
        <v>72480</v>
      </c>
      <c r="U34" s="469">
        <v>23953</v>
      </c>
      <c r="V34" s="469">
        <v>19373</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Greater China Segment Operating Income</v>
      </c>
      <c r="D35" s="16"/>
      <c r="E35" s="16"/>
      <c r="F35" s="469">
        <v>10437</v>
      </c>
      <c r="G35" s="469">
        <v>7531</v>
      </c>
      <c r="H35" s="469">
        <v>6207</v>
      </c>
      <c r="I35" s="469">
        <v>6153</v>
      </c>
      <c r="J35" s="470">
        <f>SUM(F35:I35)</f>
        <v>30328</v>
      </c>
      <c r="K35" s="469">
        <v>8622</v>
      </c>
      <c r="L35" s="469">
        <v>6700</v>
      </c>
      <c r="M35" s="469">
        <v>5562</v>
      </c>
      <c r="N35" s="469">
        <v>6198</v>
      </c>
      <c r="O35" s="470">
        <f>SUM(K35:N35)</f>
        <v>27082</v>
      </c>
      <c r="P35" s="469">
        <v>8160</v>
      </c>
      <c r="Q35" s="469">
        <v>6626</v>
      </c>
      <c r="R35" s="469">
        <v>5822</v>
      </c>
      <c r="S35" s="469">
        <v>6309</v>
      </c>
      <c r="T35" s="470">
        <f>SUM(P35:S35)</f>
        <v>26917</v>
      </c>
      <c r="U35" s="469">
        <v>11792</v>
      </c>
      <c r="V35" s="469">
        <v>9189</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Japan Segment Operating Income</v>
      </c>
      <c r="D36" s="16"/>
      <c r="E36" s="16"/>
      <c r="F36" s="469">
        <v>3236</v>
      </c>
      <c r="G36" s="469">
        <v>3394</v>
      </c>
      <c r="H36" s="469">
        <v>2443</v>
      </c>
      <c r="I36" s="469">
        <v>2815</v>
      </c>
      <c r="J36" s="470">
        <f>SUM(F36:I36)</f>
        <v>11888</v>
      </c>
      <c r="K36" s="469">
        <v>3819</v>
      </c>
      <c r="L36" s="469">
        <v>3135</v>
      </c>
      <c r="M36" s="469">
        <v>2544</v>
      </c>
      <c r="N36" s="469">
        <v>2956</v>
      </c>
      <c r="O36" s="470">
        <f>SUM(K36:N36)</f>
        <v>12454</v>
      </c>
      <c r="P36" s="469">
        <v>4314</v>
      </c>
      <c r="Q36" s="469">
        <v>3434</v>
      </c>
      <c r="R36" s="469">
        <v>2872</v>
      </c>
      <c r="S36" s="469">
        <v>3335</v>
      </c>
      <c r="T36" s="470">
        <f>SUM(P36:S36)</f>
        <v>13955</v>
      </c>
      <c r="U36" s="469">
        <v>4613</v>
      </c>
      <c r="V36" s="469">
        <v>3839</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Other / Reconciliation Operating Income</v>
      </c>
      <c r="D37" s="16"/>
      <c r="E37" s="16"/>
      <c r="F37" s="469">
        <v>4479</v>
      </c>
      <c r="G37" s="469">
        <v>3466</v>
      </c>
      <c r="H37" s="469">
        <v>1231</v>
      </c>
      <c r="I37" s="469">
        <v>2401</v>
      </c>
      <c r="J37" s="470">
        <f>SUM(F37:I37)</f>
        <v>11577</v>
      </c>
      <c r="K37" s="469">
        <v>7575</v>
      </c>
      <c r="L37" s="469">
        <v>2991</v>
      </c>
      <c r="M37" s="469">
        <v>2037</v>
      </c>
      <c r="N37" s="469">
        <v>3421</v>
      </c>
      <c r="O37" s="470">
        <f>SUM(K37:N37)</f>
        <v>16024</v>
      </c>
      <c r="P37" s="469">
        <v>8849</v>
      </c>
      <c r="Q37" s="469">
        <v>2755</v>
      </c>
      <c r="R37" s="469">
        <v>2997</v>
      </c>
      <c r="S37" s="469">
        <v>5097</v>
      </c>
      <c r="T37" s="470">
        <f>SUM(P37:S37)</f>
        <v>19698</v>
      </c>
      <c r="U37" s="469">
        <v>10494</v>
      </c>
      <c r="V37" s="469">
        <v>3484</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v>1e-12</v>
      </c>
      <c r="K38" s="469">
        <v>0</v>
      </c>
      <c r="L38" s="469">
        <v>0</v>
      </c>
      <c r="M38" s="469">
        <v>0</v>
      </c>
      <c r="N38" s="469">
        <v>0</v>
      </c>
      <c r="O38" s="470">
        <f>SUM(K38:N38)</f>
        <v>1e-12</v>
      </c>
      <c r="P38" s="469">
        <v>0</v>
      </c>
      <c r="Q38" s="469">
        <v>0</v>
      </c>
      <c r="R38" s="469">
        <v>0</v>
      </c>
      <c r="S38" s="469">
        <v>0</v>
      </c>
      <c r="T38" s="470">
        <f>SUM(P38:S38)</f>
        <v>1e-12</v>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v>1e-12</v>
      </c>
      <c r="K39" s="469">
        <v>0</v>
      </c>
      <c r="L39" s="469">
        <v>0</v>
      </c>
      <c r="M39" s="469">
        <v>0</v>
      </c>
      <c r="N39" s="469">
        <v>0</v>
      </c>
      <c r="O39" s="470">
        <f>SUM(K39:N39)</f>
        <v>1e-12</v>
      </c>
      <c r="P39" s="469">
        <v>0</v>
      </c>
      <c r="Q39" s="469">
        <v>0</v>
      </c>
      <c r="R39" s="469">
        <v>0</v>
      </c>
      <c r="S39" s="469">
        <v>0</v>
      </c>
      <c r="T39" s="470">
        <f>SUM(P39:S39)</f>
        <v>1e-12</v>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3">F33-SUM(F34:F39)</f>
        <v>1e-12</v>
      </c>
      <c r="G41" s="483">
        <f>G33-SUM(G34:G39)</f>
        <v>1e-12</v>
      </c>
      <c r="H41" s="483">
        <f>H33-SUM(H34:H39)</f>
        <v>1e-12</v>
      </c>
      <c r="I41" s="483">
        <f>I33-SUM(I34:I39)</f>
        <v>1e-12</v>
      </c>
      <c r="J41" s="484">
        <f>J33-SUM(J34:J39)</f>
        <v>1e-12</v>
      </c>
      <c r="K41" s="483">
        <f>K33-SUM(K34:K39)</f>
        <v>1e-12</v>
      </c>
      <c r="L41" s="483">
        <f>L33-SUM(L34:L39)</f>
        <v>1e-12</v>
      </c>
      <c r="M41" s="483">
        <f>M33-SUM(M34:M39)</f>
        <v>1e-12</v>
      </c>
      <c r="N41" s="483">
        <f>N33-SUM(N34:N39)</f>
        <v>1e-12</v>
      </c>
      <c r="O41" s="484">
        <f>O33-SUM(O34:O39)</f>
        <v>1e-12</v>
      </c>
      <c r="P41" s="483">
        <f>P33-SUM(P34:P39)</f>
        <v>1e-12</v>
      </c>
      <c r="Q41" s="483">
        <f>Q33-SUM(Q34:Q39)</f>
        <v>1e-12</v>
      </c>
      <c r="R41" s="483">
        <f>R33-SUM(R34:R39)</f>
        <v>1e-12</v>
      </c>
      <c r="S41" s="483">
        <f>S33-SUM(S34:S39)</f>
        <v>1e-12</v>
      </c>
      <c r="T41" s="484">
        <f>T33-SUM(T34:T39)</f>
        <v>1e-12</v>
      </c>
      <c r="U41" s="483">
        <f>U33-SUM(U34:U39)</f>
        <v>1e-12</v>
      </c>
      <c r="V41" s="483">
        <f>V33-SUM(V34:V39)</f>
        <v>1e-12</v>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4">C16</f>
        <v>Home Improvement Retail</v>
      </c>
      <c r="D44" s="16"/>
      <c r="E44" s="16"/>
      <c r="F44" s="377">
        <f t="shared" ref="F44:AG44" si="45">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6">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7">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48">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49">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0">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1">SUM(F52:F57)</f>
        <v>1e-12</v>
      </c>
      <c r="G51" s="317">
        <f>SUM(G52:G57)</f>
        <v>1e-12</v>
      </c>
      <c r="H51" s="317">
        <f>SUM(H52:H57)</f>
        <v>1e-12</v>
      </c>
      <c r="I51" s="317">
        <f>SUM(I52:I57)</f>
        <v>1e-12</v>
      </c>
      <c r="J51" s="287">
        <f>SUM(J52:J57)</f>
        <v>1477</v>
      </c>
      <c r="K51" s="317">
        <f>SUM(K52:K57)</f>
        <v>1e-12</v>
      </c>
      <c r="L51" s="317">
        <f>SUM(L52:L57)</f>
        <v>1e-12</v>
      </c>
      <c r="M51" s="317">
        <f>SUM(M52:M57)</f>
        <v>1e-12</v>
      </c>
      <c r="N51" s="317">
        <f>SUM(N52:N57)</f>
        <v>1e-12</v>
      </c>
      <c r="O51" s="287">
        <f>SUM(O52:O57)</f>
        <v>1262</v>
      </c>
      <c r="P51" s="317">
        <f>SUM(P52:P57)</f>
        <v>1e-12</v>
      </c>
      <c r="Q51" s="317">
        <f>SUM(Q52:Q57)</f>
        <v>1e-12</v>
      </c>
      <c r="R51" s="317">
        <f>SUM(R52:R57)</f>
        <v>1e-12</v>
      </c>
      <c r="S51" s="317">
        <f>SUM(S52:S57)</f>
        <v>1e-12</v>
      </c>
      <c r="T51" s="287">
        <f>SUM(T52:T57)</f>
        <v>1398</v>
      </c>
      <c r="U51" s="473">
        <f>SUM(U52:U57)</f>
        <v>1e-12</v>
      </c>
      <c r="V51" s="473">
        <f>SUM(V52:V57)</f>
        <v>1e-12</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2">C16&amp;" D&amp;A"</f>
        <v>Home Improvement Retail D&amp;A</v>
      </c>
      <c r="D52" s="16"/>
      <c r="E52" s="16"/>
      <c r="F52" s="469">
        <v>0</v>
      </c>
      <c r="G52" s="469">
        <v>0</v>
      </c>
      <c r="H52" s="469">
        <v>0</v>
      </c>
      <c r="I52" s="469">
        <v>0</v>
      </c>
      <c r="J52" s="487">
        <f t="shared" ref="J52:J57" si="53">SUM(F52:I52)</f>
        <v>1e-12</v>
      </c>
      <c r="K52" s="469">
        <v>0</v>
      </c>
      <c r="L52" s="469">
        <v>0</v>
      </c>
      <c r="M52" s="469">
        <v>0</v>
      </c>
      <c r="N52" s="469">
        <v>0</v>
      </c>
      <c r="O52" s="487">
        <f t="shared" ref="O52:O57" si="54">SUM(K52:N52)</f>
        <v>1e-12</v>
      </c>
      <c r="P52" s="469">
        <v>0</v>
      </c>
      <c r="Q52" s="469">
        <v>0</v>
      </c>
      <c r="R52" s="469">
        <v>0</v>
      </c>
      <c r="S52" s="469">
        <v>0</v>
      </c>
      <c r="T52" s="487">
        <f t="shared" ref="T52:T57" si="55">SUM(P52:S52)</f>
        <v>1e-12</v>
      </c>
      <c r="U52" s="469">
        <v>0</v>
      </c>
      <c r="V52" s="469">
        <v>0</v>
      </c>
      <c r="W52" s="469">
        <v>425</v>
      </c>
      <c r="X52" s="488">
        <f t="shared" ref="X52:X57" si="56">X62*X$51</f>
        <v>331.18750000000006</v>
      </c>
      <c r="Y52" s="470">
        <f t="shared" ref="Y52:Y57" si="57">SUM(U52:X52)</f>
        <v>1556.1875</v>
      </c>
      <c r="Z52" s="488">
        <f t="shared" ref="Z52:AC52" si="58">Z62*Z$51</f>
        <v>331.86891850000006</v>
      </c>
      <c r="AA52" s="488">
        <f>AA62*AA$51</f>
        <v>336.85146518625004</v>
      </c>
      <c r="AB52" s="488">
        <f>AB62*AB$51</f>
        <v>342.23237867969067</v>
      </c>
      <c r="AC52" s="488">
        <f>AC62*AC$51</f>
        <v>343.91086566405204</v>
      </c>
      <c r="AD52" s="470">
        <f t="shared" ref="AD52:AD57" si="59">SUM(Z52:AC52)</f>
        <v>1354.863628029993</v>
      </c>
      <c r="AE52" s="470">
        <f t="shared" ref="AE52:AG52" si="60">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v>1e-12</v>
      </c>
      <c r="K53" s="469">
        <v>0</v>
      </c>
      <c r="L53" s="469">
        <v>0</v>
      </c>
      <c r="M53" s="469">
        <v>0</v>
      </c>
      <c r="N53" s="469">
        <v>0</v>
      </c>
      <c r="O53" s="487">
        <f>SUM(K53:N53)</f>
        <v>1e-12</v>
      </c>
      <c r="P53" s="469">
        <v>0</v>
      </c>
      <c r="Q53" s="469">
        <v>0</v>
      </c>
      <c r="R53" s="469">
        <v>0</v>
      </c>
      <c r="S53" s="469">
        <v>0</v>
      </c>
      <c r="T53" s="487">
        <f>SUM(P53:S53)</f>
        <v>1e-12</v>
      </c>
      <c r="U53" s="469">
        <v>0</v>
      </c>
      <c r="V53" s="469">
        <v>0</v>
      </c>
      <c r="W53" s="469">
        <v>0</v>
      </c>
      <c r="X53" s="488">
        <f>X63*X$51</f>
      </c>
      <c r="Y53" s="470">
        <f>SUM(U53:X53)</f>
      </c>
      <c r="Z53" s="488">
        <f t="shared" ref="Z53:AC53" si="61">Z63*Z$51</f>
        <v>0</v>
      </c>
      <c r="AA53" s="488">
        <f>AA63*AA$51</f>
      </c>
      <c r="AB53" s="488">
        <f>AB63*AB$51</f>
      </c>
      <c r="AC53" s="488">
        <f>AC63*AC$51</f>
      </c>
      <c r="AD53" s="470">
        <f>SUM(Z53:AC53)</f>
      </c>
      <c r="AE53" s="470">
        <f t="shared" ref="AE53:AG53" si="62">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v>1e-12</v>
      </c>
      <c r="K54" s="469">
        <v>0</v>
      </c>
      <c r="L54" s="469">
        <v>0</v>
      </c>
      <c r="M54" s="469">
        <v>0</v>
      </c>
      <c r="N54" s="469">
        <v>0</v>
      </c>
      <c r="O54" s="487">
        <f>SUM(K54:N54)</f>
        <v>1e-12</v>
      </c>
      <c r="P54" s="469">
        <v>0</v>
      </c>
      <c r="Q54" s="469">
        <v>0</v>
      </c>
      <c r="R54" s="469">
        <v>0</v>
      </c>
      <c r="S54" s="469">
        <v>0</v>
      </c>
      <c r="T54" s="487">
        <f>SUM(P54:S54)</f>
        <v>1e-12</v>
      </c>
      <c r="U54" s="469">
        <v>0</v>
      </c>
      <c r="V54" s="469">
        <v>0</v>
      </c>
      <c r="W54" s="469">
        <v>0</v>
      </c>
      <c r="X54" s="488">
        <f>X64*X$51</f>
      </c>
      <c r="Y54" s="470">
        <f>SUM(U54:X54)</f>
      </c>
      <c r="Z54" s="488">
        <f t="shared" ref="Z54:AC54" si="63">Z64*Z$51</f>
        <v>0</v>
      </c>
      <c r="AA54" s="488">
        <f>AA64*AA$51</f>
      </c>
      <c r="AB54" s="488">
        <f>AB64*AB$51</f>
      </c>
      <c r="AC54" s="488">
        <f>AC64*AC$51</f>
      </c>
      <c r="AD54" s="470">
        <f>SUM(Z54:AC54)</f>
      </c>
      <c r="AE54" s="470">
        <f t="shared" ref="AE54:AG54" si="64">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v>1e-12</v>
      </c>
      <c r="K55" s="469">
        <v>0</v>
      </c>
      <c r="L55" s="469">
        <v>0</v>
      </c>
      <c r="M55" s="469">
        <v>0</v>
      </c>
      <c r="N55" s="469">
        <v>0</v>
      </c>
      <c r="O55" s="487">
        <f>SUM(K55:N55)</f>
        <v>1e-12</v>
      </c>
      <c r="P55" s="469">
        <v>0</v>
      </c>
      <c r="Q55" s="469">
        <v>0</v>
      </c>
      <c r="R55" s="469">
        <v>0</v>
      </c>
      <c r="S55" s="469">
        <v>0</v>
      </c>
      <c r="T55" s="487">
        <f>SUM(P55:S55)</f>
        <v>1e-12</v>
      </c>
      <c r="U55" s="469">
        <v>0</v>
      </c>
      <c r="V55" s="469">
        <v>0</v>
      </c>
      <c r="W55" s="469">
        <v>0</v>
      </c>
      <c r="X55" s="488">
        <f>X65*X$51</f>
      </c>
      <c r="Y55" s="470">
        <f>SUM(U55:X55)</f>
      </c>
      <c r="Z55" s="488">
        <f t="shared" ref="Z55:AC55" si="65">Z65*Z$51</f>
        <v>0</v>
      </c>
      <c r="AA55" s="488">
        <f>AA65*AA$51</f>
      </c>
      <c r="AB55" s="488">
        <f>AB65*AB$51</f>
      </c>
      <c r="AC55" s="488">
        <f>AC65*AC$51</f>
      </c>
      <c r="AD55" s="470">
        <f>SUM(Z55:AC55)</f>
      </c>
      <c r="AE55" s="470">
        <f t="shared" ref="AE55:AG55" si="66">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v>1e-12</v>
      </c>
      <c r="K56" s="469">
        <v>0</v>
      </c>
      <c r="L56" s="469">
        <v>0</v>
      </c>
      <c r="M56" s="469">
        <v>0</v>
      </c>
      <c r="N56" s="469">
        <v>0</v>
      </c>
      <c r="O56" s="487">
        <f>SUM(K56:N56)</f>
        <v>1e-12</v>
      </c>
      <c r="P56" s="469">
        <v>0</v>
      </c>
      <c r="Q56" s="469">
        <v>0</v>
      </c>
      <c r="R56" s="469">
        <v>0</v>
      </c>
      <c r="S56" s="469">
        <v>0</v>
      </c>
      <c r="T56" s="487">
        <f>SUM(P56:S56)</f>
        <v>1e-12</v>
      </c>
      <c r="U56" s="469">
        <v>0</v>
      </c>
      <c r="V56" s="469">
        <v>0</v>
      </c>
      <c r="W56" s="469">
        <v>0</v>
      </c>
      <c r="X56" s="488">
        <f>X66*X$51</f>
      </c>
      <c r="Y56" s="470">
        <f>SUM(U56:X56)</f>
      </c>
      <c r="Z56" s="488">
        <f t="shared" ref="Z56:AC56" si="67">Z66*Z$51</f>
        <v>0</v>
      </c>
      <c r="AA56" s="488">
        <f>AA66*AA$51</f>
      </c>
      <c r="AB56" s="488">
        <f>AB66*AB$51</f>
      </c>
      <c r="AC56" s="488">
        <f>AC66*AC$51</f>
      </c>
      <c r="AD56" s="470">
        <f>SUM(Z56:AC56)</f>
      </c>
      <c r="AE56" s="470">
        <f t="shared" ref="AE56:AG56" si="68">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v>1e-12</v>
      </c>
      <c r="K57" s="469">
        <v>0</v>
      </c>
      <c r="L57" s="469">
        <v>0</v>
      </c>
      <c r="M57" s="469">
        <v>0</v>
      </c>
      <c r="N57" s="469">
        <v>0</v>
      </c>
      <c r="O57" s="487">
        <f>SUM(K57:N57)</f>
        <v>1e-12</v>
      </c>
      <c r="P57" s="469">
        <v>0</v>
      </c>
      <c r="Q57" s="469">
        <v>0</v>
      </c>
      <c r="R57" s="469">
        <v>0</v>
      </c>
      <c r="S57" s="469">
        <v>0</v>
      </c>
      <c r="T57" s="487">
        <f>SUM(P57:S57)</f>
        <v>1e-12</v>
      </c>
      <c r="U57" s="469">
        <v>0</v>
      </c>
      <c r="V57" s="469">
        <v>0</v>
      </c>
      <c r="W57" s="469">
        <v>0</v>
      </c>
      <c r="X57" s="488">
        <f>X67*X$51</f>
      </c>
      <c r="Y57" s="470">
        <f>SUM(U57:X57)</f>
      </c>
      <c r="Z57" s="488">
        <f t="shared" ref="Z57:AC57" si="69">Z67*Z$51</f>
        <v>0</v>
      </c>
      <c r="AA57" s="488">
        <f>AA67*AA$51</f>
      </c>
      <c r="AB57" s="488">
        <f>AB67*AB$51</f>
      </c>
      <c r="AC57" s="488">
        <f>AC67*AC$51</f>
      </c>
      <c r="AD57" s="470">
        <f>SUM(Z57:AC57)</f>
      </c>
      <c r="AE57" s="470">
        <f t="shared" ref="AE57:AG57" si="70">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1e-12</v>
      </c>
      <c r="G59" s="489">
        <f>G51-Model!G60</f>
        <v>1e-12</v>
      </c>
      <c r="H59" s="489">
        <f>H51-Model!H60</f>
        <v>1e-12</v>
      </c>
      <c r="I59" s="489">
        <f>I51-Model!I60</f>
        <v>1e-12</v>
      </c>
      <c r="J59" s="484">
        <f>J51-Model!J60</f>
        <v>1e-12</v>
      </c>
      <c r="K59" s="489">
        <f>K51-Model!K60</f>
        <v>1e-12</v>
      </c>
      <c r="L59" s="489">
        <f>L51-Model!L60</f>
        <v>1e-12</v>
      </c>
      <c r="M59" s="489">
        <f>M51-Model!M60</f>
        <v>1e-12</v>
      </c>
      <c r="N59" s="489">
        <f>N51-Model!N60</f>
        <v>1e-12</v>
      </c>
      <c r="O59" s="484">
        <f>O51-Model!O60</f>
        <v>1e-12</v>
      </c>
      <c r="P59" s="489">
        <f>P51-Model!P60</f>
        <v>1e-12</v>
      </c>
      <c r="Q59" s="489">
        <f>Q51-Model!Q60</f>
        <v>1e-12</v>
      </c>
      <c r="R59" s="489">
        <f>R51-Model!R60</f>
        <v>1e-12</v>
      </c>
      <c r="S59" s="489">
        <f>S51-Model!S60</f>
        <v>1e-12</v>
      </c>
      <c r="T59" s="484">
        <f>T51-Model!T60</f>
        <v>1e-12</v>
      </c>
      <c r="U59" s="489">
        <f>U51-Model!U60</f>
        <v>1e-12</v>
      </c>
      <c r="V59" s="489">
        <f>V51-Model!V60</f>
        <v>1e-12</v>
      </c>
      <c r="W59" s="489">
        <f>W51-Model!W60</f>
        <v>0</v>
      </c>
      <c r="X59" s="490">
        <f t="shared" ref="X59:AG59" si="71">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2">C16</f>
        <v>Home Improvement Retail</v>
      </c>
      <c r="D62" s="16"/>
      <c r="E62" s="16"/>
      <c r="F62" s="377">
        <f t="shared" ref="F62:W62" si="73">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4">Y52/Y$51</f>
        <v>1</v>
      </c>
      <c r="Z62" s="380">
        <f>Drivers!Z78</f>
        <v>1</v>
      </c>
      <c r="AA62" s="380">
        <f>Drivers!AA78</f>
        <v>1</v>
      </c>
      <c r="AB62" s="380">
        <f>Drivers!AB78</f>
        <v>1</v>
      </c>
      <c r="AC62" s="380">
        <f>Drivers!AC78</f>
        <v>1</v>
      </c>
      <c r="AD62" s="492">
        <f t="shared" ref="AD62:AD67" si="75">AD52/AD$51</f>
        <v>1</v>
      </c>
      <c r="AE62" s="381">
        <f>Drivers!AE78</f>
        <v>1</v>
      </c>
      <c r="AF62" s="381">
        <f>Drivers!AF78</f>
        <v>1</v>
      </c>
      <c r="AG62" s="381">
        <f>Drivers!AG78</f>
        <v>1</v>
      </c>
    </row>
    <row r="63" ht="14.25" customHeight="1" spans="1:33" x14ac:dyDescent="0.25">
      <c r="C63" s="491" t="str">
        <f>C17</f>
        <v>Segment 2</v>
      </c>
      <c r="D63" s="16"/>
      <c r="E63" s="16"/>
      <c r="F63" s="377">
        <f t="shared" ref="F63:W63" si="76">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7">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78">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79">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0">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1">F51+F33</f>
        <v>1825</v>
      </c>
      <c r="G69" s="317">
        <f>G51+G33</f>
        <v>2508</v>
      </c>
      <c r="H69" s="317">
        <f>H51+H33</f>
        <v>1390</v>
      </c>
      <c r="I69" s="317">
        <f>I51+I33</f>
        <v>-228</v>
      </c>
      <c r="J69" s="287">
        <f>J51+J33</f>
        <v>115778</v>
      </c>
      <c r="K69" s="317">
        <f>K51+K33</f>
        <v>1719</v>
      </c>
      <c r="L69" s="317">
        <f>L51+L33</f>
        <v>2692</v>
      </c>
      <c r="M69" s="317">
        <f>M51+M33</f>
        <v>1868</v>
      </c>
      <c r="N69" s="317">
        <f>N51+N33</f>
        <v>1297</v>
      </c>
      <c r="O69" s="287">
        <f>O51+O33</f>
        <v>124478</v>
      </c>
      <c r="P69" s="317">
        <f>P51+P33</f>
        <v>2317</v>
      </c>
      <c r="Q69" s="317">
        <f>Q51+Q33</f>
        <v>4284</v>
      </c>
      <c r="R69" s="317">
        <f>R51+R33</f>
        <v>3588.3</v>
      </c>
      <c r="S69" s="317">
        <f>S51+S33</f>
        <v>3159</v>
      </c>
      <c r="T69" s="287">
        <f>T51+T33</f>
        <v>134448</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2">C16&amp;" EBITDA"</f>
        <v>Home Improvement Retail EBITDA</v>
      </c>
      <c r="D70" s="16"/>
      <c r="E70" s="16"/>
      <c r="F70" s="317">
        <f t="shared" ref="F70:AG70" si="83">F52+F34</f>
        <v>17864</v>
      </c>
      <c r="G70" s="317">
        <f>G52+G34</f>
        <v>13927</v>
      </c>
      <c r="H70" s="317">
        <f>H52+H34</f>
        <v>13117</v>
      </c>
      <c r="I70" s="317">
        <f>I52+I34</f>
        <v>15600</v>
      </c>
      <c r="J70" s="495">
        <f>J52+J34</f>
        <v>5495</v>
      </c>
      <c r="K70" s="317">
        <f>K52+K34</f>
        <v>20357</v>
      </c>
      <c r="L70" s="317">
        <f>L52+L34</f>
        <v>15074</v>
      </c>
      <c r="M70" s="317">
        <f>M52+M34</f>
        <v>15209</v>
      </c>
      <c r="N70" s="317">
        <f>N52+N34</f>
        <v>17016</v>
      </c>
      <c r="O70" s="495">
        <f>O52+O34</f>
        <v>7576</v>
      </c>
      <c r="P70" s="317">
        <f>P52+P34</f>
        <v>21509</v>
      </c>
      <c r="Q70" s="317">
        <f>Q52+Q34</f>
        <v>16774</v>
      </c>
      <c r="R70" s="317">
        <f>R52+R34</f>
        <v>16511</v>
      </c>
      <c r="S70" s="317">
        <f>S52+S34</f>
        <v>17686</v>
      </c>
      <c r="T70" s="495">
        <f>T52+T34</f>
        <v>13348.3</v>
      </c>
      <c r="U70" s="317">
        <f>U52+U34</f>
        <v>23953</v>
      </c>
      <c r="V70" s="317">
        <f>V52+V34</f>
        <v>19373</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4">F53+F35</f>
        <v>10437</v>
      </c>
      <c r="G71" s="317">
        <f>G53+G35</f>
        <v>7531</v>
      </c>
      <c r="H71" s="317">
        <f>H53+H35</f>
        <v>6207</v>
      </c>
      <c r="I71" s="317">
        <f>I53+I35</f>
        <v>6153</v>
      </c>
      <c r="J71" s="495">
        <f>J53+J35</f>
        <v>1e-12</v>
      </c>
      <c r="K71" s="317">
        <f>K53+K35</f>
        <v>8622</v>
      </c>
      <c r="L71" s="317">
        <f>L53+L35</f>
        <v>6700</v>
      </c>
      <c r="M71" s="317">
        <f>M53+M35</f>
        <v>5562</v>
      </c>
      <c r="N71" s="317">
        <f>N53+N35</f>
        <v>6198</v>
      </c>
      <c r="O71" s="495">
        <f>O53+O35</f>
        <v>1e-12</v>
      </c>
      <c r="P71" s="317">
        <f>P53+P35</f>
        <v>8160</v>
      </c>
      <c r="Q71" s="317">
        <f>Q53+Q35</f>
        <v>6626</v>
      </c>
      <c r="R71" s="317">
        <f>R53+R35</f>
        <v>5822</v>
      </c>
      <c r="S71" s="317">
        <f>S53+S35</f>
        <v>6309</v>
      </c>
      <c r="T71" s="495">
        <f>T53+T35</f>
        <v>1e-12</v>
      </c>
      <c r="U71" s="317">
        <f>U53+U35</f>
        <v>11792</v>
      </c>
      <c r="V71" s="317">
        <f>V53+V35</f>
        <v>9189</v>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5">F54+F36</f>
        <v>3236</v>
      </c>
      <c r="G72" s="317">
        <f>G54+G36</f>
        <v>3394</v>
      </c>
      <c r="H72" s="317">
        <f>H54+H36</f>
        <v>2443</v>
      </c>
      <c r="I72" s="317">
        <f>I54+I36</f>
        <v>2815</v>
      </c>
      <c r="J72" s="495">
        <f>J54+J36</f>
        <v>1e-12</v>
      </c>
      <c r="K72" s="317">
        <f>K54+K36</f>
        <v>3819</v>
      </c>
      <c r="L72" s="317">
        <f>L54+L36</f>
        <v>3135</v>
      </c>
      <c r="M72" s="317">
        <f>M54+M36</f>
        <v>2544</v>
      </c>
      <c r="N72" s="317">
        <f>N54+N36</f>
        <v>2956</v>
      </c>
      <c r="O72" s="495">
        <f>O54+O36</f>
        <v>1e-12</v>
      </c>
      <c r="P72" s="317">
        <f>P54+P36</f>
        <v>4314</v>
      </c>
      <c r="Q72" s="317">
        <f>Q54+Q36</f>
        <v>3434</v>
      </c>
      <c r="R72" s="317">
        <f>R54+R36</f>
        <v>2872</v>
      </c>
      <c r="S72" s="317">
        <f>S54+S36</f>
        <v>3335</v>
      </c>
      <c r="T72" s="495">
        <f>T54+T36</f>
        <v>1e-12</v>
      </c>
      <c r="U72" s="317">
        <f>U54+U36</f>
        <v>4613</v>
      </c>
      <c r="V72" s="317">
        <f>V54+V36</f>
        <v>3839</v>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6">F55+F37</f>
        <v>4479</v>
      </c>
      <c r="G73" s="317">
        <f>G55+G37</f>
        <v>3466</v>
      </c>
      <c r="H73" s="317">
        <f>H55+H37</f>
        <v>1231</v>
      </c>
      <c r="I73" s="317">
        <f>I55+I37</f>
        <v>2401</v>
      </c>
      <c r="J73" s="495">
        <f>J55+J37</f>
        <v>1e-12</v>
      </c>
      <c r="K73" s="317">
        <f>K55+K37</f>
        <v>7575</v>
      </c>
      <c r="L73" s="317">
        <f>L55+L37</f>
        <v>2991</v>
      </c>
      <c r="M73" s="317">
        <f>M55+M37</f>
        <v>2037</v>
      </c>
      <c r="N73" s="317">
        <f>N55+N37</f>
        <v>3421</v>
      </c>
      <c r="O73" s="495">
        <f>O55+O37</f>
        <v>1e-12</v>
      </c>
      <c r="P73" s="317">
        <f>P55+P37</f>
        <v>8849</v>
      </c>
      <c r="Q73" s="317">
        <f>Q55+Q37</f>
        <v>2755</v>
      </c>
      <c r="R73" s="317">
        <f>R55+R37</f>
        <v>2997</v>
      </c>
      <c r="S73" s="317">
        <f>S55+S37</f>
        <v>5097</v>
      </c>
      <c r="T73" s="495">
        <f>T55+T37</f>
        <v>1e-12</v>
      </c>
      <c r="U73" s="317">
        <f>U55+U37</f>
        <v>10494</v>
      </c>
      <c r="V73" s="317">
        <f>V55+V37</f>
        <v>3484</v>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7">F56+F38</f>
        <v>1e-12</v>
      </c>
      <c r="G74" s="317">
        <f>G56+G38</f>
        <v>1e-12</v>
      </c>
      <c r="H74" s="317">
        <f>H56+H38</f>
        <v>1e-12</v>
      </c>
      <c r="I74" s="317">
        <f>I56+I38</f>
        <v>1e-12</v>
      </c>
      <c r="J74" s="495">
        <f>J56+J38</f>
        <v>1e-12</v>
      </c>
      <c r="K74" s="317">
        <f>K56+K38</f>
        <v>1e-12</v>
      </c>
      <c r="L74" s="317">
        <f>L56+L38</f>
        <v>1e-12</v>
      </c>
      <c r="M74" s="317">
        <f>M56+M38</f>
        <v>1e-12</v>
      </c>
      <c r="N74" s="317">
        <f>N56+N38</f>
        <v>1e-12</v>
      </c>
      <c r="O74" s="495">
        <f>O56+O38</f>
        <v>1e-12</v>
      </c>
      <c r="P74" s="317">
        <f>P56+P38</f>
        <v>1e-12</v>
      </c>
      <c r="Q74" s="317">
        <f>Q56+Q38</f>
        <v>1e-12</v>
      </c>
      <c r="R74" s="317">
        <f>R56+R38</f>
        <v>1e-12</v>
      </c>
      <c r="S74" s="317">
        <f>S56+S38</f>
        <v>1e-12</v>
      </c>
      <c r="T74" s="495">
        <f>T56+T38</f>
        <v>1e-12</v>
      </c>
      <c r="U74" s="317">
        <f>U56+U38</f>
        <v>1e-12</v>
      </c>
      <c r="V74" s="317">
        <f>V56+V38</f>
        <v>1e-12</v>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88">F57+F39</f>
        <v>1e-12</v>
      </c>
      <c r="G75" s="317">
        <f>G57+G39</f>
        <v>1e-12</v>
      </c>
      <c r="H75" s="317">
        <f>H57+H39</f>
        <v>1e-12</v>
      </c>
      <c r="I75" s="317">
        <f>I57+I39</f>
        <v>1e-12</v>
      </c>
      <c r="J75" s="495">
        <f>J57+J39</f>
        <v>1e-12</v>
      </c>
      <c r="K75" s="317">
        <f>K57+K39</f>
        <v>1e-12</v>
      </c>
      <c r="L75" s="317">
        <f>L57+L39</f>
        <v>1e-12</v>
      </c>
      <c r="M75" s="317">
        <f>M57+M39</f>
        <v>1e-12</v>
      </c>
      <c r="N75" s="317">
        <f>N57+N39</f>
        <v>1e-12</v>
      </c>
      <c r="O75" s="495">
        <f>O57+O39</f>
        <v>1e-12</v>
      </c>
      <c r="P75" s="317">
        <f>P57+P39</f>
        <v>1e-12</v>
      </c>
      <c r="Q75" s="317">
        <f>Q57+Q39</f>
        <v>1e-12</v>
      </c>
      <c r="R75" s="317">
        <f>R57+R39</f>
        <v>1e-12</v>
      </c>
      <c r="S75" s="317">
        <f>S57+S39</f>
        <v>1e-12</v>
      </c>
      <c r="T75" s="495">
        <f>T57+T39</f>
        <v>1e-12</v>
      </c>
      <c r="U75" s="317">
        <f>U57+U39</f>
        <v>1e-12</v>
      </c>
      <c r="V75" s="317">
        <f>V57+V39</f>
        <v>1e-12</v>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9">C16</f>
        <v>Home Improvement Retail</v>
      </c>
      <c r="D78" s="16"/>
      <c r="E78" s="16"/>
      <c r="F78" s="377">
        <f t="shared" ref="F78:AG78" si="90">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1">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2">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3">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4">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5">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6">SUM(F89:F93)</f>
        <v>1e-12</v>
      </c>
      <c r="G88" s="498">
        <f>SUM(G89:G93)</f>
        <v>1e-12</v>
      </c>
      <c r="H88" s="498">
        <f>SUM(H89:H93)</f>
        <v>1e-12</v>
      </c>
      <c r="I88" s="498">
        <f>SUM(I89:I93)</f>
        <v>1e-12</v>
      </c>
      <c r="J88" s="287">
        <f t="shared" ref="J88:J93" si="97">SUM(F88:I88)</f>
        <v>1e-12</v>
      </c>
      <c r="K88" s="498">
        <f t="shared" ref="K88:N88" si="98">SUM(K89:K93)</f>
        <v>1e-12</v>
      </c>
      <c r="L88" s="498">
        <f>SUM(L89:L93)</f>
        <v>1e-12</v>
      </c>
      <c r="M88" s="498">
        <f>SUM(M89:M93)</f>
        <v>1e-12</v>
      </c>
      <c r="N88" s="498">
        <f>SUM(N89:N93)</f>
        <v>1e-12</v>
      </c>
      <c r="O88" s="287">
        <f t="shared" ref="O88:O93" si="99">SUM(K88:N88)</f>
        <v>1e-12</v>
      </c>
      <c r="P88" s="498">
        <f t="shared" ref="P88:S88" si="100">SUM(P89:P93)</f>
        <v>1e-12</v>
      </c>
      <c r="Q88" s="498">
        <f>SUM(Q89:Q93)</f>
        <v>1e-12</v>
      </c>
      <c r="R88" s="498">
        <f>SUM(R89:R93)</f>
        <v>1e-12</v>
      </c>
      <c r="S88" s="498">
        <f>SUM(S89:S93)</f>
        <v>1e-12</v>
      </c>
      <c r="T88" s="287">
        <f t="shared" ref="T88:T93" si="101">SUM(P88:S88)</f>
        <v>1e-12</v>
      </c>
      <c r="U88" s="498">
        <f t="shared" ref="U88:X88" si="102">SUM(U89:U93)</f>
        <v>1e-12</v>
      </c>
      <c r="V88" s="498">
        <f>SUM(V89:V93)</f>
        <v>1e-12</v>
      </c>
      <c r="W88" s="498">
        <f>SUM(W89:W93)</f>
      </c>
      <c r="X88" s="499">
        <f>SUM(X89:X93)</f>
      </c>
      <c r="Y88" s="287">
        <f t="shared" ref="Y88:Y93" si="103">SUM(U88:X88)</f>
        <v>0</v>
      </c>
      <c r="Z88" s="499">
        <f t="shared" ref="Z88:AC88" si="104">SUM(Z89:Z93)</f>
        <v>0</v>
      </c>
      <c r="AA88" s="499">
        <f>SUM(AA89:AA93)</f>
      </c>
      <c r="AB88" s="499">
        <f>SUM(AB89:AB93)</f>
      </c>
      <c r="AC88" s="499">
        <f>SUM(AC89:AC93)</f>
      </c>
      <c r="AD88" s="287">
        <f t="shared" ref="AD88:AD93" si="105">SUM(Z88:AC88)</f>
        <v>0</v>
      </c>
      <c r="AE88" s="500">
        <f t="shared" ref="AE88:AG88" si="106">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v>1e-12</v>
      </c>
      <c r="K89" s="469">
        <v>0</v>
      </c>
      <c r="L89" s="469">
        <v>0</v>
      </c>
      <c r="M89" s="469">
        <v>0</v>
      </c>
      <c r="N89" s="469">
        <v>0</v>
      </c>
      <c r="O89" s="470">
        <f>SUM(K89:N89)</f>
        <v>1e-12</v>
      </c>
      <c r="P89" s="469">
        <v>0</v>
      </c>
      <c r="Q89" s="469">
        <v>0</v>
      </c>
      <c r="R89" s="469">
        <v>0</v>
      </c>
      <c r="S89" s="469">
        <v>0</v>
      </c>
      <c r="T89" s="470">
        <f>SUM(P89:S89)</f>
        <v>1e-12</v>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v>1e-12</v>
      </c>
      <c r="K90" s="469">
        <v>0</v>
      </c>
      <c r="L90" s="469">
        <v>0</v>
      </c>
      <c r="M90" s="469">
        <v>0</v>
      </c>
      <c r="N90" s="469">
        <v>0</v>
      </c>
      <c r="O90" s="470">
        <f>SUM(K90:N90)</f>
        <v>1e-12</v>
      </c>
      <c r="P90" s="469">
        <v>0</v>
      </c>
      <c r="Q90" s="469">
        <v>0</v>
      </c>
      <c r="R90" s="469">
        <v>0</v>
      </c>
      <c r="S90" s="469">
        <v>0</v>
      </c>
      <c r="T90" s="470">
        <f>SUM(P90:S90)</f>
        <v>1e-12</v>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v>1e-12</v>
      </c>
      <c r="K91" s="469">
        <v>0</v>
      </c>
      <c r="L91" s="469">
        <v>0</v>
      </c>
      <c r="M91" s="469">
        <v>0</v>
      </c>
      <c r="N91" s="469">
        <v>0</v>
      </c>
      <c r="O91" s="470">
        <f>SUM(K91:N91)</f>
        <v>1e-12</v>
      </c>
      <c r="P91" s="469">
        <v>0</v>
      </c>
      <c r="Q91" s="469">
        <v>0</v>
      </c>
      <c r="R91" s="469">
        <v>0</v>
      </c>
      <c r="S91" s="469">
        <v>0</v>
      </c>
      <c r="T91" s="470">
        <f>SUM(P91:S91)</f>
        <v>1e-12</v>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v>1e-12</v>
      </c>
      <c r="K92" s="469">
        <v>0</v>
      </c>
      <c r="L92" s="469">
        <v>0</v>
      </c>
      <c r="M92" s="469">
        <v>0</v>
      </c>
      <c r="N92" s="469">
        <v>0</v>
      </c>
      <c r="O92" s="470">
        <f>SUM(K92:N92)</f>
        <v>1e-12</v>
      </c>
      <c r="P92" s="469">
        <v>0</v>
      </c>
      <c r="Q92" s="469">
        <v>0</v>
      </c>
      <c r="R92" s="469">
        <v>0</v>
      </c>
      <c r="S92" s="469">
        <v>0</v>
      </c>
      <c r="T92" s="470">
        <f>SUM(P92:S92)</f>
        <v>1e-12</v>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v>1e-12</v>
      </c>
      <c r="K93" s="469">
        <v>0</v>
      </c>
      <c r="L93" s="469">
        <v>0</v>
      </c>
      <c r="M93" s="469">
        <v>0</v>
      </c>
      <c r="N93" s="469">
        <v>0</v>
      </c>
      <c r="O93" s="470">
        <f>SUM(K93:N93)</f>
        <v>1e-12</v>
      </c>
      <c r="P93" s="469">
        <v>0</v>
      </c>
      <c r="Q93" s="469">
        <v>0</v>
      </c>
      <c r="R93" s="469">
        <v>0</v>
      </c>
      <c r="S93" s="469">
        <v>0</v>
      </c>
      <c r="T93" s="470">
        <f>SUM(P93:S93)</f>
        <v>1e-12</v>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7">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08">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09">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0">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1">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2">SUM(F103:I103)</f>
        <v>1e-12</v>
      </c>
      <c r="K103" s="469">
        <v>0</v>
      </c>
      <c r="L103" s="469">
        <v>0</v>
      </c>
      <c r="M103" s="469">
        <v>0</v>
      </c>
      <c r="N103" s="469">
        <v>0</v>
      </c>
      <c r="O103" s="470">
        <f t="shared" ref="O103:O107" si="113">SUM(K103:N103)</f>
        <v>1e-12</v>
      </c>
      <c r="P103" s="469">
        <v>0</v>
      </c>
      <c r="Q103" s="469">
        <v>0</v>
      </c>
      <c r="R103" s="469">
        <v>0</v>
      </c>
      <c r="S103" s="469">
        <v>0</v>
      </c>
      <c r="T103" s="470">
        <f t="shared" ref="T103:T107" si="114">SUM(P103:S103)</f>
        <v>1e-12</v>
      </c>
      <c r="U103" s="469">
        <v>0</v>
      </c>
      <c r="V103" s="469">
        <v>0</v>
      </c>
      <c r="W103" s="469">
        <v>0</v>
      </c>
      <c r="X103" s="477">
        <v>0</v>
      </c>
      <c r="Y103" s="470">
        <f t="shared" ref="Y103:Y107" si="115">SUM(U103:X103)</f>
        <v>0</v>
      </c>
      <c r="Z103" s="477">
        <v>0</v>
      </c>
      <c r="AA103" s="477">
        <v>0</v>
      </c>
      <c r="AB103" s="477">
        <v>0</v>
      </c>
      <c r="AC103" s="477">
        <v>0</v>
      </c>
      <c r="AD103" s="470">
        <f t="shared" ref="AD103:AD107" si="116">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v>1e-12</v>
      </c>
      <c r="K104" s="469">
        <v>0</v>
      </c>
      <c r="L104" s="469">
        <v>0</v>
      </c>
      <c r="M104" s="469">
        <v>0</v>
      </c>
      <c r="N104" s="469">
        <v>0</v>
      </c>
      <c r="O104" s="470">
        <f>SUM(K104:N104)</f>
        <v>1e-12</v>
      </c>
      <c r="P104" s="469">
        <v>0</v>
      </c>
      <c r="Q104" s="469">
        <v>0</v>
      </c>
      <c r="R104" s="469">
        <v>0</v>
      </c>
      <c r="S104" s="469">
        <v>0</v>
      </c>
      <c r="T104" s="470">
        <f>SUM(P104:S104)</f>
        <v>1e-12</v>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v>1e-12</v>
      </c>
      <c r="K105" s="469">
        <v>0</v>
      </c>
      <c r="L105" s="469">
        <v>0</v>
      </c>
      <c r="M105" s="469">
        <v>0</v>
      </c>
      <c r="N105" s="469">
        <v>0</v>
      </c>
      <c r="O105" s="470">
        <f>SUM(K105:N105)</f>
        <v>1e-12</v>
      </c>
      <c r="P105" s="469">
        <v>0</v>
      </c>
      <c r="Q105" s="469">
        <v>0</v>
      </c>
      <c r="R105" s="469">
        <v>0</v>
      </c>
      <c r="S105" s="469">
        <v>0</v>
      </c>
      <c r="T105" s="470">
        <f>SUM(P105:S105)</f>
        <v>1e-12</v>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v>1e-12</v>
      </c>
      <c r="K106" s="469">
        <v>0</v>
      </c>
      <c r="L106" s="469">
        <v>0</v>
      </c>
      <c r="M106" s="469">
        <v>0</v>
      </c>
      <c r="N106" s="469">
        <v>0</v>
      </c>
      <c r="O106" s="470">
        <f>SUM(K106:N106)</f>
        <v>1e-12</v>
      </c>
      <c r="P106" s="469">
        <v>0</v>
      </c>
      <c r="Q106" s="469">
        <v>0</v>
      </c>
      <c r="R106" s="469">
        <v>0</v>
      </c>
      <c r="S106" s="469">
        <v>0</v>
      </c>
      <c r="T106" s="470">
        <f>SUM(P106:S106)</f>
        <v>1e-12</v>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v>1e-12</v>
      </c>
      <c r="K107" s="469">
        <v>0</v>
      </c>
      <c r="L107" s="469">
        <v>0</v>
      </c>
      <c r="M107" s="469">
        <v>0</v>
      </c>
      <c r="N107" s="469">
        <v>0</v>
      </c>
      <c r="O107" s="470">
        <f>SUM(K107:N107)</f>
        <v>1e-12</v>
      </c>
      <c r="P107" s="469">
        <v>0</v>
      </c>
      <c r="Q107" s="469">
        <v>0</v>
      </c>
      <c r="R107" s="469">
        <v>0</v>
      </c>
      <c r="S107" s="469">
        <v>0</v>
      </c>
      <c r="T107" s="470">
        <f>SUM(P107:S107)</f>
        <v>1e-12</v>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7">SUM(F110:I110)</f>
        <v>1e-12</v>
      </c>
      <c r="K110" s="469">
        <v>0</v>
      </c>
      <c r="L110" s="469">
        <v>0</v>
      </c>
      <c r="M110" s="469">
        <v>0</v>
      </c>
      <c r="N110" s="469">
        <v>0</v>
      </c>
      <c r="O110" s="470">
        <f t="shared" ref="O110:O114" si="118">SUM(K110:N110)</f>
        <v>1e-12</v>
      </c>
      <c r="P110" s="469">
        <v>0</v>
      </c>
      <c r="Q110" s="469">
        <v>0</v>
      </c>
      <c r="R110" s="469">
        <v>0</v>
      </c>
      <c r="S110" s="469">
        <v>0</v>
      </c>
      <c r="T110" s="470">
        <f t="shared" ref="T110:T114" si="119">SUM(P110:S110)</f>
        <v>1e-12</v>
      </c>
      <c r="U110" s="469">
        <v>0</v>
      </c>
      <c r="V110" s="469">
        <v>0</v>
      </c>
      <c r="W110" s="469">
        <v>0</v>
      </c>
      <c r="X110" s="477">
        <v>0</v>
      </c>
      <c r="Y110" s="470">
        <f t="shared" ref="Y110:Y114" si="120">SUM(U110:X110)</f>
        <v>0</v>
      </c>
      <c r="Z110" s="477">
        <v>0</v>
      </c>
      <c r="AA110" s="477">
        <v>0</v>
      </c>
      <c r="AB110" s="477">
        <v>0</v>
      </c>
      <c r="AC110" s="477">
        <v>0</v>
      </c>
      <c r="AD110" s="470">
        <f t="shared" ref="AD110:AD114" si="121">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v>1e-12</v>
      </c>
      <c r="K111" s="469">
        <v>0</v>
      </c>
      <c r="L111" s="469">
        <v>0</v>
      </c>
      <c r="M111" s="469">
        <v>0</v>
      </c>
      <c r="N111" s="469">
        <v>0</v>
      </c>
      <c r="O111" s="470">
        <f>SUM(K111:N111)</f>
        <v>1e-12</v>
      </c>
      <c r="P111" s="469">
        <v>0</v>
      </c>
      <c r="Q111" s="469">
        <v>0</v>
      </c>
      <c r="R111" s="469">
        <v>0</v>
      </c>
      <c r="S111" s="469">
        <v>0</v>
      </c>
      <c r="T111" s="470">
        <f>SUM(P111:S111)</f>
        <v>1e-12</v>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v>1e-12</v>
      </c>
      <c r="K112" s="469">
        <v>0</v>
      </c>
      <c r="L112" s="469">
        <v>0</v>
      </c>
      <c r="M112" s="469">
        <v>0</v>
      </c>
      <c r="N112" s="469">
        <v>0</v>
      </c>
      <c r="O112" s="470">
        <f>SUM(K112:N112)</f>
        <v>1e-12</v>
      </c>
      <c r="P112" s="469">
        <v>0</v>
      </c>
      <c r="Q112" s="469">
        <v>0</v>
      </c>
      <c r="R112" s="469">
        <v>0</v>
      </c>
      <c r="S112" s="469">
        <v>0</v>
      </c>
      <c r="T112" s="470">
        <f>SUM(P112:S112)</f>
        <v>1e-12</v>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v>1e-12</v>
      </c>
      <c r="K113" s="469">
        <v>0</v>
      </c>
      <c r="L113" s="469">
        <v>0</v>
      </c>
      <c r="M113" s="469">
        <v>0</v>
      </c>
      <c r="N113" s="469">
        <v>0</v>
      </c>
      <c r="O113" s="470">
        <f>SUM(K113:N113)</f>
        <v>1e-12</v>
      </c>
      <c r="P113" s="469">
        <v>0</v>
      </c>
      <c r="Q113" s="469">
        <v>0</v>
      </c>
      <c r="R113" s="469">
        <v>0</v>
      </c>
      <c r="S113" s="469">
        <v>0</v>
      </c>
      <c r="T113" s="470">
        <f>SUM(P113:S113)</f>
        <v>1e-12</v>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v>1e-12</v>
      </c>
      <c r="K114" s="469">
        <v>0</v>
      </c>
      <c r="L114" s="469">
        <v>0</v>
      </c>
      <c r="M114" s="469">
        <v>0</v>
      </c>
      <c r="N114" s="469">
        <v>0</v>
      </c>
      <c r="O114" s="470">
        <f>SUM(K114:N114)</f>
        <v>1e-12</v>
      </c>
      <c r="P114" s="469">
        <v>0</v>
      </c>
      <c r="Q114" s="469">
        <v>0</v>
      </c>
      <c r="R114" s="469">
        <v>0</v>
      </c>
      <c r="S114" s="469">
        <v>0</v>
      </c>
      <c r="T114" s="470">
        <f>SUM(P114:S114)</f>
        <v>1e-12</v>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2">SUM(F117:I117)</f>
        <v>1e-12</v>
      </c>
      <c r="K117" s="469">
        <v>0</v>
      </c>
      <c r="L117" s="469">
        <v>0</v>
      </c>
      <c r="M117" s="469">
        <v>0</v>
      </c>
      <c r="N117" s="469">
        <v>0</v>
      </c>
      <c r="O117" s="470">
        <f t="shared" ref="O117:O121" si="123">SUM(K117:N117)</f>
        <v>1e-12</v>
      </c>
      <c r="P117" s="469">
        <v>0</v>
      </c>
      <c r="Q117" s="469">
        <v>0</v>
      </c>
      <c r="R117" s="469">
        <v>0</v>
      </c>
      <c r="S117" s="469">
        <v>0</v>
      </c>
      <c r="T117" s="470">
        <f t="shared" ref="T117:T121" si="124">SUM(P117:S117)</f>
        <v>1e-12</v>
      </c>
      <c r="U117" s="469">
        <v>0</v>
      </c>
      <c r="V117" s="469">
        <v>0</v>
      </c>
      <c r="W117" s="469">
        <v>0</v>
      </c>
      <c r="X117" s="477">
        <v>0</v>
      </c>
      <c r="Y117" s="470">
        <f t="shared" ref="Y117:Y121" si="125">SUM(U117:X117)</f>
        <v>0</v>
      </c>
      <c r="Z117" s="477">
        <v>0</v>
      </c>
      <c r="AA117" s="477">
        <v>0</v>
      </c>
      <c r="AB117" s="477">
        <v>0</v>
      </c>
      <c r="AC117" s="477">
        <v>0</v>
      </c>
      <c r="AD117" s="470">
        <f t="shared" ref="AD117:AD121" si="126">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v>1e-12</v>
      </c>
      <c r="K118" s="469">
        <v>0</v>
      </c>
      <c r="L118" s="469">
        <v>0</v>
      </c>
      <c r="M118" s="469">
        <v>0</v>
      </c>
      <c r="N118" s="469">
        <v>0</v>
      </c>
      <c r="O118" s="470">
        <f>SUM(K118:N118)</f>
        <v>1e-12</v>
      </c>
      <c r="P118" s="469">
        <v>0</v>
      </c>
      <c r="Q118" s="469">
        <v>0</v>
      </c>
      <c r="R118" s="469">
        <v>0</v>
      </c>
      <c r="S118" s="469">
        <v>0</v>
      </c>
      <c r="T118" s="470">
        <f>SUM(P118:S118)</f>
        <v>1e-12</v>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v>1e-12</v>
      </c>
      <c r="K119" s="469">
        <v>0</v>
      </c>
      <c r="L119" s="469">
        <v>0</v>
      </c>
      <c r="M119" s="469">
        <v>0</v>
      </c>
      <c r="N119" s="469">
        <v>0</v>
      </c>
      <c r="O119" s="470">
        <f>SUM(K119:N119)</f>
        <v>1e-12</v>
      </c>
      <c r="P119" s="469">
        <v>0</v>
      </c>
      <c r="Q119" s="469">
        <v>0</v>
      </c>
      <c r="R119" s="469">
        <v>0</v>
      </c>
      <c r="S119" s="469">
        <v>0</v>
      </c>
      <c r="T119" s="470">
        <f>SUM(P119:S119)</f>
        <v>1e-12</v>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v>1e-12</v>
      </c>
      <c r="K120" s="469">
        <v>0</v>
      </c>
      <c r="L120" s="469">
        <v>0</v>
      </c>
      <c r="M120" s="469">
        <v>0</v>
      </c>
      <c r="N120" s="469">
        <v>0</v>
      </c>
      <c r="O120" s="470">
        <f>SUM(K120:N120)</f>
        <v>1e-12</v>
      </c>
      <c r="P120" s="469">
        <v>0</v>
      </c>
      <c r="Q120" s="469">
        <v>0</v>
      </c>
      <c r="R120" s="469">
        <v>0</v>
      </c>
      <c r="S120" s="469">
        <v>0</v>
      </c>
      <c r="T120" s="470">
        <f>SUM(P120:S120)</f>
        <v>1e-12</v>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v>1e-12</v>
      </c>
      <c r="K121" s="469">
        <v>0</v>
      </c>
      <c r="L121" s="469">
        <v>0</v>
      </c>
      <c r="M121" s="469">
        <v>0</v>
      </c>
      <c r="N121" s="469">
        <v>0</v>
      </c>
      <c r="O121" s="470">
        <f>SUM(K121:N121)</f>
        <v>1e-12</v>
      </c>
      <c r="P121" s="469">
        <v>0</v>
      </c>
      <c r="Q121" s="469">
        <v>0</v>
      </c>
      <c r="R121" s="469">
        <v>0</v>
      </c>
      <c r="S121" s="469">
        <v>0</v>
      </c>
      <c r="T121" s="470">
        <f>SUM(P121:S121)</f>
        <v>1e-12</v>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7">SUM(F124:I124)</f>
        <v>1e-12</v>
      </c>
      <c r="K124" s="469">
        <v>0</v>
      </c>
      <c r="L124" s="469">
        <v>0</v>
      </c>
      <c r="M124" s="469">
        <v>0</v>
      </c>
      <c r="N124" s="469">
        <v>0</v>
      </c>
      <c r="O124" s="470">
        <f t="shared" ref="O124:O128" si="128">SUM(K124:N124)</f>
        <v>1e-12</v>
      </c>
      <c r="P124" s="469">
        <v>0</v>
      </c>
      <c r="Q124" s="469">
        <v>0</v>
      </c>
      <c r="R124" s="469">
        <v>0</v>
      </c>
      <c r="S124" s="469">
        <v>0</v>
      </c>
      <c r="T124" s="470">
        <f t="shared" ref="T124:T128" si="129">SUM(P124:S124)</f>
        <v>1e-12</v>
      </c>
      <c r="U124" s="469">
        <v>0</v>
      </c>
      <c r="V124" s="469">
        <v>0</v>
      </c>
      <c r="W124" s="469">
        <v>0</v>
      </c>
      <c r="X124" s="477">
        <v>0</v>
      </c>
      <c r="Y124" s="470">
        <f t="shared" ref="Y124:Y128" si="130">SUM(U124:X124)</f>
        <v>0</v>
      </c>
      <c r="Z124" s="477">
        <v>0</v>
      </c>
      <c r="AA124" s="477">
        <v>0</v>
      </c>
      <c r="AB124" s="477">
        <v>0</v>
      </c>
      <c r="AC124" s="477">
        <v>0</v>
      </c>
      <c r="AD124" s="470">
        <f t="shared" ref="AD124:AD128" si="131">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v>1e-12</v>
      </c>
      <c r="K125" s="469">
        <v>0</v>
      </c>
      <c r="L125" s="469">
        <v>0</v>
      </c>
      <c r="M125" s="469">
        <v>0</v>
      </c>
      <c r="N125" s="469">
        <v>0</v>
      </c>
      <c r="O125" s="470">
        <f>SUM(K125:N125)</f>
        <v>1e-12</v>
      </c>
      <c r="P125" s="469">
        <v>0</v>
      </c>
      <c r="Q125" s="469">
        <v>0</v>
      </c>
      <c r="R125" s="469">
        <v>0</v>
      </c>
      <c r="S125" s="469">
        <v>0</v>
      </c>
      <c r="T125" s="470">
        <f>SUM(P125:S125)</f>
        <v>1e-12</v>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v>1e-12</v>
      </c>
      <c r="K126" s="469">
        <v>0</v>
      </c>
      <c r="L126" s="469">
        <v>0</v>
      </c>
      <c r="M126" s="469">
        <v>0</v>
      </c>
      <c r="N126" s="469">
        <v>0</v>
      </c>
      <c r="O126" s="470">
        <f>SUM(K126:N126)</f>
        <v>1e-12</v>
      </c>
      <c r="P126" s="469">
        <v>0</v>
      </c>
      <c r="Q126" s="469">
        <v>0</v>
      </c>
      <c r="R126" s="469">
        <v>0</v>
      </c>
      <c r="S126" s="469">
        <v>0</v>
      </c>
      <c r="T126" s="470">
        <f>SUM(P126:S126)</f>
        <v>1e-12</v>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v>1e-12</v>
      </c>
      <c r="K127" s="469">
        <v>0</v>
      </c>
      <c r="L127" s="469">
        <v>0</v>
      </c>
      <c r="M127" s="469">
        <v>0</v>
      </c>
      <c r="N127" s="469">
        <v>0</v>
      </c>
      <c r="O127" s="470">
        <f>SUM(K127:N127)</f>
        <v>1e-12</v>
      </c>
      <c r="P127" s="469">
        <v>0</v>
      </c>
      <c r="Q127" s="469">
        <v>0</v>
      </c>
      <c r="R127" s="469">
        <v>0</v>
      </c>
      <c r="S127" s="469">
        <v>0</v>
      </c>
      <c r="T127" s="470">
        <f>SUM(P127:S127)</f>
        <v>1e-12</v>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v>1e-12</v>
      </c>
      <c r="K128" s="469">
        <v>0</v>
      </c>
      <c r="L128" s="469">
        <v>0</v>
      </c>
      <c r="M128" s="469">
        <v>0</v>
      </c>
      <c r="N128" s="469">
        <v>0</v>
      </c>
      <c r="O128" s="470">
        <f>SUM(K128:N128)</f>
        <v>1e-12</v>
      </c>
      <c r="P128" s="469">
        <v>0</v>
      </c>
      <c r="Q128" s="469">
        <v>0</v>
      </c>
      <c r="R128" s="469">
        <v>0</v>
      </c>
      <c r="S128" s="469">
        <v>0</v>
      </c>
      <c r="T128" s="470">
        <f>SUM(P128:S128)</f>
        <v>1e-12</v>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2">SUM(F131:I131)</f>
        <v>1e-12</v>
      </c>
      <c r="K131" s="469">
        <v>0</v>
      </c>
      <c r="L131" s="469">
        <v>0</v>
      </c>
      <c r="M131" s="469">
        <v>0</v>
      </c>
      <c r="N131" s="469">
        <v>0</v>
      </c>
      <c r="O131" s="470">
        <f t="shared" ref="O131:O135" si="133">SUM(K131:N131)</f>
        <v>1e-12</v>
      </c>
      <c r="P131" s="469">
        <v>0</v>
      </c>
      <c r="Q131" s="469">
        <v>0</v>
      </c>
      <c r="R131" s="469">
        <v>0</v>
      </c>
      <c r="S131" s="469">
        <v>0</v>
      </c>
      <c r="T131" s="470">
        <f t="shared" ref="T131:T135" si="134">SUM(P131:S131)</f>
        <v>1e-12</v>
      </c>
      <c r="U131" s="469">
        <v>0</v>
      </c>
      <c r="V131" s="469">
        <v>0</v>
      </c>
      <c r="W131" s="469">
        <v>0</v>
      </c>
      <c r="X131" s="477">
        <v>0</v>
      </c>
      <c r="Y131" s="470">
        <f t="shared" ref="Y131:Y135" si="135">SUM(U131:X131)</f>
        <v>0</v>
      </c>
      <c r="Z131" s="477">
        <v>0</v>
      </c>
      <c r="AA131" s="477">
        <v>0</v>
      </c>
      <c r="AB131" s="477">
        <v>0</v>
      </c>
      <c r="AC131" s="477">
        <v>0</v>
      </c>
      <c r="AD131" s="470">
        <f t="shared" ref="AD131:AD135" si="136">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v>1e-12</v>
      </c>
      <c r="K132" s="469">
        <v>0</v>
      </c>
      <c r="L132" s="469">
        <v>0</v>
      </c>
      <c r="M132" s="469">
        <v>0</v>
      </c>
      <c r="N132" s="469">
        <v>0</v>
      </c>
      <c r="O132" s="470">
        <f>SUM(K132:N132)</f>
        <v>1e-12</v>
      </c>
      <c r="P132" s="469">
        <v>0</v>
      </c>
      <c r="Q132" s="469">
        <v>0</v>
      </c>
      <c r="R132" s="469">
        <v>0</v>
      </c>
      <c r="S132" s="469">
        <v>0</v>
      </c>
      <c r="T132" s="470">
        <f>SUM(P132:S132)</f>
        <v>1e-12</v>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v>1e-12</v>
      </c>
      <c r="K133" s="469">
        <v>0</v>
      </c>
      <c r="L133" s="469">
        <v>0</v>
      </c>
      <c r="M133" s="469">
        <v>0</v>
      </c>
      <c r="N133" s="469">
        <v>0</v>
      </c>
      <c r="O133" s="470">
        <f>SUM(K133:N133)</f>
        <v>1e-12</v>
      </c>
      <c r="P133" s="469">
        <v>0</v>
      </c>
      <c r="Q133" s="469">
        <v>0</v>
      </c>
      <c r="R133" s="469">
        <v>0</v>
      </c>
      <c r="S133" s="469">
        <v>0</v>
      </c>
      <c r="T133" s="470">
        <f>SUM(P133:S133)</f>
        <v>1e-12</v>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v>1e-12</v>
      </c>
      <c r="K134" s="469">
        <v>0</v>
      </c>
      <c r="L134" s="469">
        <v>0</v>
      </c>
      <c r="M134" s="469">
        <v>0</v>
      </c>
      <c r="N134" s="469">
        <v>0</v>
      </c>
      <c r="O134" s="470">
        <f>SUM(K134:N134)</f>
        <v>1e-12</v>
      </c>
      <c r="P134" s="469">
        <v>0</v>
      </c>
      <c r="Q134" s="469">
        <v>0</v>
      </c>
      <c r="R134" s="469">
        <v>0</v>
      </c>
      <c r="S134" s="469">
        <v>0</v>
      </c>
      <c r="T134" s="470">
        <f>SUM(P134:S134)</f>
        <v>1e-12</v>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v>1e-12</v>
      </c>
      <c r="K135" s="469">
        <v>0</v>
      </c>
      <c r="L135" s="469">
        <v>0</v>
      </c>
      <c r="M135" s="469">
        <v>0</v>
      </c>
      <c r="N135" s="469">
        <v>0</v>
      </c>
      <c r="O135" s="470">
        <f>SUM(K135:N135)</f>
        <v>1e-12</v>
      </c>
      <c r="P135" s="469">
        <v>0</v>
      </c>
      <c r="Q135" s="469">
        <v>0</v>
      </c>
      <c r="R135" s="469">
        <v>0</v>
      </c>
      <c r="S135" s="469">
        <v>0</v>
      </c>
      <c r="T135" s="470">
        <f>SUM(P135:S135)</f>
        <v>1e-12</v>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7">SUM(F138:I138)</f>
        <v>1e-12</v>
      </c>
      <c r="K138" s="469">
        <v>0</v>
      </c>
      <c r="L138" s="469">
        <v>0</v>
      </c>
      <c r="M138" s="469">
        <v>0</v>
      </c>
      <c r="N138" s="469">
        <v>0</v>
      </c>
      <c r="O138" s="470">
        <f t="shared" ref="O138:O142" si="138">SUM(K138:N138)</f>
        <v>1e-12</v>
      </c>
      <c r="P138" s="469">
        <v>0</v>
      </c>
      <c r="Q138" s="469">
        <v>0</v>
      </c>
      <c r="R138" s="469">
        <v>0</v>
      </c>
      <c r="S138" s="469">
        <v>0</v>
      </c>
      <c r="T138" s="470">
        <f t="shared" ref="T138:T142" si="139">SUM(P138:S138)</f>
        <v>1e-12</v>
      </c>
      <c r="U138" s="469">
        <v>0</v>
      </c>
      <c r="V138" s="469">
        <v>0</v>
      </c>
      <c r="W138" s="469">
        <v>0</v>
      </c>
      <c r="X138" s="477">
        <v>0</v>
      </c>
      <c r="Y138" s="470">
        <f t="shared" ref="Y138:Y142" si="140">SUM(U138:X138)</f>
        <v>0</v>
      </c>
      <c r="Z138" s="477">
        <v>0</v>
      </c>
      <c r="AA138" s="477">
        <v>0</v>
      </c>
      <c r="AB138" s="477">
        <v>0</v>
      </c>
      <c r="AC138" s="477">
        <v>0</v>
      </c>
      <c r="AD138" s="470">
        <f t="shared" ref="AD138:AD142" si="141">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v>1e-12</v>
      </c>
      <c r="K139" s="469">
        <v>0</v>
      </c>
      <c r="L139" s="469">
        <v>0</v>
      </c>
      <c r="M139" s="469">
        <v>0</v>
      </c>
      <c r="N139" s="469">
        <v>0</v>
      </c>
      <c r="O139" s="470">
        <f>SUM(K139:N139)</f>
        <v>1e-12</v>
      </c>
      <c r="P139" s="469">
        <v>0</v>
      </c>
      <c r="Q139" s="469">
        <v>0</v>
      </c>
      <c r="R139" s="469">
        <v>0</v>
      </c>
      <c r="S139" s="469">
        <v>0</v>
      </c>
      <c r="T139" s="470">
        <f>SUM(P139:S139)</f>
        <v>1e-12</v>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v>1e-12</v>
      </c>
      <c r="K140" s="469">
        <v>0</v>
      </c>
      <c r="L140" s="469">
        <v>0</v>
      </c>
      <c r="M140" s="469">
        <v>0</v>
      </c>
      <c r="N140" s="469">
        <v>0</v>
      </c>
      <c r="O140" s="470">
        <f>SUM(K140:N140)</f>
        <v>1e-12</v>
      </c>
      <c r="P140" s="469">
        <v>0</v>
      </c>
      <c r="Q140" s="469">
        <v>0</v>
      </c>
      <c r="R140" s="469">
        <v>0</v>
      </c>
      <c r="S140" s="469">
        <v>0</v>
      </c>
      <c r="T140" s="470">
        <f>SUM(P140:S140)</f>
        <v>1e-12</v>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v>1e-12</v>
      </c>
      <c r="K141" s="469">
        <v>0</v>
      </c>
      <c r="L141" s="469">
        <v>0</v>
      </c>
      <c r="M141" s="469">
        <v>0</v>
      </c>
      <c r="N141" s="469">
        <v>0</v>
      </c>
      <c r="O141" s="470">
        <f>SUM(K141:N141)</f>
        <v>1e-12</v>
      </c>
      <c r="P141" s="469">
        <v>0</v>
      </c>
      <c r="Q141" s="469">
        <v>0</v>
      </c>
      <c r="R141" s="469">
        <v>0</v>
      </c>
      <c r="S141" s="469">
        <v>0</v>
      </c>
      <c r="T141" s="470">
        <f>SUM(P141:S141)</f>
        <v>1e-12</v>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v>1e-12</v>
      </c>
      <c r="K142" s="469">
        <v>0</v>
      </c>
      <c r="L142" s="469">
        <v>0</v>
      </c>
      <c r="M142" s="469">
        <v>0</v>
      </c>
      <c r="N142" s="469">
        <v>0</v>
      </c>
      <c r="O142" s="470">
        <f>SUM(K142:N142)</f>
        <v>1e-12</v>
      </c>
      <c r="P142" s="469">
        <v>0</v>
      </c>
      <c r="Q142" s="469">
        <v>0</v>
      </c>
      <c r="R142" s="469">
        <v>0</v>
      </c>
      <c r="S142" s="469">
        <v>0</v>
      </c>
      <c r="T142" s="470">
        <f>SUM(P142:S142)</f>
        <v>1e-12</v>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2">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3">C16</f>
        <v>Home Improvement Retail</v>
      </c>
      <c r="D155" s="16"/>
      <c r="E155" s="16"/>
      <c r="F155" s="377">
        <f t="shared" ref="F155:AG155" si="144">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5">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6">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7">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48">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49">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0">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1">C89</f>
        <v>North America</v>
      </c>
      <c r="D180" s="16"/>
      <c r="E180" s="16"/>
      <c r="F180" s="474"/>
      <c r="G180" s="474"/>
      <c r="H180" s="474"/>
      <c r="I180" s="474"/>
      <c r="J180" s="168"/>
      <c r="K180" s="377" t="str">
        <f t="shared" ref="K180:AG180" si="152">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3">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4">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5">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6">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7">C89</f>
        <v>North America</v>
      </c>
      <c r="D200" s="16"/>
      <c r="E200" s="16"/>
      <c r="F200" s="474"/>
      <c r="G200" s="377" t="str">
        <f t="shared" ref="G200:I200" si="158">IFERROR(G88/F88-1,"N/A")</f>
        <v>N/A</v>
      </c>
      <c r="H200" s="377" t="str">
        <f>IFERROR(H88/G88-1,"N/A")</f>
        <v>N/A</v>
      </c>
      <c r="I200" s="377" t="str">
        <f>IFERROR(I88/H88-1,"N/A")</f>
        <v>N/A</v>
      </c>
      <c r="J200" s="168"/>
      <c r="K200" s="377" t="str">
        <f t="shared" ref="K200:K204" si="159">IFERROR(K88/I88-1,"N/A")</f>
        <v>N/A</v>
      </c>
      <c r="L200" s="377" t="str">
        <f t="shared" ref="L200:N200" si="160">IFERROR(L88/K88-1,"N/A")</f>
        <v>N/A</v>
      </c>
      <c r="M200" s="377" t="str">
        <f>IFERROR(M88/L88-1,"N/A")</f>
        <v>N/A</v>
      </c>
      <c r="N200" s="377" t="str">
        <f>IFERROR(N88/M88-1,"N/A")</f>
        <v>N/A</v>
      </c>
      <c r="O200" s="378"/>
      <c r="P200" s="377" t="str">
        <f t="shared" ref="P200:P204" si="161">IFERROR(P88/N88-1,"N/A")</f>
        <v>N/A</v>
      </c>
      <c r="Q200" s="377" t="str">
        <f t="shared" ref="Q200:S200" si="162">IFERROR(Q88/P88-1,"N/A")</f>
        <v>N/A</v>
      </c>
      <c r="R200" s="377" t="str">
        <f>IFERROR(R88/Q88-1,"N/A")</f>
        <v>N/A</v>
      </c>
      <c r="S200" s="377" t="str">
        <f>IFERROR(S88/R88-1,"N/A")</f>
        <v>N/A</v>
      </c>
      <c r="T200" s="378"/>
      <c r="U200" s="377" t="str">
        <f t="shared" ref="U200:U204" si="163">IFERROR(U88/S88-1,"N/A")</f>
        <v>N/A</v>
      </c>
      <c r="V200" s="377" t="str">
        <f t="shared" ref="V200:X200" si="164">IFERROR(V88/U88-1,"N/A")</f>
        <v>N/A</v>
      </c>
      <c r="W200" s="377" t="str">
        <f>IFERROR(W88/V88-1,"N/A")</f>
        <v>N/A</v>
      </c>
      <c r="X200" s="379" t="str">
        <f>IFERROR(X88/W88-1,"N/A")</f>
        <v>N/A</v>
      </c>
      <c r="Y200" s="378"/>
      <c r="Z200" s="379" t="str">
        <f t="shared" ref="Z200:Z204" si="165">IFERROR(Z88/X88-1,"N/A")</f>
        <v>N/A</v>
      </c>
      <c r="AA200" s="379" t="str">
        <f t="shared" ref="AA200:AC200" si="166">IFERROR(AA88/Z88-1,"N/A")</f>
        <v>N/A</v>
      </c>
      <c r="AB200" s="379" t="str">
        <f>IFERROR(AB88/AA88-1,"N/A")</f>
        <v>N/A</v>
      </c>
      <c r="AC200" s="379" t="str">
        <f>IFERROR(AC88/AB88-1,"N/A")</f>
        <v>N/A</v>
      </c>
      <c r="AD200" s="378"/>
      <c r="AE200" s="378" t="str">
        <f t="shared" ref="AE200:AG200" si="167">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68">IFERROR(G89/F89-1,"N/A")</f>
        <v>N/A</v>
      </c>
      <c r="H201" s="377" t="str">
        <f>IFERROR(H89/G89-1,"N/A")</f>
        <v>N/A</v>
      </c>
      <c r="I201" s="377" t="str">
        <f>IFERROR(I89/H89-1,"N/A")</f>
        <v>N/A</v>
      </c>
      <c r="J201" s="168"/>
      <c r="K201" s="377" t="str">
        <f>IFERROR(K89/I89-1,"N/A")</f>
        <v>N/A</v>
      </c>
      <c r="L201" s="377" t="str">
        <f t="shared" ref="L201:N201" si="169">IFERROR(L89/K89-1,"N/A")</f>
        <v>N/A</v>
      </c>
      <c r="M201" s="377" t="str">
        <f>IFERROR(M89/L89-1,"N/A")</f>
        <v>N/A</v>
      </c>
      <c r="N201" s="377" t="str">
        <f>IFERROR(N89/M89-1,"N/A")</f>
        <v>N/A</v>
      </c>
      <c r="O201" s="378"/>
      <c r="P201" s="377" t="str">
        <f>IFERROR(P89/N89-1,"N/A")</f>
        <v>N/A</v>
      </c>
      <c r="Q201" s="377" t="str">
        <f t="shared" ref="Q201:S201" si="170">IFERROR(Q89/P89-1,"N/A")</f>
        <v>N/A</v>
      </c>
      <c r="R201" s="377" t="str">
        <f>IFERROR(R89/Q89-1,"N/A")</f>
        <v>N/A</v>
      </c>
      <c r="S201" s="377" t="str">
        <f>IFERROR(S89/R89-1,"N/A")</f>
        <v>N/A</v>
      </c>
      <c r="T201" s="378"/>
      <c r="U201" s="377" t="str">
        <f>IFERROR(U89/S89-1,"N/A")</f>
        <v>N/A</v>
      </c>
      <c r="V201" s="377" t="str">
        <f t="shared" ref="V201:X201" si="171">IFERROR(V89/U89-1,"N/A")</f>
        <v>N/A</v>
      </c>
      <c r="W201" s="377" t="str">
        <f>IFERROR(W89/V89-1,"N/A")</f>
        <v>N/A</v>
      </c>
      <c r="X201" s="379" t="str">
        <f>IFERROR(X89/W89-1,"N/A")</f>
        <v>N/A</v>
      </c>
      <c r="Y201" s="378"/>
      <c r="Z201" s="379" t="str">
        <f>IFERROR(Z89/X89-1,"N/A")</f>
        <v>N/A</v>
      </c>
      <c r="AA201" s="379" t="str">
        <f t="shared" ref="AA201:AC201" si="172">IFERROR(AA89/Z89-1,"N/A")</f>
        <v>N/A</v>
      </c>
      <c r="AB201" s="379" t="str">
        <f>IFERROR(AB89/AA89-1,"N/A")</f>
        <v>N/A</v>
      </c>
      <c r="AC201" s="379" t="str">
        <f>IFERROR(AC89/AB89-1,"N/A")</f>
        <v>N/A</v>
      </c>
      <c r="AD201" s="378"/>
      <c r="AE201" s="378" t="str">
        <f t="shared" ref="AE201:AG201" si="173">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4">IFERROR(G90/F90-1,"N/A")</f>
        <v>N/A</v>
      </c>
      <c r="H202" s="377" t="str">
        <f>IFERROR(H90/G90-1,"N/A")</f>
        <v>N/A</v>
      </c>
      <c r="I202" s="377" t="str">
        <f>IFERROR(I90/H90-1,"N/A")</f>
        <v>N/A</v>
      </c>
      <c r="J202" s="168"/>
      <c r="K202" s="377" t="str">
        <f>IFERROR(K90/I90-1,"N/A")</f>
        <v>N/A</v>
      </c>
      <c r="L202" s="377" t="str">
        <f t="shared" ref="L202:N202" si="175">IFERROR(L90/K90-1,"N/A")</f>
        <v>N/A</v>
      </c>
      <c r="M202" s="377" t="str">
        <f>IFERROR(M90/L90-1,"N/A")</f>
        <v>N/A</v>
      </c>
      <c r="N202" s="377" t="str">
        <f>IFERROR(N90/M90-1,"N/A")</f>
        <v>N/A</v>
      </c>
      <c r="O202" s="378"/>
      <c r="P202" s="377" t="str">
        <f>IFERROR(P90/N90-1,"N/A")</f>
        <v>N/A</v>
      </c>
      <c r="Q202" s="377" t="str">
        <f t="shared" ref="Q202:S202" si="176">IFERROR(Q90/P90-1,"N/A")</f>
        <v>N/A</v>
      </c>
      <c r="R202" s="377" t="str">
        <f>IFERROR(R90/Q90-1,"N/A")</f>
        <v>N/A</v>
      </c>
      <c r="S202" s="377" t="str">
        <f>IFERROR(S90/R90-1,"N/A")</f>
        <v>N/A</v>
      </c>
      <c r="T202" s="378"/>
      <c r="U202" s="377" t="str">
        <f>IFERROR(U90/S90-1,"N/A")</f>
        <v>N/A</v>
      </c>
      <c r="V202" s="377" t="str">
        <f t="shared" ref="V202:X202" si="177">IFERROR(V90/U90-1,"N/A")</f>
        <v>N/A</v>
      </c>
      <c r="W202" s="377" t="str">
        <f>IFERROR(W90/V90-1,"N/A")</f>
        <v>N/A</v>
      </c>
      <c r="X202" s="379" t="str">
        <f>IFERROR(X90/W90-1,"N/A")</f>
        <v>N/A</v>
      </c>
      <c r="Y202" s="378"/>
      <c r="Z202" s="379" t="str">
        <f>IFERROR(Z90/X90-1,"N/A")</f>
        <v>N/A</v>
      </c>
      <c r="AA202" s="379" t="str">
        <f t="shared" ref="AA202:AC202" si="178">IFERROR(AA90/Z90-1,"N/A")</f>
        <v>N/A</v>
      </c>
      <c r="AB202" s="379" t="str">
        <f>IFERROR(AB90/AA90-1,"N/A")</f>
        <v>N/A</v>
      </c>
      <c r="AC202" s="379" t="str">
        <f>IFERROR(AC90/AB90-1,"N/A")</f>
        <v>N/A</v>
      </c>
      <c r="AD202" s="378"/>
      <c r="AE202" s="378" t="str">
        <f t="shared" ref="AE202:AG202" si="179">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0">IFERROR(G91/F91-1,"N/A")</f>
        <v>N/A</v>
      </c>
      <c r="H203" s="377" t="str">
        <f>IFERROR(H91/G91-1,"N/A")</f>
        <v>N/A</v>
      </c>
      <c r="I203" s="377" t="str">
        <f>IFERROR(I91/H91-1,"N/A")</f>
        <v>N/A</v>
      </c>
      <c r="J203" s="168"/>
      <c r="K203" s="377" t="str">
        <f>IFERROR(K91/I91-1,"N/A")</f>
        <v>N/A</v>
      </c>
      <c r="L203" s="377" t="str">
        <f t="shared" ref="L203:N203" si="181">IFERROR(L91/K91-1,"N/A")</f>
        <v>N/A</v>
      </c>
      <c r="M203" s="377" t="str">
        <f>IFERROR(M91/L91-1,"N/A")</f>
        <v>N/A</v>
      </c>
      <c r="N203" s="377" t="str">
        <f>IFERROR(N91/M91-1,"N/A")</f>
        <v>N/A</v>
      </c>
      <c r="O203" s="378"/>
      <c r="P203" s="377" t="str">
        <f>IFERROR(P91/N91-1,"N/A")</f>
        <v>N/A</v>
      </c>
      <c r="Q203" s="377" t="str">
        <f t="shared" ref="Q203:S203" si="182">IFERROR(Q91/P91-1,"N/A")</f>
        <v>N/A</v>
      </c>
      <c r="R203" s="377" t="str">
        <f>IFERROR(R91/Q91-1,"N/A")</f>
        <v>N/A</v>
      </c>
      <c r="S203" s="377" t="str">
        <f>IFERROR(S91/R91-1,"N/A")</f>
        <v>N/A</v>
      </c>
      <c r="T203" s="378"/>
      <c r="U203" s="377" t="str">
        <f>IFERROR(U91/S91-1,"N/A")</f>
        <v>N/A</v>
      </c>
      <c r="V203" s="377" t="str">
        <f t="shared" ref="V203:X203" si="183">IFERROR(V91/U91-1,"N/A")</f>
        <v>N/A</v>
      </c>
      <c r="W203" s="377" t="str">
        <f>IFERROR(W91/V91-1,"N/A")</f>
        <v>N/A</v>
      </c>
      <c r="X203" s="379" t="str">
        <f>IFERROR(X91/W91-1,"N/A")</f>
        <v>N/A</v>
      </c>
      <c r="Y203" s="378"/>
      <c r="Z203" s="379" t="str">
        <f>IFERROR(Z91/X91-1,"N/A")</f>
        <v>N/A</v>
      </c>
      <c r="AA203" s="379" t="str">
        <f t="shared" ref="AA203:AC203" si="184">IFERROR(AA91/Z91-1,"N/A")</f>
        <v>N/A</v>
      </c>
      <c r="AB203" s="379" t="str">
        <f>IFERROR(AB91/AA91-1,"N/A")</f>
        <v>N/A</v>
      </c>
      <c r="AC203" s="379" t="str">
        <f>IFERROR(AC91/AB91-1,"N/A")</f>
        <v>N/A</v>
      </c>
      <c r="AD203" s="378"/>
      <c r="AE203" s="378" t="str">
        <f t="shared" ref="AE203:AG203" si="185">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6">IFERROR(G92/F92-1,"N/A")</f>
        <v>N/A</v>
      </c>
      <c r="H204" s="377" t="str">
        <f>IFERROR(H92/G92-1,"N/A")</f>
        <v>N/A</v>
      </c>
      <c r="I204" s="377" t="str">
        <f>IFERROR(I92/H92-1,"N/A")</f>
        <v>N/A</v>
      </c>
      <c r="J204" s="168"/>
      <c r="K204" s="377" t="str">
        <f>IFERROR(K92/I92-1,"N/A")</f>
        <v>N/A</v>
      </c>
      <c r="L204" s="377" t="str">
        <f t="shared" ref="L204:N204" si="187">IFERROR(L92/K92-1,"N/A")</f>
        <v>N/A</v>
      </c>
      <c r="M204" s="377" t="str">
        <f>IFERROR(M92/L92-1,"N/A")</f>
        <v>N/A</v>
      </c>
      <c r="N204" s="377" t="str">
        <f>IFERROR(N92/M92-1,"N/A")</f>
        <v>N/A</v>
      </c>
      <c r="O204" s="378"/>
      <c r="P204" s="377" t="str">
        <f>IFERROR(P92/N92-1,"N/A")</f>
        <v>N/A</v>
      </c>
      <c r="Q204" s="377" t="str">
        <f t="shared" ref="Q204:S204" si="188">IFERROR(Q92/P92-1,"N/A")</f>
        <v>N/A</v>
      </c>
      <c r="R204" s="377" t="str">
        <f>IFERROR(R92/Q92-1,"N/A")</f>
        <v>N/A</v>
      </c>
      <c r="S204" s="377" t="str">
        <f>IFERROR(S92/R92-1,"N/A")</f>
        <v>N/A</v>
      </c>
      <c r="T204" s="378"/>
      <c r="U204" s="377" t="str">
        <f>IFERROR(U92/S92-1,"N/A")</f>
        <v>N/A</v>
      </c>
      <c r="V204" s="377" t="str">
        <f t="shared" ref="V204:X204" si="189">IFERROR(V92/U92-1,"N/A")</f>
        <v>N/A</v>
      </c>
      <c r="W204" s="377" t="str">
        <f>IFERROR(W92/V92-1,"N/A")</f>
        <v>N/A</v>
      </c>
      <c r="X204" s="379" t="str">
        <f>IFERROR(X92/W92-1,"N/A")</f>
        <v>N/A</v>
      </c>
      <c r="Y204" s="378"/>
      <c r="Z204" s="379" t="str">
        <f>IFERROR(Z92/X92-1,"N/A")</f>
        <v>N/A</v>
      </c>
      <c r="AA204" s="379" t="str">
        <f t="shared" ref="AA204:AC204" si="190">IFERROR(AA92/Z92-1,"N/A")</f>
        <v>N/A</v>
      </c>
      <c r="AB204" s="379" t="str">
        <f>IFERROR(AB92/AA92-1,"N/A")</f>
        <v>N/A</v>
      </c>
      <c r="AC204" s="379" t="str">
        <f>IFERROR(AC92/AB92-1,"N/A")</f>
        <v>N/A</v>
      </c>
      <c r="AD204" s="378"/>
      <c r="AE204" s="378" t="str">
        <f t="shared" ref="AE204:AG204" si="191">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26</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499</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500</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501</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502</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503</v>
      </c>
      <c r="AN13" s="551">
        <v>30.819232691225288</v>
      </c>
      <c r="AO13" s="551">
        <v>2.82676</v>
      </c>
      <c r="AP13" s="551">
        <v>2.3372126615773308</v>
      </c>
      <c r="AQ13" s="551" t="s">
        <v>503</v>
      </c>
      <c r="AR13" s="551" t="s">
        <v>503</v>
      </c>
      <c r="AS13" s="4"/>
      <c r="AT13" s="4"/>
      <c r="AU13" s="47"/>
      <c r="AV13" s="16" t="e">
        <f>AV54</f>
        <v>#NAME?</v>
      </c>
      <c r="AW13" s="16"/>
      <c r="AX13" s="84" t="s">
        <v>504</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503</v>
      </c>
      <c r="BN13" s="551">
        <v>54.20820989547334</v>
      </c>
    </row>
    <row r="14" ht="13.5" customHeight="1" spans="1:66" x14ac:dyDescent="0.25">
      <c r="A14" s="4"/>
      <c r="B14" s="4"/>
      <c r="C14" s="47"/>
      <c r="D14" s="16" t="e">
        <f>D55</f>
        <v>#NAME?</v>
      </c>
      <c r="E14" s="16"/>
      <c r="F14" s="84" t="s">
        <v>505</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506</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507</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508</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503</v>
      </c>
      <c r="R15" s="551">
        <v>211.94604401245059</v>
      </c>
      <c r="S15" s="551">
        <v>34.64642</v>
      </c>
      <c r="T15" s="551">
        <v>27.278614119410697</v>
      </c>
      <c r="U15" s="551" t="s">
        <v>503</v>
      </c>
      <c r="V15" s="551">
        <v>214.40286086833686</v>
      </c>
      <c r="W15" s="16"/>
      <c r="X15" s="4"/>
      <c r="Y15" s="47"/>
      <c r="Z15" s="16" t="e">
        <f>Z75</f>
        <v>#NAME?</v>
      </c>
      <c r="AA15" s="16"/>
      <c r="AB15" s="84" t="s">
        <v>509</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510</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511</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512</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513</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514</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514</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514</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515</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515</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515</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516</v>
      </c>
      <c r="E23" s="66"/>
      <c r="F23" s="66"/>
      <c r="G23" s="538" t="s">
        <v>517</v>
      </c>
      <c r="H23" s="66"/>
      <c r="I23" s="66"/>
      <c r="J23" s="538" t="s">
        <v>518</v>
      </c>
      <c r="K23" s="66"/>
      <c r="L23" s="66"/>
      <c r="M23" s="538" t="str">
        <f>TEXT(Last_FYE,"yyyy")&amp;"A"&amp;" Leverage Analysis"</f>
        <v>2025A Leverage Analysis</v>
      </c>
      <c r="N23" s="66"/>
      <c r="O23" s="66"/>
      <c r="P23" s="538" t="str">
        <f>TEXT(Last_FYE,"yyyy")&amp;"A"&amp;" Coverage Analysis"</f>
        <v>2025A Coverage Analysis</v>
      </c>
      <c r="Q23" s="66"/>
      <c r="R23" s="66"/>
      <c r="S23" s="538" t="s">
        <v>519</v>
      </c>
      <c r="T23" s="66"/>
      <c r="U23" s="538" t="s">
        <v>520</v>
      </c>
      <c r="V23" s="66"/>
      <c r="W23" s="16"/>
      <c r="X23" s="4"/>
      <c r="Y23" s="47" t="s">
        <v>1</v>
      </c>
      <c r="Z23" s="538" t="s">
        <v>516</v>
      </c>
      <c r="AA23" s="66"/>
      <c r="AB23" s="66"/>
      <c r="AC23" s="538" t="s">
        <v>517</v>
      </c>
      <c r="AD23" s="66"/>
      <c r="AE23" s="66"/>
      <c r="AF23" s="538" t="s">
        <v>518</v>
      </c>
      <c r="AG23" s="66"/>
      <c r="AH23" s="66"/>
      <c r="AI23" s="538" t="str">
        <f>TEXT(Last_FYE,"yyyy")&amp;"A"&amp;" Leverage Analysis"</f>
        <v>2025A Leverage Analysis</v>
      </c>
      <c r="AJ23" s="66"/>
      <c r="AK23" s="66"/>
      <c r="AL23" s="538" t="str">
        <f>TEXT(Last_FYE,"yyyy")&amp;"A"&amp;" Coverage Analysis"</f>
        <v>2025A Coverage Analysis</v>
      </c>
      <c r="AM23" s="66"/>
      <c r="AN23" s="66"/>
      <c r="AO23" s="538" t="s">
        <v>519</v>
      </c>
      <c r="AP23" s="66"/>
      <c r="AQ23" s="538" t="s">
        <v>520</v>
      </c>
      <c r="AR23" s="66"/>
      <c r="AS23" s="4"/>
      <c r="AT23" s="4"/>
      <c r="AU23" s="47" t="s">
        <v>1</v>
      </c>
      <c r="AV23" s="538" t="s">
        <v>516</v>
      </c>
      <c r="AW23" s="66"/>
      <c r="AX23" s="66"/>
      <c r="AY23" s="538" t="s">
        <v>517</v>
      </c>
      <c r="AZ23" s="66"/>
      <c r="BA23" s="66"/>
      <c r="BB23" s="538" t="s">
        <v>518</v>
      </c>
      <c r="BC23" s="66"/>
      <c r="BD23" s="66"/>
      <c r="BE23" s="538" t="str">
        <f>TEXT(Last_FYE,"yyyy")&amp;"A"&amp;" Leverage Analysis"</f>
        <v>2025A Leverage Analysis</v>
      </c>
      <c r="BF23" s="66"/>
      <c r="BG23" s="66"/>
      <c r="BH23" s="538" t="str">
        <f>TEXT(Last_FYE,"yyyy")&amp;"A"&amp;" Coverage Analysis"</f>
        <v>2025A Coverage Analysis</v>
      </c>
      <c r="BI23" s="66"/>
      <c r="BJ23" s="66"/>
      <c r="BK23" s="538" t="s">
        <v>519</v>
      </c>
      <c r="BL23" s="66"/>
      <c r="BM23" s="538" t="s">
        <v>520</v>
      </c>
      <c r="BN23" s="66"/>
    </row>
    <row r="24" ht="13.5" customHeight="1" spans="1:66" x14ac:dyDescent="0.25">
      <c r="A24" s="4"/>
      <c r="B24" s="4"/>
      <c r="C24" s="47"/>
      <c r="D24" s="16"/>
      <c r="E24" s="16"/>
      <c r="F24" s="16"/>
      <c r="G24" s="16"/>
      <c r="H24" s="16"/>
      <c r="I24" s="16"/>
      <c r="J24" s="16"/>
      <c r="K24" s="16"/>
      <c r="L24" s="16"/>
      <c r="M24" s="538" t="s">
        <v>521</v>
      </c>
      <c r="N24" s="66"/>
      <c r="O24" s="66"/>
      <c r="P24" s="16"/>
      <c r="Q24" s="16"/>
      <c r="R24" s="16"/>
      <c r="S24" s="16"/>
      <c r="T24" s="16"/>
      <c r="U24" s="16"/>
      <c r="V24" s="16"/>
      <c r="W24" s="16"/>
      <c r="X24" s="4"/>
      <c r="Y24" s="47"/>
      <c r="Z24" s="16"/>
      <c r="AA24" s="16"/>
      <c r="AB24" s="16"/>
      <c r="AC24" s="16"/>
      <c r="AD24" s="16"/>
      <c r="AE24" s="16"/>
      <c r="AF24" s="16"/>
      <c r="AG24" s="16"/>
      <c r="AH24" s="16"/>
      <c r="AI24" s="538" t="s">
        <v>521</v>
      </c>
      <c r="AJ24" s="66"/>
      <c r="AK24" s="66"/>
      <c r="AL24" s="16"/>
      <c r="AM24" s="16"/>
      <c r="AN24" s="16"/>
      <c r="AO24" s="16"/>
      <c r="AP24" s="16"/>
      <c r="AQ24" s="16"/>
      <c r="AR24" s="16"/>
      <c r="AS24" s="4"/>
      <c r="AT24" s="4"/>
      <c r="AU24" s="47"/>
      <c r="AV24" s="16"/>
      <c r="AW24" s="16"/>
      <c r="AX24" s="16"/>
      <c r="AY24" s="16"/>
      <c r="AZ24" s="16"/>
      <c r="BA24" s="16"/>
      <c r="BB24" s="16"/>
      <c r="BC24" s="16"/>
      <c r="BD24" s="16"/>
      <c r="BE24" s="538" t="s">
        <v>521</v>
      </c>
      <c r="BF24" s="66"/>
      <c r="BG24" s="66"/>
      <c r="BH24" s="16"/>
      <c r="BI24" s="16"/>
      <c r="BJ24" s="16"/>
      <c r="BK24" s="16"/>
      <c r="BL24" s="16"/>
      <c r="BM24" s="16"/>
      <c r="BN24" s="16"/>
    </row>
    <row r="25" ht="13.5" customHeight="1" spans="1:66" x14ac:dyDescent="0.25">
      <c r="A25" s="4"/>
      <c r="B25" s="4"/>
      <c r="C25" s="47"/>
      <c r="D25" s="84"/>
      <c r="E25" s="84"/>
      <c r="F25" s="84"/>
      <c r="G25" s="84"/>
      <c r="H25" s="84"/>
      <c r="I25" s="84" t="s">
        <v>522</v>
      </c>
      <c r="J25" s="84"/>
      <c r="K25" s="84"/>
      <c r="L25" s="84"/>
      <c r="M25" s="84"/>
      <c r="N25" s="84"/>
      <c r="O25" s="84"/>
      <c r="P25" s="84" t="s">
        <v>523</v>
      </c>
      <c r="Q25" s="345" t="s">
        <v>524</v>
      </c>
      <c r="R25" s="84" t="s">
        <v>525</v>
      </c>
      <c r="S25" s="84" t="s">
        <v>526</v>
      </c>
      <c r="T25" s="84" t="s">
        <v>527</v>
      </c>
      <c r="U25" s="84"/>
      <c r="V25" s="84"/>
      <c r="W25" s="16"/>
      <c r="X25" s="4"/>
      <c r="Y25" s="47"/>
      <c r="Z25" s="84"/>
      <c r="AA25" s="84"/>
      <c r="AB25" s="84"/>
      <c r="AC25" s="84"/>
      <c r="AD25" s="84"/>
      <c r="AE25" s="84" t="s">
        <v>522</v>
      </c>
      <c r="AF25" s="84"/>
      <c r="AG25" s="84"/>
      <c r="AH25" s="84"/>
      <c r="AI25" s="84"/>
      <c r="AJ25" s="84"/>
      <c r="AK25" s="84"/>
      <c r="AL25" s="84" t="s">
        <v>523</v>
      </c>
      <c r="AM25" s="345" t="s">
        <v>524</v>
      </c>
      <c r="AN25" s="84" t="s">
        <v>525</v>
      </c>
      <c r="AO25" s="84" t="s">
        <v>526</v>
      </c>
      <c r="AP25" s="84" t="s">
        <v>527</v>
      </c>
      <c r="AQ25" s="84"/>
      <c r="AR25" s="84"/>
      <c r="AS25" s="4"/>
      <c r="AT25" s="4"/>
      <c r="AU25" s="47"/>
      <c r="AV25" s="84"/>
      <c r="AW25" s="84"/>
      <c r="AX25" s="84"/>
      <c r="AY25" s="84"/>
      <c r="AZ25" s="84"/>
      <c r="BA25" s="84" t="s">
        <v>522</v>
      </c>
      <c r="BB25" s="84"/>
      <c r="BC25" s="84"/>
      <c r="BD25" s="84"/>
      <c r="BE25" s="84"/>
      <c r="BF25" s="84"/>
      <c r="BG25" s="84"/>
      <c r="BH25" s="84" t="s">
        <v>523</v>
      </c>
      <c r="BI25" s="345" t="s">
        <v>524</v>
      </c>
      <c r="BJ25" s="84" t="s">
        <v>525</v>
      </c>
      <c r="BK25" s="84" t="s">
        <v>526</v>
      </c>
      <c r="BL25" s="84" t="s">
        <v>527</v>
      </c>
      <c r="BM25" s="84"/>
      <c r="BN25" s="84"/>
    </row>
    <row r="26" ht="13.5" customHeight="1" spans="1:66" x14ac:dyDescent="0.25">
      <c r="A26" s="4"/>
      <c r="B26" s="4"/>
      <c r="C26" s="47"/>
      <c r="D26" s="139"/>
      <c r="E26" s="84"/>
      <c r="F26" s="538" t="s">
        <v>25</v>
      </c>
      <c r="G26" s="538" t="s">
        <v>298</v>
      </c>
      <c r="H26" s="538" t="s">
        <v>528</v>
      </c>
      <c r="I26" s="538" t="s">
        <v>529</v>
      </c>
      <c r="J26" s="538" t="s">
        <v>530</v>
      </c>
      <c r="K26" s="538" t="s">
        <v>531</v>
      </c>
      <c r="L26" s="538" t="s">
        <v>532</v>
      </c>
      <c r="M26" s="538" t="s">
        <v>496</v>
      </c>
      <c r="N26" s="538" t="s">
        <v>292</v>
      </c>
      <c r="O26" s="538" t="s">
        <v>533</v>
      </c>
      <c r="P26" s="538" t="s">
        <v>534</v>
      </c>
      <c r="Q26" s="578" t="s">
        <v>535</v>
      </c>
      <c r="R26" s="538" t="s">
        <v>534</v>
      </c>
      <c r="S26" s="538" t="s">
        <v>536</v>
      </c>
      <c r="T26" s="538" t="s">
        <v>536</v>
      </c>
      <c r="U26" s="538" t="s">
        <v>537</v>
      </c>
      <c r="V26" s="538" t="s">
        <v>538</v>
      </c>
      <c r="W26" s="16"/>
      <c r="X26" s="4"/>
      <c r="Y26" s="47"/>
      <c r="Z26" s="139"/>
      <c r="AA26" s="84"/>
      <c r="AB26" s="538" t="s">
        <v>25</v>
      </c>
      <c r="AC26" s="538" t="s">
        <v>298</v>
      </c>
      <c r="AD26" s="538" t="s">
        <v>528</v>
      </c>
      <c r="AE26" s="538" t="s">
        <v>529</v>
      </c>
      <c r="AF26" s="538" t="s">
        <v>530</v>
      </c>
      <c r="AG26" s="538" t="s">
        <v>531</v>
      </c>
      <c r="AH26" s="538" t="s">
        <v>532</v>
      </c>
      <c r="AI26" s="538" t="s">
        <v>496</v>
      </c>
      <c r="AJ26" s="538" t="s">
        <v>292</v>
      </c>
      <c r="AK26" s="538" t="s">
        <v>533</v>
      </c>
      <c r="AL26" s="538" t="s">
        <v>534</v>
      </c>
      <c r="AM26" s="578" t="s">
        <v>535</v>
      </c>
      <c r="AN26" s="538" t="s">
        <v>534</v>
      </c>
      <c r="AO26" s="538" t="s">
        <v>536</v>
      </c>
      <c r="AP26" s="538" t="s">
        <v>536</v>
      </c>
      <c r="AQ26" s="538" t="s">
        <v>537</v>
      </c>
      <c r="AR26" s="538" t="s">
        <v>538</v>
      </c>
      <c r="AS26" s="4"/>
      <c r="AT26" s="4"/>
      <c r="AU26" s="47"/>
      <c r="AV26" s="139"/>
      <c r="AW26" s="84"/>
      <c r="AX26" s="538" t="s">
        <v>25</v>
      </c>
      <c r="AY26" s="538" t="s">
        <v>298</v>
      </c>
      <c r="AZ26" s="538" t="s">
        <v>528</v>
      </c>
      <c r="BA26" s="538" t="s">
        <v>529</v>
      </c>
      <c r="BB26" s="538" t="s">
        <v>530</v>
      </c>
      <c r="BC26" s="538" t="s">
        <v>531</v>
      </c>
      <c r="BD26" s="538" t="s">
        <v>532</v>
      </c>
      <c r="BE26" s="538" t="s">
        <v>496</v>
      </c>
      <c r="BF26" s="538" t="s">
        <v>292</v>
      </c>
      <c r="BG26" s="538" t="s">
        <v>533</v>
      </c>
      <c r="BH26" s="538" t="s">
        <v>534</v>
      </c>
      <c r="BI26" s="578" t="s">
        <v>535</v>
      </c>
      <c r="BJ26" s="538" t="s">
        <v>534</v>
      </c>
      <c r="BK26" s="538" t="s">
        <v>536</v>
      </c>
      <c r="BL26" s="538" t="s">
        <v>536</v>
      </c>
      <c r="BM26" s="538" t="s">
        <v>537</v>
      </c>
      <c r="BN26" s="538" t="s">
        <v>538</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539</v>
      </c>
      <c r="V28" s="64" t="s">
        <v>540</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539</v>
      </c>
      <c r="AR28" s="64" t="s">
        <v>540</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539</v>
      </c>
      <c r="BN28" s="64" t="s">
        <v>540</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26</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541</v>
      </c>
      <c r="V30" s="84" t="s">
        <v>540</v>
      </c>
      <c r="W30" s="16"/>
      <c r="X30" s="4"/>
      <c r="Y30" s="47"/>
      <c r="Z30" s="16" t="e">
        <f t="shared" ref="Z30:Z34" si="16">Z53</f>
        <v>#NAME?</v>
      </c>
      <c r="AA30" s="16"/>
      <c r="AB30" s="84" t="s">
        <v>499</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542</v>
      </c>
      <c r="AR30" s="84" t="s">
        <v>543</v>
      </c>
      <c r="AS30" s="4"/>
      <c r="AT30" s="4"/>
      <c r="AU30" s="47"/>
      <c r="AV30" s="16" t="e">
        <f t="shared" ref="AV30:AV34" si="17">AV53</f>
        <v>#NAME?</v>
      </c>
      <c r="AW30" s="16"/>
      <c r="AX30" s="84" t="s">
        <v>500</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544</v>
      </c>
      <c r="BN30" s="84" t="s">
        <v>543</v>
      </c>
    </row>
    <row r="31" ht="13.5" customHeight="1" spans="1:66" x14ac:dyDescent="0.25">
      <c r="A31" s="4"/>
      <c r="B31" s="4"/>
      <c r="C31" s="47"/>
      <c r="D31" s="16" t="e">
        <f>D54</f>
        <v>#NAME?</v>
      </c>
      <c r="E31" s="16"/>
      <c r="F31" s="84" t="s">
        <v>501</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545</v>
      </c>
      <c r="V31" s="84" t="s">
        <v>540</v>
      </c>
      <c r="W31" s="16"/>
      <c r="X31" s="4"/>
      <c r="Y31" s="47"/>
      <c r="Z31" s="16" t="e">
        <f>Z54</f>
        <v>#NAME?</v>
      </c>
      <c r="AA31" s="16"/>
      <c r="AB31" s="84" t="s">
        <v>502</v>
      </c>
      <c r="AC31" s="547">
        <v>0.14074</v>
      </c>
      <c r="AD31" s="581">
        <v>1.62028</v>
      </c>
      <c r="AE31" s="547">
        <v>0</v>
      </c>
      <c r="AF31" s="547">
        <v>0.21877749021799892</v>
      </c>
      <c r="AG31" s="547">
        <v>0.032482000000000004</v>
      </c>
      <c r="AH31" s="547">
        <v>-0.016131</v>
      </c>
      <c r="AI31" s="551">
        <v>138.5723</v>
      </c>
      <c r="AJ31" s="551" t="s">
        <v>503</v>
      </c>
      <c r="AK31" s="551" t="s">
        <v>503</v>
      </c>
      <c r="AL31" s="551" t="s">
        <v>503</v>
      </c>
      <c r="AM31" s="551" t="s">
        <v>503</v>
      </c>
      <c r="AN31" s="551" t="s">
        <v>503</v>
      </c>
      <c r="AO31" s="581">
        <v>0.40835</v>
      </c>
      <c r="AP31" s="581">
        <v>1.3937</v>
      </c>
      <c r="AQ31" s="84" t="s">
        <v>546</v>
      </c>
      <c r="AR31" s="84" t="s">
        <v>543</v>
      </c>
      <c r="AS31" s="4"/>
      <c r="AT31" s="4"/>
      <c r="AU31" s="47"/>
      <c r="AV31" s="16" t="e">
        <f>AV54</f>
        <v>#NAME?</v>
      </c>
      <c r="AW31" s="16"/>
      <c r="AX31" s="84" t="s">
        <v>504</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503</v>
      </c>
      <c r="BK31" s="581">
        <v>1.21993</v>
      </c>
      <c r="BL31" s="581">
        <v>1.57684</v>
      </c>
      <c r="BM31" s="84" t="s">
        <v>539</v>
      </c>
      <c r="BN31" s="84" t="s">
        <v>547</v>
      </c>
    </row>
    <row r="32" ht="13.5" customHeight="1" spans="1:66" x14ac:dyDescent="0.25">
      <c r="A32" s="4"/>
      <c r="B32" s="4"/>
      <c r="C32" s="47"/>
      <c r="D32" s="16" t="e">
        <f>D55</f>
        <v>#NAME?</v>
      </c>
      <c r="E32" s="16"/>
      <c r="F32" s="84" t="s">
        <v>505</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545</v>
      </c>
      <c r="V32" s="84" t="s">
        <v>540</v>
      </c>
      <c r="W32" s="16"/>
      <c r="X32" s="4"/>
      <c r="Y32" s="47"/>
      <c r="Z32" s="16" t="e">
        <f>Z55</f>
        <v>#NAME?</v>
      </c>
      <c r="AA32" s="16"/>
      <c r="AB32" s="84" t="s">
        <v>506</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546</v>
      </c>
      <c r="AR32" s="84" t="s">
        <v>543</v>
      </c>
      <c r="AS32" s="4"/>
      <c r="AT32" s="4"/>
      <c r="AU32" s="47"/>
      <c r="AV32" s="16" t="e">
        <f>AV55</f>
        <v>#NAME?</v>
      </c>
      <c r="AW32" s="16"/>
      <c r="AX32" s="84" t="s">
        <v>507</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548</v>
      </c>
      <c r="BN32" s="84" t="s">
        <v>540</v>
      </c>
    </row>
    <row r="33" ht="13.5" customHeight="1" spans="1:66" x14ac:dyDescent="0.25">
      <c r="A33" s="4"/>
      <c r="B33" s="4"/>
      <c r="C33" s="47"/>
      <c r="D33" s="16" t="e">
        <f>D56</f>
        <v>#NAME?</v>
      </c>
      <c r="E33" s="16"/>
      <c r="F33" s="84" t="s">
        <v>508</v>
      </c>
      <c r="G33" s="550">
        <v>0.138266</v>
      </c>
      <c r="H33" s="581">
        <v>1.27315</v>
      </c>
      <c r="I33" s="550">
        <v>0</v>
      </c>
      <c r="J33" s="550">
        <v>0.2868426045457575</v>
      </c>
      <c r="K33" s="550">
        <v>-0.294551</v>
      </c>
      <c r="L33" s="550">
        <v>-0.081478</v>
      </c>
      <c r="M33" s="551">
        <v>0.462335</v>
      </c>
      <c r="N33" s="551" t="s">
        <v>503</v>
      </c>
      <c r="O33" s="551">
        <v>0.859896</v>
      </c>
      <c r="P33" s="551" t="s">
        <v>503</v>
      </c>
      <c r="Q33" s="551" t="s">
        <v>503</v>
      </c>
      <c r="R33" s="551" t="s">
        <v>503</v>
      </c>
      <c r="S33" s="581">
        <v>4.91787</v>
      </c>
      <c r="T33" s="581">
        <v>5.00201</v>
      </c>
      <c r="U33" s="84" t="s">
        <v>545</v>
      </c>
      <c r="V33" s="84" t="s">
        <v>540</v>
      </c>
      <c r="W33" s="16"/>
      <c r="X33" s="4"/>
      <c r="Y33" s="47"/>
      <c r="Z33" s="16" t="e">
        <f>Z56</f>
        <v>#NAME?</v>
      </c>
      <c r="AA33" s="16"/>
      <c r="AB33" s="84" t="s">
        <v>509</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542</v>
      </c>
      <c r="AR33" s="84" t="s">
        <v>540</v>
      </c>
      <c r="AS33" s="4"/>
      <c r="AT33" s="4"/>
      <c r="AU33" s="47"/>
      <c r="AV33" s="16" t="e">
        <f>AV56</f>
        <v>#NAME?</v>
      </c>
      <c r="AW33" s="16"/>
      <c r="AX33" s="84" t="s">
        <v>510</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539</v>
      </c>
      <c r="BN33" s="84" t="s">
        <v>540</v>
      </c>
    </row>
    <row r="34" ht="13.5" customHeight="1" spans="1:66" x14ac:dyDescent="0.25">
      <c r="A34" s="4"/>
      <c r="B34" s="4"/>
      <c r="C34" s="47"/>
      <c r="D34" s="16" t="e">
        <f>D57</f>
        <v>#NAME?</v>
      </c>
      <c r="E34" s="16"/>
      <c r="F34" s="84" t="s">
        <v>511</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541</v>
      </c>
      <c r="V34" s="84" t="s">
        <v>540</v>
      </c>
      <c r="W34" s="16"/>
      <c r="X34" s="4"/>
      <c r="Y34" s="47"/>
      <c r="Z34" s="16" t="e">
        <f>Z57</f>
        <v>#NAME?</v>
      </c>
      <c r="AA34" s="16"/>
      <c r="AB34" s="84" t="s">
        <v>512</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539</v>
      </c>
      <c r="AR34" s="84" t="s">
        <v>540</v>
      </c>
      <c r="AS34" s="4"/>
      <c r="AT34" s="4"/>
      <c r="AU34" s="47"/>
      <c r="AV34" s="16" t="e">
        <f>AV57</f>
        <v>#NAME?</v>
      </c>
      <c r="AW34" s="16"/>
      <c r="AX34" s="84" t="s">
        <v>513</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548</v>
      </c>
      <c r="BN34" s="84" t="s">
        <v>540</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549</v>
      </c>
      <c r="D43" s="16"/>
      <c r="E43" s="16"/>
      <c r="F43" s="16"/>
      <c r="G43" s="595"/>
      <c r="H43" s="84"/>
      <c r="I43" s="595"/>
      <c r="J43" s="595"/>
      <c r="K43" s="595"/>
      <c r="L43" s="595"/>
      <c r="M43" s="595"/>
      <c r="N43" s="551"/>
      <c r="O43" s="595"/>
      <c r="P43" s="551"/>
      <c r="Q43" s="548"/>
      <c r="R43" s="551"/>
      <c r="S43" s="16"/>
      <c r="T43" s="595"/>
      <c r="U43" s="84"/>
      <c r="V43" s="84"/>
      <c r="W43" s="16"/>
      <c r="X43" s="4"/>
      <c r="Y43" s="47" t="s">
        <v>549</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549</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550</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537</v>
      </c>
      <c r="V68" s="538" t="s">
        <v>538</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551</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553</v>
      </c>
      <c r="E88" s="283" t="str">
        <f>Company_Name</f>
        <v>Lowe's Companies, Inc.</v>
      </c>
      <c r="F88" s="16"/>
      <c r="G88" s="190" t="s">
        <v>553</v>
      </c>
      <c r="H88" s="132"/>
      <c r="I88" s="132" t="str">
        <f>Company_Name</f>
        <v>Lowe's Companies, Inc.</v>
      </c>
      <c r="J88" s="283"/>
      <c r="K88" s="16"/>
      <c r="L88" s="190" t="s">
        <v>553</v>
      </c>
      <c r="M88" s="132"/>
      <c r="N88" s="132" t="str">
        <f>Company_Name</f>
        <v>Lowe's Companies, Inc.</v>
      </c>
      <c r="O88" s="283"/>
      <c r="P88" s="16"/>
      <c r="Q88" s="190" t="s">
        <v>554</v>
      </c>
      <c r="R88" s="132"/>
      <c r="S88" s="640" t="s">
        <v>555</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556</v>
      </c>
      <c r="E89" s="189" t="str">
        <f>Ticker</f>
        <v>LOW</v>
      </c>
      <c r="F89" s="16"/>
      <c r="G89" s="188" t="s">
        <v>556</v>
      </c>
      <c r="H89" s="16"/>
      <c r="I89" s="16" t="str">
        <f>Ticker</f>
        <v>LOW</v>
      </c>
      <c r="J89" s="189"/>
      <c r="K89" s="16"/>
      <c r="L89" s="188" t="s">
        <v>556</v>
      </c>
      <c r="M89" s="16"/>
      <c r="N89" s="16" t="str">
        <f>Ticker</f>
        <v>LOW</v>
      </c>
      <c r="O89" s="189"/>
      <c r="P89" s="16"/>
      <c r="Q89" s="188" t="s">
        <v>557</v>
      </c>
      <c r="R89" s="16"/>
      <c r="S89" s="641" t="s">
        <v>558</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559</v>
      </c>
      <c r="E90" s="642" t="s">
        <v>560</v>
      </c>
      <c r="F90" s="16"/>
      <c r="G90" s="192" t="s">
        <v>559</v>
      </c>
      <c r="H90" s="131"/>
      <c r="I90" s="131" t="str">
        <f>$E$90</f>
        <v>IQ180871</v>
      </c>
      <c r="J90" s="643"/>
      <c r="K90" s="16"/>
      <c r="L90" s="192" t="s">
        <v>559</v>
      </c>
      <c r="M90" s="131"/>
      <c r="N90" s="131" t="str">
        <f>$E$90</f>
        <v>IQ180871</v>
      </c>
      <c r="O90" s="643"/>
      <c r="P90" s="16"/>
      <c r="Q90" s="192" t="s">
        <v>561</v>
      </c>
      <c r="R90" s="131"/>
      <c r="S90" s="644" t="s">
        <v>562</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563</v>
      </c>
      <c r="E92" s="645" t="s">
        <v>564</v>
      </c>
      <c r="F92" s="16"/>
      <c r="G92" s="190" t="s">
        <v>563</v>
      </c>
      <c r="H92" s="132"/>
      <c r="I92" s="640" t="s">
        <v>565</v>
      </c>
      <c r="J92" s="283"/>
      <c r="K92" s="16"/>
      <c r="L92" s="190" t="s">
        <v>563</v>
      </c>
      <c r="M92" s="132"/>
      <c r="N92" s="640" t="s">
        <v>566</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556</v>
      </c>
      <c r="E93" s="646" t="s">
        <v>567</v>
      </c>
      <c r="F93" s="16"/>
      <c r="G93" s="188" t="s">
        <v>556</v>
      </c>
      <c r="H93" s="16"/>
      <c r="I93" s="641" t="s">
        <v>499</v>
      </c>
      <c r="J93" s="189"/>
      <c r="K93" s="16"/>
      <c r="L93" s="188" t="s">
        <v>556</v>
      </c>
      <c r="M93" s="16"/>
      <c r="N93" s="641" t="s">
        <v>500</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559</v>
      </c>
      <c r="E94" s="642" t="s">
        <v>568</v>
      </c>
      <c r="F94" s="16"/>
      <c r="G94" s="192" t="s">
        <v>559</v>
      </c>
      <c r="H94" s="131"/>
      <c r="I94" s="644" t="s">
        <v>569</v>
      </c>
      <c r="J94" s="643"/>
      <c r="K94" s="16"/>
      <c r="L94" s="192" t="s">
        <v>559</v>
      </c>
      <c r="M94" s="131"/>
      <c r="N94" s="644" t="s">
        <v>570</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563</v>
      </c>
      <c r="E96" s="645" t="s">
        <v>571</v>
      </c>
      <c r="F96" s="16"/>
      <c r="G96" s="190" t="s">
        <v>563</v>
      </c>
      <c r="H96" s="132"/>
      <c r="I96" s="640" t="s">
        <v>572</v>
      </c>
      <c r="J96" s="283"/>
      <c r="K96" s="16"/>
      <c r="L96" s="190" t="s">
        <v>563</v>
      </c>
      <c r="M96" s="132"/>
      <c r="N96" s="640" t="s">
        <v>573</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556</v>
      </c>
      <c r="E97" s="646" t="s">
        <v>452</v>
      </c>
      <c r="F97" s="16"/>
      <c r="G97" s="188" t="s">
        <v>556</v>
      </c>
      <c r="H97" s="16"/>
      <c r="I97" s="641" t="s">
        <v>502</v>
      </c>
      <c r="J97" s="189"/>
      <c r="K97" s="16"/>
      <c r="L97" s="188" t="s">
        <v>556</v>
      </c>
      <c r="M97" s="16"/>
      <c r="N97" s="641" t="s">
        <v>504</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559</v>
      </c>
      <c r="E98" s="642" t="s">
        <v>574</v>
      </c>
      <c r="F98" s="16"/>
      <c r="G98" s="192" t="s">
        <v>559</v>
      </c>
      <c r="H98" s="131"/>
      <c r="I98" s="644" t="s">
        <v>575</v>
      </c>
      <c r="J98" s="643"/>
      <c r="K98" s="16"/>
      <c r="L98" s="192" t="s">
        <v>559</v>
      </c>
      <c r="M98" s="131"/>
      <c r="N98" s="644" t="s">
        <v>576</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563</v>
      </c>
      <c r="E100" s="645" t="s">
        <v>577</v>
      </c>
      <c r="F100" s="16"/>
      <c r="G100" s="190" t="s">
        <v>563</v>
      </c>
      <c r="H100" s="132"/>
      <c r="I100" s="640" t="s">
        <v>578</v>
      </c>
      <c r="J100" s="283"/>
      <c r="K100" s="16"/>
      <c r="L100" s="190" t="s">
        <v>563</v>
      </c>
      <c r="M100" s="132"/>
      <c r="N100" s="640" t="s">
        <v>579</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556</v>
      </c>
      <c r="E101" s="646" t="s">
        <v>452</v>
      </c>
      <c r="F101" s="16"/>
      <c r="G101" s="188" t="s">
        <v>556</v>
      </c>
      <c r="H101" s="47"/>
      <c r="I101" s="641" t="s">
        <v>506</v>
      </c>
      <c r="J101" s="189"/>
      <c r="K101" s="16"/>
      <c r="L101" s="188" t="s">
        <v>556</v>
      </c>
      <c r="M101" s="47"/>
      <c r="N101" s="641" t="s">
        <v>507</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559</v>
      </c>
      <c r="E102" s="642" t="s">
        <v>580</v>
      </c>
      <c r="F102" s="16"/>
      <c r="G102" s="192" t="s">
        <v>559</v>
      </c>
      <c r="H102" s="131"/>
      <c r="I102" s="644" t="s">
        <v>581</v>
      </c>
      <c r="J102" s="643"/>
      <c r="K102" s="16"/>
      <c r="L102" s="192" t="s">
        <v>559</v>
      </c>
      <c r="M102" s="131"/>
      <c r="N102" s="644" t="s">
        <v>582</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563</v>
      </c>
      <c r="E104" s="645" t="s">
        <v>583</v>
      </c>
      <c r="F104" s="16"/>
      <c r="G104" s="190" t="s">
        <v>563</v>
      </c>
      <c r="H104" s="132"/>
      <c r="I104" s="640" t="s">
        <v>584</v>
      </c>
      <c r="J104" s="283"/>
      <c r="K104" s="16"/>
      <c r="L104" s="190" t="s">
        <v>563</v>
      </c>
      <c r="M104" s="132"/>
      <c r="N104" s="640" t="s">
        <v>585</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556</v>
      </c>
      <c r="E105" s="646" t="s">
        <v>452</v>
      </c>
      <c r="F105" s="16"/>
      <c r="G105" s="188" t="s">
        <v>556</v>
      </c>
      <c r="H105" s="16"/>
      <c r="I105" s="641" t="s">
        <v>509</v>
      </c>
      <c r="J105" s="189"/>
      <c r="K105" s="16"/>
      <c r="L105" s="188" t="s">
        <v>556</v>
      </c>
      <c r="M105" s="16"/>
      <c r="N105" s="641" t="s">
        <v>510</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559</v>
      </c>
      <c r="E106" s="642" t="s">
        <v>586</v>
      </c>
      <c r="F106" s="16"/>
      <c r="G106" s="192" t="s">
        <v>559</v>
      </c>
      <c r="H106" s="131"/>
      <c r="I106" s="644" t="s">
        <v>587</v>
      </c>
      <c r="J106" s="643"/>
      <c r="K106" s="16"/>
      <c r="L106" s="192" t="s">
        <v>559</v>
      </c>
      <c r="M106" s="131"/>
      <c r="N106" s="644" t="s">
        <v>588</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563</v>
      </c>
      <c r="E108" s="645" t="s">
        <v>589</v>
      </c>
      <c r="F108" s="16"/>
      <c r="G108" s="190" t="s">
        <v>563</v>
      </c>
      <c r="H108" s="132"/>
      <c r="I108" s="640" t="s">
        <v>590</v>
      </c>
      <c r="J108" s="283"/>
      <c r="K108" s="16"/>
      <c r="L108" s="190" t="s">
        <v>563</v>
      </c>
      <c r="M108" s="132"/>
      <c r="N108" s="640" t="s">
        <v>591</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556</v>
      </c>
      <c r="E109" s="646" t="s">
        <v>452</v>
      </c>
      <c r="F109" s="16"/>
      <c r="G109" s="188" t="s">
        <v>556</v>
      </c>
      <c r="H109" s="16"/>
      <c r="I109" s="641" t="s">
        <v>512</v>
      </c>
      <c r="J109" s="189"/>
      <c r="K109" s="16"/>
      <c r="L109" s="188" t="s">
        <v>556</v>
      </c>
      <c r="M109" s="16"/>
      <c r="N109" s="641" t="s">
        <v>513</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559</v>
      </c>
      <c r="E110" s="642" t="s">
        <v>592</v>
      </c>
      <c r="F110" s="16"/>
      <c r="G110" s="192" t="s">
        <v>559</v>
      </c>
      <c r="H110" s="131"/>
      <c r="I110" s="644" t="s">
        <v>593</v>
      </c>
      <c r="J110" s="643"/>
      <c r="K110" s="16"/>
      <c r="L110" s="192" t="s">
        <v>559</v>
      </c>
      <c r="M110" s="131"/>
      <c r="N110" s="644" t="s">
        <v>594</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595</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596</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597</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598</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599</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600</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601</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602</v>
      </c>
      <c r="D11" s="652" t="s">
        <v>603</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604</v>
      </c>
      <c r="C12" s="653" t="s">
        <v>605</v>
      </c>
      <c r="D12" s="653" t="s">
        <v>606</v>
      </c>
      <c r="E12" s="653" t="s">
        <v>607</v>
      </c>
      <c r="F12" s="653" t="s">
        <v>608</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609</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566</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566</v>
      </c>
      <c r="L14" s="16" t="s">
        <v>610</v>
      </c>
      <c r="M14" s="16" t="s">
        <v>611</v>
      </c>
      <c r="N14" s="16" t="s">
        <v>612</v>
      </c>
      <c r="O14" s="647" t="s">
        <v>613</v>
      </c>
      <c r="P14" s="647" t="e">
        <f>_xll.ciqfunctions.udf.CIQRANGEA($B14,"IQ_COMPANY_ID_QUICK_MATCH",1,5,,,,,,,"ID")</f>
        <v>#NAME?</v>
      </c>
      <c r="Q14" s="647" t="s">
        <v>570</v>
      </c>
      <c r="R14" s="647" t="s">
        <v>614</v>
      </c>
      <c r="S14" s="647" t="s">
        <v>615</v>
      </c>
      <c r="T14" s="647" t="s">
        <v>616</v>
      </c>
      <c r="U14" s="647" t="s">
        <v>617</v>
      </c>
      <c r="V14" s="16"/>
      <c r="W14" s="16"/>
      <c r="X14" s="16"/>
      <c r="Y14" s="16"/>
      <c r="Z14" s="16"/>
      <c r="AA14" s="16"/>
      <c r="AB14" s="16"/>
      <c r="AC14" s="16"/>
    </row>
    <row r="15" ht="12.75" customHeight="1" spans="1:29" x14ac:dyDescent="0.25">
      <c r="A15" s="16"/>
      <c r="B15" s="641" t="s">
        <v>618</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618</v>
      </c>
      <c r="L15" s="16" t="s">
        <v>619</v>
      </c>
      <c r="M15" s="16" t="s">
        <v>620</v>
      </c>
      <c r="N15" s="16" t="s">
        <v>621</v>
      </c>
      <c r="O15" s="647" t="s">
        <v>618</v>
      </c>
      <c r="P15" s="647" t="e">
        <f>_xll.ciqfunctions.udf.CIQRANGEA($B15,"IQ_COMPANY_ID_QUICK_MATCH",1,5,,,,,,,"ID")</f>
        <v>#NAME?</v>
      </c>
      <c r="Q15" s="647" t="s">
        <v>576</v>
      </c>
      <c r="R15" s="647" t="s">
        <v>622</v>
      </c>
      <c r="S15" s="647" t="s">
        <v>623</v>
      </c>
      <c r="T15" s="647" t="s">
        <v>624</v>
      </c>
      <c r="U15" s="647" t="s">
        <v>625</v>
      </c>
      <c r="V15" s="16"/>
      <c r="W15" s="16"/>
      <c r="X15" s="16"/>
      <c r="Y15" s="16"/>
      <c r="Z15" s="16"/>
      <c r="AA15" s="16"/>
      <c r="AB15" s="16"/>
      <c r="AC15" s="16"/>
    </row>
    <row r="16" ht="12.75" customHeight="1" spans="1:29" x14ac:dyDescent="0.25">
      <c r="A16" s="16"/>
      <c r="B16" s="641" t="s">
        <v>618</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618</v>
      </c>
      <c r="L16" s="16" t="s">
        <v>619</v>
      </c>
      <c r="M16" s="16" t="s">
        <v>620</v>
      </c>
      <c r="N16" s="16" t="s">
        <v>621</v>
      </c>
      <c r="O16" s="647" t="s">
        <v>618</v>
      </c>
      <c r="P16" s="647" t="e">
        <f>_xll.ciqfunctions.udf.CIQRANGEA($B16,"IQ_COMPANY_ID_QUICK_MATCH",1,5,,,,,,,"ID")</f>
        <v>#NAME?</v>
      </c>
      <c r="Q16" s="647" t="s">
        <v>576</v>
      </c>
      <c r="R16" s="647" t="s">
        <v>622</v>
      </c>
      <c r="S16" s="647" t="s">
        <v>623</v>
      </c>
      <c r="T16" s="647" t="s">
        <v>624</v>
      </c>
      <c r="U16" s="647" t="s">
        <v>625</v>
      </c>
      <c r="V16" s="16"/>
      <c r="W16" s="16"/>
      <c r="X16" s="16"/>
      <c r="Y16" s="16"/>
      <c r="Z16" s="16"/>
      <c r="AA16" s="16"/>
      <c r="AB16" s="16"/>
      <c r="AC16" s="16"/>
    </row>
    <row r="17" ht="12.75" customHeight="1" spans="1:29" x14ac:dyDescent="0.25">
      <c r="A17" s="16"/>
      <c r="B17" s="641" t="s">
        <v>626</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564</v>
      </c>
      <c r="L17" s="16" t="s">
        <v>627</v>
      </c>
      <c r="M17" s="16" t="s">
        <v>626</v>
      </c>
      <c r="N17" s="16" t="s">
        <v>628</v>
      </c>
      <c r="O17" s="647" t="s">
        <v>629</v>
      </c>
      <c r="P17" s="647" t="e">
        <f>_xll.ciqfunctions.udf.CIQRANGEA($B17,"IQ_COMPANY_ID_QUICK_MATCH",1,5,,,,,,,"ID")</f>
        <v>#NAME?</v>
      </c>
      <c r="Q17" s="647" t="s">
        <v>568</v>
      </c>
      <c r="R17" s="647" t="s">
        <v>630</v>
      </c>
      <c r="S17" s="647" t="s">
        <v>631</v>
      </c>
      <c r="T17" s="647" t="s">
        <v>632</v>
      </c>
      <c r="U17" s="647" t="s">
        <v>633</v>
      </c>
      <c r="V17" s="16"/>
      <c r="W17" s="16"/>
      <c r="X17" s="16"/>
      <c r="Y17" s="16"/>
      <c r="Z17" s="16"/>
      <c r="AA17" s="16"/>
      <c r="AB17" s="16"/>
      <c r="AC17" s="16"/>
    </row>
    <row r="18" ht="12.75" customHeight="1" spans="1:29" x14ac:dyDescent="0.25">
      <c r="A18" s="16"/>
      <c r="B18" s="641" t="s">
        <v>634</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634</v>
      </c>
      <c r="L18" s="16" t="s">
        <v>635</v>
      </c>
      <c r="M18" s="16" t="s">
        <v>636</v>
      </c>
      <c r="N18" s="16" t="s">
        <v>637</v>
      </c>
      <c r="O18" s="647"/>
      <c r="P18" s="647" t="e">
        <f>_xll.ciqfunctions.udf.CIQRANGEA($B18,"IQ_COMPANY_ID_QUICK_MATCH",1,5,,,,,,,"ID")</f>
        <v>#NAME?</v>
      </c>
      <c r="Q18" s="647" t="s">
        <v>588</v>
      </c>
      <c r="R18" s="647" t="s">
        <v>638</v>
      </c>
      <c r="S18" s="647" t="s">
        <v>639</v>
      </c>
      <c r="T18" s="647" t="s">
        <v>640</v>
      </c>
      <c r="U18" s="647"/>
      <c r="V18" s="16"/>
      <c r="W18" s="16"/>
      <c r="X18" s="16"/>
      <c r="Y18" s="16"/>
      <c r="Z18" s="16"/>
      <c r="AA18" s="16"/>
      <c r="AB18" s="16"/>
      <c r="AC18" s="16"/>
    </row>
    <row r="19" ht="12.75" customHeight="1" spans="1:29" x14ac:dyDescent="0.25">
      <c r="A19" s="16"/>
      <c r="B19" s="641" t="s">
        <v>641</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641</v>
      </c>
      <c r="L19" s="16" t="s">
        <v>642</v>
      </c>
      <c r="M19" s="16" t="s">
        <v>643</v>
      </c>
      <c r="N19" s="16" t="s">
        <v>644</v>
      </c>
      <c r="O19" s="647" t="s">
        <v>645</v>
      </c>
      <c r="P19" s="647" t="e">
        <f>_xll.ciqfunctions.udf.CIQRANGEA($B19,"IQ_COMPANY_ID_QUICK_MATCH",1,5,,,,,,,"ID")</f>
        <v>#NAME?</v>
      </c>
      <c r="Q19" s="647" t="s">
        <v>594</v>
      </c>
      <c r="R19" s="647" t="s">
        <v>646</v>
      </c>
      <c r="S19" s="647" t="s">
        <v>647</v>
      </c>
      <c r="T19" s="647" t="s">
        <v>648</v>
      </c>
      <c r="U19" s="647" t="s">
        <v>649</v>
      </c>
      <c r="V19" s="16"/>
      <c r="W19" s="16"/>
      <c r="X19" s="16"/>
      <c r="Y19" s="16"/>
      <c r="Z19" s="16"/>
      <c r="AA19" s="16"/>
      <c r="AB19" s="16"/>
      <c r="AC19" s="16"/>
    </row>
    <row r="20" ht="12.75" customHeight="1" spans="1:29" x14ac:dyDescent="0.25">
      <c r="A20" s="16"/>
      <c r="B20" s="641" t="s">
        <v>571</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24</v>
      </c>
      <c r="L20" s="16" t="s">
        <v>571</v>
      </c>
      <c r="M20" s="16" t="s">
        <v>650</v>
      </c>
      <c r="N20" s="16" t="s">
        <v>651</v>
      </c>
      <c r="O20" s="647" t="s">
        <v>24</v>
      </c>
      <c r="P20" s="647" t="e">
        <f>_xll.ciqfunctions.udf.CIQRANGEA($B20,"IQ_COMPANY_ID_QUICK_MATCH",1,5,,,,,,,"ID")</f>
        <v>#NAME?</v>
      </c>
      <c r="Q20" s="647" t="s">
        <v>652</v>
      </c>
      <c r="R20" s="647" t="s">
        <v>653</v>
      </c>
      <c r="S20" s="647" t="s">
        <v>654</v>
      </c>
      <c r="T20" s="647" t="s">
        <v>655</v>
      </c>
      <c r="U20" s="647" t="s">
        <v>656</v>
      </c>
      <c r="V20" s="16"/>
      <c r="W20" s="16"/>
      <c r="X20" s="16"/>
      <c r="Y20" s="16"/>
      <c r="Z20" s="16"/>
      <c r="AA20" s="16"/>
      <c r="AB20" s="16"/>
      <c r="AC20" s="16"/>
    </row>
    <row r="21" ht="12.75" customHeight="1" spans="1:29" x14ac:dyDescent="0.25">
      <c r="A21" s="16"/>
      <c r="B21" s="641" t="s">
        <v>657</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658</v>
      </c>
      <c r="L21" s="16" t="s">
        <v>659</v>
      </c>
      <c r="M21" s="16" t="s">
        <v>660</v>
      </c>
      <c r="N21" s="16" t="s">
        <v>661</v>
      </c>
      <c r="O21" s="647" t="s">
        <v>662</v>
      </c>
      <c r="P21" s="647" t="e">
        <f>_xll.ciqfunctions.udf.CIQRANGEA($B21,"IQ_COMPANY_ID_QUICK_MATCH",1,5,,,,,,,"ID")</f>
        <v>#NAME?</v>
      </c>
      <c r="Q21" s="647" t="s">
        <v>663</v>
      </c>
      <c r="R21" s="647" t="s">
        <v>664</v>
      </c>
      <c r="S21" s="647" t="s">
        <v>665</v>
      </c>
      <c r="T21" s="647" t="s">
        <v>666</v>
      </c>
      <c r="U21" s="647" t="s">
        <v>667</v>
      </c>
      <c r="V21" s="16"/>
      <c r="W21" s="16"/>
      <c r="X21" s="16"/>
      <c r="Y21" s="16"/>
      <c r="Z21" s="16"/>
      <c r="AA21" s="16"/>
      <c r="AB21" s="16"/>
      <c r="AC21" s="16"/>
    </row>
    <row r="22" ht="12.75" customHeight="1" spans="1:29" x14ac:dyDescent="0.25">
      <c r="A22" s="16"/>
      <c r="B22" s="641" t="s">
        <v>668</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669</v>
      </c>
      <c r="L22" s="16" t="s">
        <v>670</v>
      </c>
      <c r="M22" s="16" t="s">
        <v>671</v>
      </c>
      <c r="N22" s="16" t="s">
        <v>672</v>
      </c>
      <c r="O22" s="647" t="s">
        <v>673</v>
      </c>
      <c r="P22" s="647" t="e">
        <f>_xll.ciqfunctions.udf.CIQRANGEA($B22,"IQ_COMPANY_ID_QUICK_MATCH",1,5,,,,,,,"ID")</f>
        <v>#NAME?</v>
      </c>
      <c r="Q22" s="647" t="s">
        <v>674</v>
      </c>
      <c r="R22" s="647" t="s">
        <v>675</v>
      </c>
      <c r="S22" s="647" t="s">
        <v>676</v>
      </c>
      <c r="T22" s="647" t="s">
        <v>677</v>
      </c>
      <c r="U22" s="647" t="s">
        <v>678</v>
      </c>
      <c r="V22" s="16"/>
      <c r="W22" s="16"/>
      <c r="X22" s="16"/>
      <c r="Y22" s="16"/>
      <c r="Z22" s="16"/>
      <c r="AA22" s="16"/>
      <c r="AB22" s="16"/>
      <c r="AC22" s="16"/>
    </row>
    <row r="23" ht="12.75" customHeight="1" spans="1:29" x14ac:dyDescent="0.25">
      <c r="A23" s="16"/>
      <c r="B23" s="641" t="s">
        <v>679</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680</v>
      </c>
      <c r="L23" s="16" t="s">
        <v>681</v>
      </c>
      <c r="M23" s="16" t="s">
        <v>682</v>
      </c>
      <c r="N23" s="16" t="s">
        <v>683</v>
      </c>
      <c r="O23" s="647" t="s">
        <v>684</v>
      </c>
      <c r="P23" s="647" t="e">
        <f>_xll.ciqfunctions.udf.CIQRANGEA($B23,"IQ_COMPANY_ID_QUICK_MATCH",1,5,,,,,,,"ID")</f>
        <v>#NAME?</v>
      </c>
      <c r="Q23" s="647" t="s">
        <v>685</v>
      </c>
      <c r="R23" s="647" t="s">
        <v>686</v>
      </c>
      <c r="S23" s="647" t="s">
        <v>687</v>
      </c>
      <c r="T23" s="647" t="s">
        <v>688</v>
      </c>
      <c r="U23" s="647" t="s">
        <v>689</v>
      </c>
      <c r="V23" s="16"/>
      <c r="W23" s="16"/>
      <c r="X23" s="16"/>
      <c r="Y23" s="16"/>
      <c r="Z23" s="16"/>
      <c r="AA23" s="16"/>
      <c r="AB23" s="16"/>
      <c r="AC23" s="16"/>
    </row>
    <row r="24" ht="12.75" customHeight="1" spans="1:29" x14ac:dyDescent="0.25">
      <c r="A24" s="16"/>
      <c r="B24" s="641" t="s">
        <v>690</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691</v>
      </c>
      <c r="L24" s="16" t="s">
        <v>692</v>
      </c>
      <c r="M24" s="16" t="s">
        <v>693</v>
      </c>
      <c r="N24" s="16" t="s">
        <v>694</v>
      </c>
      <c r="O24" s="647" t="s">
        <v>695</v>
      </c>
      <c r="P24" s="647" t="e">
        <f>_xll.ciqfunctions.udf.CIQRANGEA($B24,"IQ_COMPANY_ID_QUICK_MATCH",1,5,,,,,,,"ID")</f>
        <v>#NAME?</v>
      </c>
      <c r="Q24" s="647" t="s">
        <v>696</v>
      </c>
      <c r="R24" s="647" t="s">
        <v>697</v>
      </c>
      <c r="S24" s="647" t="s">
        <v>698</v>
      </c>
      <c r="T24" s="647" t="s">
        <v>699</v>
      </c>
      <c r="U24" s="647" t="s">
        <v>700</v>
      </c>
      <c r="V24" s="16"/>
      <c r="W24" s="16"/>
      <c r="X24" s="16"/>
      <c r="Y24" s="16"/>
      <c r="Z24" s="16"/>
      <c r="AA24" s="16"/>
      <c r="AB24" s="16"/>
      <c r="AC24" s="16"/>
    </row>
    <row r="25" ht="12.75" customHeight="1" spans="1:29" x14ac:dyDescent="0.25">
      <c r="A25" s="16"/>
      <c r="B25" s="641" t="s">
        <v>701</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701</v>
      </c>
      <c r="L25" s="16" t="s">
        <v>702</v>
      </c>
      <c r="M25" s="16" t="s">
        <v>703</v>
      </c>
      <c r="N25" s="16" t="s">
        <v>704</v>
      </c>
      <c r="O25" s="647" t="s">
        <v>705</v>
      </c>
      <c r="P25" s="647" t="e">
        <f>_xll.ciqfunctions.udf.CIQRANGEA($B25,"IQ_COMPANY_ID_QUICK_MATCH",1,5,,,,,,,"ID")</f>
        <v>#NAME?</v>
      </c>
      <c r="Q25" s="647" t="s">
        <v>706</v>
      </c>
      <c r="R25" s="647" t="s">
        <v>707</v>
      </c>
      <c r="S25" s="647" t="s">
        <v>708</v>
      </c>
      <c r="T25" s="647" t="s">
        <v>709</v>
      </c>
      <c r="U25" s="647" t="s">
        <v>710</v>
      </c>
      <c r="V25" s="16"/>
      <c r="W25" s="16"/>
      <c r="X25" s="16"/>
      <c r="Y25" s="16"/>
      <c r="Z25" s="16"/>
      <c r="AA25" s="16"/>
      <c r="AB25" s="16"/>
      <c r="AC25" s="16"/>
    </row>
    <row r="26" ht="12.75" customHeight="1" spans="1:29" x14ac:dyDescent="0.25">
      <c r="A26" s="16"/>
      <c r="B26" s="641" t="s">
        <v>711</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712</v>
      </c>
      <c r="L26" s="16" t="s">
        <v>713</v>
      </c>
      <c r="M26" s="16" t="s">
        <v>714</v>
      </c>
      <c r="N26" s="16" t="s">
        <v>715</v>
      </c>
      <c r="O26" s="647" t="s">
        <v>716</v>
      </c>
      <c r="P26" s="647" t="e">
        <f>_xll.ciqfunctions.udf.CIQRANGEA($B26,"IQ_COMPANY_ID_QUICK_MATCH",1,5,,,,,,,"ID")</f>
        <v>#NAME?</v>
      </c>
      <c r="Q26" s="647" t="s">
        <v>717</v>
      </c>
      <c r="R26" s="647" t="s">
        <v>718</v>
      </c>
      <c r="S26" s="647" t="s">
        <v>719</v>
      </c>
      <c r="T26" s="647" t="s">
        <v>720</v>
      </c>
      <c r="U26" s="647" t="s">
        <v>721</v>
      </c>
      <c r="V26" s="16"/>
      <c r="W26" s="16"/>
      <c r="X26" s="16"/>
      <c r="Y26" s="16"/>
      <c r="Z26" s="16"/>
      <c r="AA26" s="16"/>
      <c r="AB26" s="16"/>
      <c r="AC26" s="16"/>
    </row>
    <row r="27" ht="12.75" customHeight="1" spans="1:29" x14ac:dyDescent="0.25">
      <c r="A27" s="16"/>
      <c r="B27" s="641" t="s">
        <v>722</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723</v>
      </c>
      <c r="L27" s="16" t="s">
        <v>724</v>
      </c>
      <c r="M27" s="16" t="s">
        <v>725</v>
      </c>
      <c r="N27" s="16" t="s">
        <v>726</v>
      </c>
      <c r="O27" s="647" t="s">
        <v>727</v>
      </c>
      <c r="P27" s="647" t="e">
        <f>_xll.ciqfunctions.udf.CIQRANGEA($B27,"IQ_COMPANY_ID_QUICK_MATCH",1,5,,,,,,,"ID")</f>
        <v>#NAME?</v>
      </c>
      <c r="Q27" s="647" t="s">
        <v>728</v>
      </c>
      <c r="R27" s="647" t="s">
        <v>729</v>
      </c>
      <c r="S27" s="647" t="s">
        <v>730</v>
      </c>
      <c r="T27" s="647" t="s">
        <v>731</v>
      </c>
      <c r="U27" s="647" t="s">
        <v>732</v>
      </c>
      <c r="V27" s="16"/>
      <c r="W27" s="16"/>
      <c r="X27" s="16"/>
      <c r="Y27" s="16"/>
      <c r="Z27" s="16"/>
      <c r="AA27" s="16"/>
      <c r="AB27" s="16"/>
      <c r="AC27" s="16"/>
    </row>
    <row r="28" ht="12.75" customHeight="1" spans="1:29" x14ac:dyDescent="0.25">
      <c r="A28" s="16"/>
      <c r="B28" s="641" t="s">
        <v>733</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734</v>
      </c>
      <c r="L28" s="16" t="s">
        <v>735</v>
      </c>
      <c r="M28" s="16" t="s">
        <v>736</v>
      </c>
      <c r="N28" s="16" t="s">
        <v>737</v>
      </c>
      <c r="O28" s="647" t="s">
        <v>738</v>
      </c>
      <c r="P28" s="647" t="e">
        <f>_xll.ciqfunctions.udf.CIQRANGEA($B28,"IQ_COMPANY_ID_QUICK_MATCH",1,5,,,,,,,"ID")</f>
        <v>#NAME?</v>
      </c>
      <c r="Q28" s="647" t="s">
        <v>739</v>
      </c>
      <c r="R28" s="647" t="s">
        <v>740</v>
      </c>
      <c r="S28" s="647" t="s">
        <v>741</v>
      </c>
      <c r="T28" s="647" t="s">
        <v>742</v>
      </c>
      <c r="U28" s="647" t="s">
        <v>743</v>
      </c>
      <c r="V28" s="16"/>
      <c r="W28" s="16"/>
      <c r="X28" s="16"/>
      <c r="Y28" s="16"/>
      <c r="Z28" s="16"/>
      <c r="AA28" s="16"/>
      <c r="AB28" s="16"/>
      <c r="AC28" s="16"/>
    </row>
    <row r="29" ht="12.75" customHeight="1" spans="1:29" x14ac:dyDescent="0.25">
      <c r="A29" s="16"/>
      <c r="B29" s="641" t="s">
        <v>744</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745</v>
      </c>
      <c r="L29" s="16" t="s">
        <v>746</v>
      </c>
      <c r="M29" s="16"/>
      <c r="N29" s="16"/>
      <c r="O29" s="647"/>
      <c r="P29" s="647" t="e">
        <f>_xll.ciqfunctions.udf.CIQRANGEA($B29,"IQ_COMPANY_ID_QUICK_MATCH",1,5,,,,,,,"ID")</f>
        <v>#NAME?</v>
      </c>
      <c r="Q29" s="647" t="s">
        <v>747</v>
      </c>
      <c r="R29" s="647" t="s">
        <v>748</v>
      </c>
      <c r="S29" s="647"/>
      <c r="T29" s="647"/>
      <c r="U29" s="647"/>
      <c r="V29" s="16"/>
      <c r="W29" s="16"/>
      <c r="X29" s="16"/>
      <c r="Y29" s="16"/>
      <c r="Z29" s="16"/>
      <c r="AA29" s="16"/>
      <c r="AB29" s="16"/>
      <c r="AC29" s="16"/>
    </row>
    <row r="30" ht="12.75" customHeight="1" spans="1:29" x14ac:dyDescent="0.25">
      <c r="A30" s="16"/>
      <c r="B30" s="641" t="s">
        <v>749</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750</v>
      </c>
      <c r="L30" s="16"/>
      <c r="M30" s="16"/>
      <c r="N30" s="16"/>
      <c r="O30" s="647"/>
      <c r="P30" s="647" t="e">
        <f>_xll.ciqfunctions.udf.CIQRANGEA($B30,"IQ_COMPANY_ID_QUICK_MATCH",1,5,,,,,,,"ID")</f>
        <v>#NAME?</v>
      </c>
      <c r="Q30" s="647" t="s">
        <v>751</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752</v>
      </c>
      <c r="D4" s="19"/>
      <c r="E4" s="19"/>
      <c r="F4" s="19"/>
      <c r="G4" s="20"/>
      <c r="H4" s="16"/>
      <c r="I4" s="16"/>
      <c r="J4" s="18" t="s">
        <v>753</v>
      </c>
      <c r="K4" s="19"/>
      <c r="L4" s="19"/>
      <c r="M4" s="63" t="s">
        <v>754</v>
      </c>
      <c r="N4" s="63" t="s">
        <v>755</v>
      </c>
      <c r="O4" s="64" t="s">
        <v>756</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757</v>
      </c>
      <c r="D6" s="16"/>
      <c r="E6" s="16"/>
      <c r="F6" s="16"/>
      <c r="G6" s="656">
        <v>0.0349</v>
      </c>
      <c r="H6" s="16"/>
      <c r="I6" s="16"/>
      <c r="J6" s="16" t="s">
        <v>758</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759</v>
      </c>
      <c r="D7" s="16"/>
      <c r="E7" s="16"/>
      <c r="F7" s="16"/>
      <c r="G7" s="656">
        <v>0.049</v>
      </c>
      <c r="H7" s="16"/>
      <c r="I7" s="16"/>
      <c r="J7" s="16" t="s">
        <v>760</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761</v>
      </c>
      <c r="D8" s="16"/>
      <c r="E8" s="16"/>
      <c r="F8" s="16"/>
      <c r="G8" s="656">
        <v>0.0169</v>
      </c>
      <c r="H8" s="16"/>
      <c r="I8" s="16"/>
      <c r="J8" s="16" t="s">
        <v>762</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763</v>
      </c>
      <c r="D9" s="16"/>
      <c r="E9" s="16"/>
      <c r="F9" s="16"/>
      <c r="G9" s="153">
        <f>Tax_Rate</f>
        <v>0.2443665498247371</v>
      </c>
      <c r="H9" s="16"/>
      <c r="I9" s="16"/>
      <c r="J9" s="132" t="s">
        <v>764</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765</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766</v>
      </c>
      <c r="D13" s="19"/>
      <c r="E13" s="19"/>
      <c r="F13" s="19"/>
      <c r="G13" s="20"/>
      <c r="H13" s="16"/>
      <c r="I13" s="16"/>
      <c r="J13" s="663" t="s">
        <v>767</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761</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768</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769</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770</v>
      </c>
      <c r="D20" s="19"/>
      <c r="E20" s="19"/>
      <c r="F20" s="19"/>
      <c r="G20" s="20"/>
      <c r="H20" s="16"/>
      <c r="I20" s="16"/>
      <c r="J20" s="18" t="s">
        <v>771</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772</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773</v>
      </c>
      <c r="D24" s="131"/>
      <c r="E24" s="131"/>
      <c r="F24" s="131"/>
      <c r="G24" s="672">
        <f>IF(J44="Comps Relevered Beta",G47,G49)</f>
        <v>1.32679</v>
      </c>
      <c r="H24" s="16"/>
      <c r="I24" s="16"/>
      <c r="J24" s="673" t="s">
        <v>774</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770</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775</v>
      </c>
      <c r="E30" s="84" t="s">
        <v>776</v>
      </c>
      <c r="F30" s="84" t="s">
        <v>777</v>
      </c>
      <c r="G30" s="84" t="s">
        <v>778</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516</v>
      </c>
      <c r="D31" s="210" t="s">
        <v>528</v>
      </c>
      <c r="E31" s="210" t="s">
        <v>533</v>
      </c>
      <c r="F31" s="210" t="s">
        <v>779</v>
      </c>
      <c r="G31" s="210" t="s">
        <v>528</v>
      </c>
      <c r="H31" s="16"/>
      <c r="I31" s="16"/>
      <c r="J31" s="92" t="s">
        <v>780</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781</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782</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783</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784</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785</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786</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787</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788</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789</v>
      </c>
      <c r="E45" s="84" t="s">
        <v>790</v>
      </c>
      <c r="F45" s="84" t="s">
        <v>777</v>
      </c>
      <c r="G45" s="84" t="s">
        <v>791</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528</v>
      </c>
      <c r="E46" s="84" t="s">
        <v>533</v>
      </c>
      <c r="F46" s="84" t="s">
        <v>779</v>
      </c>
      <c r="G46" s="84"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792</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793</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794</v>
      </c>
      <c r="E6" s="109" t="s">
        <v>795</v>
      </c>
      <c r="F6" s="710" t="s">
        <v>796</v>
      </c>
      <c r="G6" s="711" t="s">
        <v>797</v>
      </c>
      <c r="H6" s="16"/>
      <c r="I6" s="16"/>
      <c r="J6" s="16"/>
      <c r="K6" s="16"/>
      <c r="L6" s="712" t="s">
        <v>798</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799</v>
      </c>
      <c r="N7" s="109"/>
      <c r="O7" s="109"/>
      <c r="P7" s="109"/>
      <c r="Q7" s="109" t="s">
        <v>800</v>
      </c>
      <c r="R7" s="45" t="s">
        <v>801</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802</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803</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804</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805</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806</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807</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808</v>
      </c>
      <c r="D24" s="267" t="s">
        <v>809</v>
      </c>
      <c r="E24" s="16"/>
      <c r="F24" s="16"/>
      <c r="G24" s="16"/>
      <c r="H24" s="724"/>
      <c r="I24" s="724"/>
      <c r="J24" s="724"/>
      <c r="K24" s="16"/>
      <c r="L24" s="303"/>
      <c r="M24" s="16" t="s">
        <v>810</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811</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812</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813</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814</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813</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815</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816</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817</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818</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819</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820</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821</v>
      </c>
      <c r="H57" s="22"/>
      <c r="I57" s="22"/>
      <c r="J57" s="22"/>
      <c r="K57" s="7"/>
      <c r="L57" s="16"/>
      <c r="M57" s="16"/>
      <c r="N57" s="92" t="s">
        <v>822</v>
      </c>
      <c r="O57" s="22"/>
      <c r="P57" s="22"/>
      <c r="Q57" s="22"/>
      <c r="R57" s="7"/>
      <c r="S57" s="16"/>
      <c r="T57" s="16"/>
      <c r="U57" s="16"/>
      <c r="V57" s="16"/>
      <c r="W57" s="16"/>
      <c r="X57" s="92" t="s">
        <v>821</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823</v>
      </c>
      <c r="H59" s="16"/>
      <c r="I59" s="16"/>
      <c r="J59" s="16"/>
      <c r="K59" s="761">
        <f>R32</f>
      </c>
      <c r="L59" s="16"/>
      <c r="M59" s="16"/>
      <c r="N59" s="188" t="s">
        <v>824</v>
      </c>
      <c r="O59" s="16"/>
      <c r="P59" s="16"/>
      <c r="Q59" s="16"/>
      <c r="R59" s="762">
        <f>R48</f>
      </c>
      <c r="S59" s="16"/>
      <c r="T59" s="16"/>
      <c r="U59" s="16"/>
      <c r="V59" s="16"/>
      <c r="W59" s="189"/>
      <c r="X59" s="16" t="s">
        <v>823</v>
      </c>
      <c r="Y59" s="16"/>
      <c r="Z59" s="16"/>
      <c r="AA59" s="16"/>
      <c r="AB59" s="761">
        <f>R32</f>
      </c>
    </row>
    <row r="60" ht="15" customHeight="1" spans="1:28" x14ac:dyDescent="0.25">
      <c r="A60" s="16"/>
      <c r="B60" s="16"/>
      <c r="C60" s="16"/>
      <c r="D60" s="16"/>
      <c r="E60" s="16"/>
      <c r="F60" s="189"/>
      <c r="G60" s="16" t="s">
        <v>825</v>
      </c>
      <c r="H60" s="16"/>
      <c r="I60" s="16"/>
      <c r="J60" s="16"/>
      <c r="K60" s="763">
        <f>IF(Case_Scenario="Bear",Valuation!J84,IF(Case_Scenario="Base",Valuation!J85,IF(Case_Scenario="Bull",Valuation!J86,"Error")))</f>
        <v>13</v>
      </c>
      <c r="L60" s="16"/>
      <c r="M60" s="16"/>
      <c r="N60" s="188" t="s">
        <v>826</v>
      </c>
      <c r="O60" s="16"/>
      <c r="P60" s="16"/>
      <c r="Q60" s="16"/>
      <c r="R60" s="764">
        <f>G86</f>
        <v>0.02</v>
      </c>
      <c r="S60" s="16"/>
      <c r="T60" s="16"/>
      <c r="U60" s="16"/>
      <c r="V60" s="16"/>
      <c r="W60" s="189"/>
      <c r="X60" s="16" t="s">
        <v>825</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827</v>
      </c>
      <c r="H61" s="16"/>
      <c r="I61" s="16"/>
      <c r="J61" s="16"/>
      <c r="K61" s="765">
        <f>K59*K60</f>
      </c>
      <c r="L61" s="16"/>
      <c r="M61" s="16"/>
      <c r="N61" s="188" t="s">
        <v>827</v>
      </c>
      <c r="O61" s="16"/>
      <c r="P61" s="16"/>
      <c r="Q61" s="16"/>
      <c r="R61" s="765">
        <f>(R59*(1+R60))/(Discount_Rate-R60)</f>
      </c>
      <c r="S61" s="16"/>
      <c r="T61" s="16"/>
      <c r="U61" s="16"/>
      <c r="V61" s="16"/>
      <c r="W61" s="189"/>
      <c r="X61" s="16" t="s">
        <v>827</v>
      </c>
      <c r="Y61" s="16"/>
      <c r="Z61" s="16"/>
      <c r="AA61" s="16"/>
      <c r="AB61" s="765">
        <f>AB59*AB60</f>
      </c>
    </row>
    <row r="62" ht="13.5" customHeight="1" spans="1:28" x14ac:dyDescent="0.25">
      <c r="A62" s="16"/>
      <c r="B62" s="16"/>
      <c r="C62" s="16"/>
      <c r="D62" s="16"/>
      <c r="E62" s="16"/>
      <c r="F62" s="189"/>
      <c r="G62" s="16" t="s">
        <v>828</v>
      </c>
      <c r="H62" s="16"/>
      <c r="I62" s="16"/>
      <c r="J62" s="16"/>
      <c r="K62" s="765">
        <f>K61*R52</f>
      </c>
      <c r="L62" s="16"/>
      <c r="M62" s="16"/>
      <c r="N62" s="188" t="s">
        <v>828</v>
      </c>
      <c r="O62" s="16"/>
      <c r="P62" s="16"/>
      <c r="Q62" s="16"/>
      <c r="R62" s="765">
        <f>R61*R52</f>
      </c>
      <c r="S62" s="16"/>
      <c r="T62" s="16"/>
      <c r="U62" s="16"/>
      <c r="V62" s="16"/>
      <c r="W62" s="189"/>
      <c r="X62" s="16" t="s">
        <v>828</v>
      </c>
      <c r="Y62" s="16"/>
      <c r="Z62" s="16"/>
      <c r="AA62" s="16"/>
      <c r="AB62" s="765">
        <f>AB61*R52</f>
      </c>
    </row>
    <row r="63" ht="13.5" customHeight="1" spans="1:28" x14ac:dyDescent="0.25">
      <c r="A63" s="16"/>
      <c r="B63" s="16"/>
      <c r="C63" s="16"/>
      <c r="D63" s="16"/>
      <c r="E63" s="16"/>
      <c r="F63" s="189"/>
      <c r="G63" s="16" t="s">
        <v>829</v>
      </c>
      <c r="H63" s="16"/>
      <c r="I63" s="16"/>
      <c r="J63" s="16"/>
      <c r="K63" s="765">
        <f>SUM(N54:R54)</f>
      </c>
      <c r="L63" s="16"/>
      <c r="M63" s="16"/>
      <c r="N63" s="188" t="s">
        <v>829</v>
      </c>
      <c r="O63" s="16"/>
      <c r="P63" s="16"/>
      <c r="Q63" s="16"/>
      <c r="R63" s="765">
        <f>SUM(N54:R54)</f>
      </c>
      <c r="S63" s="16"/>
      <c r="T63" s="16"/>
      <c r="U63" s="16"/>
      <c r="V63" s="16"/>
      <c r="W63" s="189"/>
      <c r="X63" s="16" t="s">
        <v>829</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830</v>
      </c>
      <c r="H66" s="16"/>
      <c r="I66" s="16"/>
      <c r="J66" s="16"/>
      <c r="K66" s="767">
        <f>IF(Last_FQR="1Q",Model!$U$120,IF(Last_FQR="2Q",Model!$V$120,IF(Last_FQR="3Q",Model!$W$120,Model!$X$120)))</f>
        <v>6255</v>
      </c>
      <c r="L66" s="16"/>
      <c r="M66" s="16"/>
      <c r="N66" s="188" t="s">
        <v>830</v>
      </c>
      <c r="O66" s="16"/>
      <c r="P66" s="16"/>
      <c r="Q66" s="16"/>
      <c r="R66" s="765">
        <f t="shared" ref="R66:R71" si="17">K66</f>
        <v>6255</v>
      </c>
      <c r="S66" s="16"/>
      <c r="T66" s="16"/>
      <c r="U66" s="16"/>
      <c r="V66" s="16"/>
      <c r="W66" s="189"/>
      <c r="X66" s="16" t="s">
        <v>830</v>
      </c>
      <c r="Y66" s="16"/>
      <c r="Z66" s="16"/>
      <c r="AA66" s="16"/>
      <c r="AB66" s="767">
        <f>Model!$V$120</f>
        <v>6255</v>
      </c>
    </row>
    <row r="67" ht="13.5" customHeight="1" spans="1:28" x14ac:dyDescent="0.25">
      <c r="A67" s="16"/>
      <c r="B67" s="16"/>
      <c r="C67" s="16"/>
      <c r="D67" s="16"/>
      <c r="E67" s="16"/>
      <c r="F67" s="189"/>
      <c r="G67" s="16" t="s">
        <v>831</v>
      </c>
      <c r="H67" s="16"/>
      <c r="I67" s="16"/>
      <c r="J67" s="16"/>
      <c r="K67" s="767">
        <f>WACC!$M$8</f>
        <v>0</v>
      </c>
      <c r="L67" s="16"/>
      <c r="M67" s="16"/>
      <c r="N67" s="188" t="s">
        <v>831</v>
      </c>
      <c r="O67" s="16"/>
      <c r="P67" s="16"/>
      <c r="Q67" s="16"/>
      <c r="R67" s="765">
        <f>K67</f>
      </c>
      <c r="S67" s="16"/>
      <c r="T67" s="16"/>
      <c r="U67" s="16"/>
      <c r="V67" s="16"/>
      <c r="W67" s="189"/>
      <c r="X67" s="16" t="s">
        <v>831</v>
      </c>
      <c r="Y67" s="16"/>
      <c r="Z67" s="16"/>
      <c r="AA67" s="16"/>
      <c r="AB67" s="767">
        <f>WACC!$M$8</f>
        <v>0</v>
      </c>
    </row>
    <row r="68" ht="13.5" customHeight="1" spans="1:28" x14ac:dyDescent="0.25">
      <c r="A68" s="16"/>
      <c r="B68" s="16"/>
      <c r="C68" s="16"/>
      <c r="D68" s="16"/>
      <c r="E68" s="16"/>
      <c r="F68" s="189"/>
      <c r="G68" s="16" t="s">
        <v>832</v>
      </c>
      <c r="H68" s="16"/>
      <c r="I68" s="16"/>
      <c r="J68" s="16"/>
      <c r="K68" s="767">
        <f>-IF(Last_FQR="1Q",Model!$U$139+Model!$U$140,IF(Last_FQR="2Q",Model!$V$139+Model!$V$140,IF(Last_FQR="3Q",Model!$W$139+Model!$W$140,Model!$X$139+Model!$X$140)))</f>
        <v>-23311</v>
      </c>
      <c r="L68" s="16"/>
      <c r="M68" s="16"/>
      <c r="N68" s="188" t="s">
        <v>832</v>
      </c>
      <c r="O68" s="16"/>
      <c r="P68" s="16"/>
      <c r="Q68" s="16"/>
      <c r="R68" s="765">
        <f>K68</f>
        <v>-23311</v>
      </c>
      <c r="S68" s="16"/>
      <c r="T68" s="16"/>
      <c r="U68" s="16"/>
      <c r="V68" s="16"/>
      <c r="W68" s="189"/>
      <c r="X68" s="16" t="s">
        <v>832</v>
      </c>
      <c r="Y68" s="16"/>
      <c r="Z68" s="16"/>
      <c r="AA68" s="16"/>
      <c r="AB68" s="767">
        <f>-(Model!$V$139+Model!$V$140)</f>
        <v>-23311</v>
      </c>
    </row>
    <row r="69" ht="13.5" customHeight="1" spans="1:28" x14ac:dyDescent="0.25">
      <c r="A69" s="16"/>
      <c r="B69" s="16"/>
      <c r="C69" s="16"/>
      <c r="D69" s="16"/>
      <c r="E69" s="16"/>
      <c r="F69" s="189"/>
      <c r="G69" s="16" t="s">
        <v>833</v>
      </c>
      <c r="H69" s="16"/>
      <c r="I69" s="16"/>
      <c r="J69" s="16"/>
      <c r="K69" s="768">
        <v>0</v>
      </c>
      <c r="L69" s="16"/>
      <c r="M69" s="16"/>
      <c r="N69" s="188" t="s">
        <v>833</v>
      </c>
      <c r="O69" s="16"/>
      <c r="P69" s="16"/>
      <c r="Q69" s="16"/>
      <c r="R69" s="765">
        <f>K69</f>
      </c>
      <c r="S69" s="16"/>
      <c r="T69" s="16"/>
      <c r="U69" s="16"/>
      <c r="V69" s="16"/>
      <c r="W69" s="189"/>
      <c r="X69" s="16" t="s">
        <v>833</v>
      </c>
      <c r="Y69" s="16"/>
      <c r="Z69" s="16"/>
      <c r="AA69" s="16"/>
      <c r="AB69" s="768">
        <v>0</v>
      </c>
    </row>
    <row r="70" ht="13.5" customHeight="1" spans="1:28" x14ac:dyDescent="0.25">
      <c r="A70" s="16"/>
      <c r="B70" s="16"/>
      <c r="C70" s="16"/>
      <c r="D70" s="16"/>
      <c r="E70" s="16"/>
      <c r="F70" s="189"/>
      <c r="G70" s="16" t="s">
        <v>834</v>
      </c>
      <c r="H70" s="16"/>
      <c r="I70" s="16"/>
      <c r="J70" s="16"/>
      <c r="K70" s="767">
        <f>-IF(Last_FQR="1Q",Model!$U$153,IF(Last_FQR="2Q",Model!$V$153,IF(Last_FQR="3Q",Model!$W$153,Model!$X$153)))</f>
        <v>0</v>
      </c>
      <c r="L70" s="16"/>
      <c r="M70" s="16"/>
      <c r="N70" s="188" t="s">
        <v>834</v>
      </c>
      <c r="O70" s="16"/>
      <c r="P70" s="16"/>
      <c r="Q70" s="16"/>
      <c r="R70" s="765">
        <f>K70</f>
      </c>
      <c r="S70" s="16"/>
      <c r="T70" s="16"/>
      <c r="U70" s="16"/>
      <c r="V70" s="16"/>
      <c r="W70" s="189"/>
      <c r="X70" s="16" t="s">
        <v>834</v>
      </c>
      <c r="Y70" s="16"/>
      <c r="Z70" s="16"/>
      <c r="AA70" s="16"/>
      <c r="AB70" s="767">
        <f>-Model!$V$153</f>
        <v>0</v>
      </c>
    </row>
    <row r="71" ht="13.5" customHeight="1" spans="1:28" x14ac:dyDescent="0.25">
      <c r="A71" s="16"/>
      <c r="B71" s="16"/>
      <c r="C71" s="16"/>
      <c r="D71" s="16"/>
      <c r="E71" s="16"/>
      <c r="F71" s="189"/>
      <c r="G71" s="16" t="s">
        <v>835</v>
      </c>
      <c r="H71" s="16"/>
      <c r="I71" s="16"/>
      <c r="J71" s="16"/>
      <c r="K71" s="768">
        <v>0</v>
      </c>
      <c r="L71" s="16"/>
      <c r="M71" s="16"/>
      <c r="N71" s="188" t="s">
        <v>835</v>
      </c>
      <c r="O71" s="16"/>
      <c r="P71" s="16"/>
      <c r="Q71" s="16"/>
      <c r="R71" s="765">
        <f>K71</f>
      </c>
      <c r="S71" s="16"/>
      <c r="T71" s="16"/>
      <c r="U71" s="16"/>
      <c r="V71" s="16"/>
      <c r="W71" s="189"/>
      <c r="X71" s="16" t="s">
        <v>835</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836</v>
      </c>
      <c r="H74" s="16"/>
      <c r="I74" s="16"/>
      <c r="J74" s="16"/>
      <c r="K74" s="769">
        <f>Diluted_Shares</f>
        <v>707</v>
      </c>
      <c r="L74" s="16"/>
      <c r="M74" s="16"/>
      <c r="N74" s="188" t="s">
        <v>836</v>
      </c>
      <c r="O74" s="16"/>
      <c r="P74" s="16"/>
      <c r="Q74" s="16"/>
      <c r="R74" s="770">
        <f>K74</f>
        <v>707</v>
      </c>
      <c r="S74" s="16"/>
      <c r="T74" s="16"/>
      <c r="U74" s="16"/>
      <c r="V74" s="16"/>
      <c r="W74" s="189"/>
      <c r="X74" s="16" t="s">
        <v>836</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837</v>
      </c>
      <c r="H79" s="16"/>
      <c r="I79" s="16"/>
      <c r="J79" s="16"/>
      <c r="K79" s="774">
        <f>R61/K59</f>
      </c>
      <c r="L79" s="16"/>
      <c r="M79" s="16"/>
      <c r="N79" s="16" t="s">
        <v>838</v>
      </c>
      <c r="O79" s="16"/>
      <c r="P79" s="16"/>
      <c r="Q79" s="16"/>
      <c r="R79" s="775">
        <f>(K61*Discount_Rate-R59)/(R59+K61)</f>
      </c>
      <c r="S79" s="16"/>
      <c r="T79" s="16"/>
      <c r="U79" s="16"/>
      <c r="V79" s="16"/>
      <c r="W79" s="16"/>
      <c r="X79" s="16" t="s">
        <v>837</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817</v>
      </c>
      <c r="D83" s="16"/>
      <c r="E83" s="16"/>
      <c r="F83" s="16"/>
      <c r="G83" s="42" t="s">
        <v>839</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840</v>
      </c>
      <c r="D84" s="16"/>
      <c r="E84" s="16"/>
      <c r="F84" s="16"/>
      <c r="G84" s="777">
        <f>Discount_Rate</f>
        <v>0.08911722232642302</v>
      </c>
      <c r="H84" s="16"/>
      <c r="I84" s="16" t="s">
        <v>841</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803</v>
      </c>
      <c r="D86" s="16"/>
      <c r="E86" s="16"/>
      <c r="F86" s="16"/>
      <c r="G86" s="780">
        <v>0.02</v>
      </c>
      <c r="H86" s="16"/>
      <c r="I86" s="16" t="s">
        <v>842</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843</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844</v>
      </c>
      <c r="D92" s="16"/>
      <c r="E92" s="774">
        <f>J85</f>
        <v>13</v>
      </c>
      <c r="F92" s="667">
        <f>E92-H98</f>
        <v>0</v>
      </c>
      <c r="G92" s="16"/>
      <c r="H92" s="16" t="s">
        <v>845</v>
      </c>
      <c r="I92" s="16"/>
      <c r="J92" s="781">
        <f>G86</f>
        <v>0.02</v>
      </c>
      <c r="K92" s="667">
        <f>J92-H106</f>
        <v>0</v>
      </c>
      <c r="L92" s="16"/>
      <c r="M92" s="16" t="s">
        <v>846</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847</v>
      </c>
      <c r="D93" s="16"/>
      <c r="E93" s="782">
        <v>1</v>
      </c>
      <c r="F93" s="16"/>
      <c r="G93" s="16"/>
      <c r="H93" s="16" t="s">
        <v>848</v>
      </c>
      <c r="I93" s="16"/>
      <c r="J93" s="783">
        <v>0.005</v>
      </c>
      <c r="K93" s="16"/>
      <c r="L93" s="16"/>
      <c r="M93" s="16" t="s">
        <v>849</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850</v>
      </c>
      <c r="E95" s="22"/>
      <c r="F95" s="22"/>
      <c r="G95" s="22"/>
      <c r="H95" s="22"/>
      <c r="I95" s="22"/>
      <c r="J95" s="7"/>
      <c r="K95" s="784"/>
      <c r="L95" s="63" t="s">
        <v>851</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852</v>
      </c>
      <c r="G105" s="668"/>
      <c r="H105" s="668"/>
      <c r="I105" s="668"/>
      <c r="J105" s="668"/>
      <c r="K105" s="16"/>
      <c r="L105" s="590"/>
      <c r="M105" s="592"/>
      <c r="N105" s="592" t="s">
        <v>852</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853</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854</v>
      </c>
      <c r="E116" s="22"/>
      <c r="F116" s="7"/>
      <c r="G116" s="16"/>
      <c r="H116" s="92" t="s">
        <v>855</v>
      </c>
      <c r="I116" s="22"/>
      <c r="J116" s="7"/>
      <c r="K116" s="16"/>
      <c r="L116" s="92" t="s">
        <v>140</v>
      </c>
      <c r="M116" s="22"/>
      <c r="N116" s="7"/>
      <c r="O116" s="189"/>
      <c r="P116" s="92" t="s">
        <v>856</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857</v>
      </c>
      <c r="E118" s="16"/>
      <c r="F118" s="808">
        <f>$D$11</f>
        <v>18.6398</v>
      </c>
      <c r="G118" s="16"/>
      <c r="H118" s="188" t="s">
        <v>858</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857</v>
      </c>
      <c r="M118" s="16"/>
      <c r="N118" s="808">
        <f>$D$12</f>
        <v>12.4849</v>
      </c>
      <c r="O118" s="189"/>
      <c r="P118" s="188" t="s">
        <v>858</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859</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860</v>
      </c>
      <c r="I119" s="16"/>
      <c r="J119" s="808">
        <f>IF(G143="1 Year",J144,IF(G143="2 Year",J145,IF(G143="3 Year",J146,IF(G143="5 Year",J147,"N/A"))))</f>
        <v>21.62764142857142</v>
      </c>
      <c r="K119" s="16"/>
      <c r="L119" s="188" t="s">
        <v>859</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860</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861</v>
      </c>
      <c r="E120" s="303"/>
      <c r="F120" s="809">
        <f>F118/F119-1</f>
        <v>-0.0063380139569576555</v>
      </c>
      <c r="G120" s="16"/>
      <c r="H120" s="307" t="s">
        <v>862</v>
      </c>
      <c r="I120" s="303"/>
      <c r="J120" s="810">
        <f>J118/J119-1</f>
        <v>-0.13265193899684824</v>
      </c>
      <c r="K120" s="16"/>
      <c r="L120" s="307" t="s">
        <v>861</v>
      </c>
      <c r="M120" s="303"/>
      <c r="N120" s="809">
        <f>N118/N119-1</f>
        <v>0.003621426303372033</v>
      </c>
      <c r="O120" s="189"/>
      <c r="P120" s="188" t="s">
        <v>862</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863</v>
      </c>
      <c r="E121" s="303"/>
      <c r="F121" s="811">
        <v>0</v>
      </c>
      <c r="G121" s="16"/>
      <c r="H121" s="188" t="s">
        <v>864</v>
      </c>
      <c r="I121" s="16"/>
      <c r="J121" s="808">
        <f>IF($G$145=$K$220,$E$11,IF($G$145=$M$220,$E$16,IF($G$145=$O$220,$E$21,"N/A")))</f>
        <v>22.233219999999996</v>
      </c>
      <c r="K121" s="16"/>
      <c r="L121" s="307" t="s">
        <v>863</v>
      </c>
      <c r="M121" s="303"/>
      <c r="N121" s="811">
        <v>0</v>
      </c>
      <c r="O121" s="189"/>
      <c r="P121" s="188" t="s">
        <v>864</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865</v>
      </c>
      <c r="E123" s="16"/>
      <c r="F123" s="808">
        <f>F119*(1+F121)</f>
        <v>18.758692857142854</v>
      </c>
      <c r="G123" s="16"/>
      <c r="H123" s="188" t="s">
        <v>865</v>
      </c>
      <c r="I123" s="16"/>
      <c r="J123" s="808">
        <f>J121*(1+J120)</f>
        <v>19.28394025685649</v>
      </c>
      <c r="K123" s="16"/>
      <c r="L123" s="188" t="s">
        <v>865</v>
      </c>
      <c r="M123" s="16"/>
      <c r="N123" s="808">
        <f>N119*(1+N121)</f>
        <v>12.439849999999998</v>
      </c>
      <c r="O123" s="189"/>
      <c r="P123" s="188" t="s">
        <v>865</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866</v>
      </c>
      <c r="E124" s="16"/>
      <c r="F124" s="812">
        <f>NTM_EPS</f>
      </c>
      <c r="G124" s="16"/>
      <c r="H124" s="188" t="s">
        <v>866</v>
      </c>
      <c r="I124" s="16"/>
      <c r="J124" s="812">
        <f>F124</f>
      </c>
      <c r="K124" s="16"/>
      <c r="L124" s="813" t="s">
        <v>867</v>
      </c>
      <c r="M124" s="16"/>
      <c r="N124" s="814">
        <f>NTM_EBITDA</f>
      </c>
      <c r="O124" s="189"/>
      <c r="P124" s="188" t="s">
        <v>867</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868</v>
      </c>
      <c r="M125" s="16"/>
      <c r="N125" s="814">
        <f>N123*N124</f>
      </c>
      <c r="O125" s="189"/>
      <c r="P125" s="188" t="s">
        <v>868</v>
      </c>
      <c r="Q125" s="16"/>
      <c r="R125" s="814">
        <f>R123*R124</f>
      </c>
      <c r="S125" s="16"/>
      <c r="T125" s="16"/>
      <c r="U125" s="16"/>
      <c r="V125" s="16"/>
      <c r="W125" s="16"/>
      <c r="X125" s="16"/>
      <c r="Y125" s="16"/>
      <c r="Z125" s="16"/>
      <c r="AA125" s="16"/>
      <c r="AB125" s="16"/>
    </row>
    <row r="126" ht="13.5" customHeight="1" spans="1:28" x14ac:dyDescent="0.25">
      <c r="A126" s="16"/>
      <c r="B126" s="16"/>
      <c r="C126" s="16"/>
      <c r="D126" s="188" t="s">
        <v>869</v>
      </c>
      <c r="E126" s="16"/>
      <c r="F126" s="814">
        <f>F123*F124</f>
      </c>
      <c r="G126" s="16"/>
      <c r="H126" s="188" t="s">
        <v>869</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870</v>
      </c>
      <c r="E127" s="131"/>
      <c r="F127" s="773">
        <f>F126/Share_Price-1</f>
      </c>
      <c r="G127" s="16"/>
      <c r="H127" s="311" t="s">
        <v>870</v>
      </c>
      <c r="I127" s="131"/>
      <c r="J127" s="773">
        <f>J126/Share_Price-1</f>
      </c>
      <c r="K127" s="16"/>
      <c r="L127" s="188" t="s">
        <v>871</v>
      </c>
      <c r="M127" s="16"/>
      <c r="N127" s="816">
        <f t="shared" ref="N127:N132" si="32">K66</f>
        <v>6255</v>
      </c>
      <c r="O127" s="189"/>
      <c r="P127" s="188" t="s">
        <v>871</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872</v>
      </c>
      <c r="M128" s="16"/>
      <c r="N128" s="816">
        <f>K67</f>
      </c>
      <c r="O128" s="189"/>
      <c r="P128" s="188" t="s">
        <v>872</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873</v>
      </c>
      <c r="M129" s="16"/>
      <c r="N129" s="816">
        <f>K68</f>
        <v>-23311</v>
      </c>
      <c r="O129" s="189"/>
      <c r="P129" s="188" t="s">
        <v>873</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874</v>
      </c>
      <c r="M130" s="16"/>
      <c r="N130" s="816">
        <f>K69</f>
      </c>
      <c r="O130" s="189"/>
      <c r="P130" s="188" t="s">
        <v>874</v>
      </c>
      <c r="Q130" s="16"/>
      <c r="R130" s="765">
        <f>N130</f>
      </c>
      <c r="S130" s="16"/>
      <c r="T130" s="16"/>
      <c r="U130" s="16"/>
      <c r="V130" s="16"/>
      <c r="W130" s="16"/>
      <c r="X130" s="16"/>
      <c r="Y130" s="16"/>
      <c r="Z130" s="16"/>
      <c r="AA130" s="16"/>
      <c r="AB130" s="16"/>
    </row>
    <row r="131" ht="13.5" customHeight="1" spans="1:28" x14ac:dyDescent="0.25">
      <c r="A131" s="16"/>
      <c r="B131" s="16"/>
      <c r="C131" s="16"/>
      <c r="D131" s="190" t="s">
        <v>866</v>
      </c>
      <c r="E131" s="132"/>
      <c r="F131" s="817">
        <f>IF(Last_FQR="3Q",SUM(Model!X56,Model!Z56:AB56),IF(Last_FQR="2Q",SUM(Model!W56:X56,Model!Z56:AA56),IF(Last_FQR="1Q",SUM(Model!V56:X56,Model!Z56),IF(Last_FQR="4Q",SUM(Model!U56:X56),"Error"))))</f>
      </c>
      <c r="G131" s="16"/>
      <c r="H131" s="16"/>
      <c r="I131" s="16"/>
      <c r="J131" s="16"/>
      <c r="K131" s="16"/>
      <c r="L131" s="188" t="s">
        <v>875</v>
      </c>
      <c r="M131" s="16"/>
      <c r="N131" s="816">
        <f>K70</f>
      </c>
      <c r="O131" s="189"/>
      <c r="P131" s="188" t="s">
        <v>875</v>
      </c>
      <c r="Q131" s="16"/>
      <c r="R131" s="765">
        <f>N131</f>
      </c>
      <c r="S131" s="16"/>
      <c r="T131" s="16"/>
      <c r="U131" s="16"/>
      <c r="V131" s="16"/>
      <c r="W131" s="16"/>
      <c r="X131" s="16"/>
      <c r="Y131" s="16"/>
      <c r="Z131" s="16"/>
      <c r="AA131" s="16"/>
      <c r="AB131" s="16"/>
    </row>
    <row r="132" ht="13.5" customHeight="1" spans="1:28" x14ac:dyDescent="0.25">
      <c r="A132" s="16"/>
      <c r="B132" s="16"/>
      <c r="C132" s="16"/>
      <c r="D132" s="192" t="s">
        <v>867</v>
      </c>
      <c r="E132" s="131"/>
      <c r="F132" s="818">
        <f>IF(Last_FQR="3Q",SUM(Model!X61,Model!Z61:AB61),IF(Last_FQR="2Q",SUM(Model!W61:X61,Model!Z61:AA61),IF(Last_FQR="1Q",SUM(Model!V61:X61,Model!Z61),IF(Last_FQR="4Q",SUM(Model!U61:X61),"Error"))))</f>
      </c>
      <c r="G132" s="16"/>
      <c r="H132" s="16"/>
      <c r="I132" s="16"/>
      <c r="J132" s="16"/>
      <c r="K132" s="16"/>
      <c r="L132" s="188" t="s">
        <v>876</v>
      </c>
      <c r="M132" s="131"/>
      <c r="N132" s="819">
        <f>K71</f>
      </c>
      <c r="O132" s="189"/>
      <c r="P132" s="192" t="s">
        <v>876</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877</v>
      </c>
      <c r="M134" s="16"/>
      <c r="N134" s="814">
        <f>SUM(N125:N132)</f>
      </c>
      <c r="O134" s="189"/>
      <c r="P134" s="188" t="s">
        <v>877</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869</v>
      </c>
      <c r="M137" s="16"/>
      <c r="N137" s="814">
        <f>N134/N135</f>
      </c>
      <c r="O137" s="189"/>
      <c r="P137" s="188" t="s">
        <v>869</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870</v>
      </c>
      <c r="M138" s="131"/>
      <c r="N138" s="773">
        <f>N137/Share_Price-1</f>
      </c>
      <c r="O138" s="189"/>
      <c r="P138" s="311" t="s">
        <v>870</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878</v>
      </c>
      <c r="D142" s="16"/>
      <c r="E142" s="16"/>
      <c r="F142" s="16"/>
      <c r="G142" s="42" t="s">
        <v>879</v>
      </c>
      <c r="H142" s="16"/>
      <c r="I142" s="16"/>
      <c r="J142" s="111" t="s">
        <v>880</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881</v>
      </c>
      <c r="D143" s="16"/>
      <c r="E143" s="16"/>
      <c r="F143" s="16"/>
      <c r="G143" s="42" t="s">
        <v>879</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808</v>
      </c>
      <c r="D144" s="16"/>
      <c r="E144" s="16"/>
      <c r="F144" s="16"/>
      <c r="G144" s="42" t="s">
        <v>809</v>
      </c>
      <c r="H144" s="47" t="b">
        <f>G144=$D$24</f>
        <v>1</v>
      </c>
      <c r="I144" s="84" t="s">
        <v>882</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883</v>
      </c>
      <c r="D145" s="16"/>
      <c r="E145" s="16"/>
      <c r="F145" s="16"/>
      <c r="G145" s="42" t="s">
        <v>555</v>
      </c>
      <c r="H145" s="16"/>
      <c r="I145" s="84" t="s">
        <v>884</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879</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885</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843</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886</v>
      </c>
      <c r="D151" s="16"/>
      <c r="E151" s="774">
        <f>$F$123</f>
        <v>18.758692857142854</v>
      </c>
      <c r="F151" s="667">
        <f>E151-H161</f>
        <v>0</v>
      </c>
      <c r="G151" s="16"/>
      <c r="H151" s="16" t="s">
        <v>887</v>
      </c>
      <c r="I151" s="16"/>
      <c r="J151" s="16"/>
      <c r="K151" s="774">
        <f>N123</f>
        <v>12.439849999999998</v>
      </c>
      <c r="L151" s="667">
        <f>K151-H177</f>
        <v>0</v>
      </c>
      <c r="M151" s="16"/>
      <c r="N151" s="5" t="s">
        <v>866</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847</v>
      </c>
      <c r="D152" s="16"/>
      <c r="E152" s="782">
        <v>1</v>
      </c>
      <c r="F152" s="16"/>
      <c r="G152" s="16"/>
      <c r="H152" s="16" t="s">
        <v>847</v>
      </c>
      <c r="I152" s="16"/>
      <c r="J152" s="16"/>
      <c r="K152" s="782">
        <v>1</v>
      </c>
      <c r="L152" s="822"/>
      <c r="M152" s="16"/>
      <c r="N152" s="491" t="s">
        <v>888</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889</v>
      </c>
      <c r="D153" s="16"/>
      <c r="E153" s="783">
        <v>0.1</v>
      </c>
      <c r="F153" s="16"/>
      <c r="G153" s="16"/>
      <c r="H153" s="16" t="s">
        <v>890</v>
      </c>
      <c r="I153" s="16"/>
      <c r="J153" s="16"/>
      <c r="K153" s="783">
        <v>0.1</v>
      </c>
      <c r="L153" s="822"/>
      <c r="M153" s="16"/>
      <c r="N153" s="5" t="s">
        <v>867</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891</v>
      </c>
      <c r="D154" s="16"/>
      <c r="E154" s="774">
        <f>$J$123</f>
        <v>19.28394025685649</v>
      </c>
      <c r="F154" s="667">
        <f>E154-H169</f>
        <v>0</v>
      </c>
      <c r="G154" s="16"/>
      <c r="H154" s="16" t="s">
        <v>892</v>
      </c>
      <c r="I154" s="16"/>
      <c r="J154" s="16"/>
      <c r="K154" s="774">
        <f>R123</f>
        <v>13.012839604943464</v>
      </c>
      <c r="L154" s="667">
        <f>K154-H185</f>
        <v>0</v>
      </c>
      <c r="M154" s="824"/>
      <c r="N154" s="491" t="s">
        <v>888</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847</v>
      </c>
      <c r="D155" s="16"/>
      <c r="E155" s="782">
        <v>1</v>
      </c>
      <c r="F155" s="16"/>
      <c r="G155" s="16"/>
      <c r="H155" s="16" t="s">
        <v>847</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850</v>
      </c>
      <c r="E158" s="22"/>
      <c r="F158" s="22"/>
      <c r="G158" s="22"/>
      <c r="H158" s="22"/>
      <c r="I158" s="22"/>
      <c r="J158" s="7"/>
      <c r="K158" s="784"/>
      <c r="L158" s="63" t="s">
        <v>851</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893</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854</v>
      </c>
      <c r="E194" s="22"/>
      <c r="F194" s="7"/>
      <c r="G194" s="16"/>
      <c r="H194" s="92" t="s">
        <v>855</v>
      </c>
      <c r="I194" s="22"/>
      <c r="J194" s="7"/>
      <c r="K194" s="16"/>
      <c r="L194" s="92" t="s">
        <v>140</v>
      </c>
      <c r="M194" s="22"/>
      <c r="N194" s="7"/>
      <c r="O194" s="16"/>
      <c r="P194" s="92" t="s">
        <v>856</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857</v>
      </c>
      <c r="E196" s="16"/>
      <c r="F196" s="808">
        <f>$D$11</f>
        <v>18.6398</v>
      </c>
      <c r="G196" s="16"/>
      <c r="H196" s="813" t="s">
        <v>894</v>
      </c>
      <c r="I196" s="16"/>
      <c r="J196" s="808">
        <f t="array" ref="J196">INDEX(Company_Cyclical_Multiples_Data,MATCH(CONCATENATE($G$220," ",$G$221),'Multiples Data'!$C$14:$C$26,0),MATCH(CONCATENATE(Valuation!$G$222," P/E"),'Multiples Data'!$C$14:$H$14,0))</f>
        <v>16.548837499999998</v>
      </c>
      <c r="K196" s="16"/>
      <c r="L196" s="188" t="s">
        <v>857</v>
      </c>
      <c r="M196" s="16"/>
      <c r="N196" s="808">
        <f>$D$12</f>
        <v>12.4849</v>
      </c>
      <c r="O196" s="16"/>
      <c r="P196" s="813" t="s">
        <v>894</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895</v>
      </c>
      <c r="E197" s="16"/>
      <c r="F197" s="808">
        <f t="array" ref="F197">INDEX(Company_Cyclical_Multiples_Data,MATCH(CONCATENATE($G$220," ",$G$221),'Multiples Data'!$C$14:$C$26,0),MATCH(CONCATENATE(Valuation!$G$222," P/E"),'Multiples Data'!$C$14:$H$14,0))</f>
        <v>16.548837499999998</v>
      </c>
      <c r="G197" s="16"/>
      <c r="H197" s="813" t="s">
        <v>896</v>
      </c>
      <c r="I197" s="16"/>
      <c r="J197" s="808">
        <f t="array" ref="J197">INDEX($J$220:$O$222,2,MATCH($G$223,$J$220:$O$220,0))</f>
        <v>17.335633750000007</v>
      </c>
      <c r="K197" s="16"/>
      <c r="L197" s="188" t="s">
        <v>895</v>
      </c>
      <c r="M197" s="16"/>
      <c r="N197" s="808">
        <f t="array" ref="N197">INDEX(Company_Cyclical_Multiples_Data,MATCH(CONCATENATE($G$220," ",$G$221),'Multiples Data'!$C$14:$C$26,0),MATCH(CONCATENATE(Valuation!$G$222," EV/EBITDA"),'Multiples Data'!$C$14:$H$14,0))</f>
        <v>7.408287499999999</v>
      </c>
      <c r="O197" s="16"/>
      <c r="P197" s="813" t="s">
        <v>896</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861</v>
      </c>
      <c r="E198" s="303"/>
      <c r="F198" s="809">
        <f>F196/F197-1</f>
        <v>0.12635102012452548</v>
      </c>
      <c r="G198" s="16"/>
      <c r="H198" s="307" t="s">
        <v>862</v>
      </c>
      <c r="I198" s="16"/>
      <c r="J198" s="810">
        <f>J196/J197-1</f>
        <v>-0.04538606787305999</v>
      </c>
      <c r="K198" s="16"/>
      <c r="L198" s="307" t="s">
        <v>861</v>
      </c>
      <c r="M198" s="303"/>
      <c r="N198" s="809">
        <f>N196/N197-1</f>
        <v>0.6852612698953706</v>
      </c>
      <c r="O198" s="16"/>
      <c r="P198" s="307" t="s">
        <v>862</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863</v>
      </c>
      <c r="E199" s="303"/>
      <c r="F199" s="811">
        <v>0</v>
      </c>
      <c r="G199" s="16"/>
      <c r="H199" s="188" t="s">
        <v>864</v>
      </c>
      <c r="I199" s="16"/>
      <c r="J199" s="808">
        <f>IF($G$223=$K$220,$E$11,IF($G$223=$M$220,$E$16,IF($G$223=$O$220,$E$21,"N/A")))</f>
        <v>22.233219999999996</v>
      </c>
      <c r="K199" s="16"/>
      <c r="L199" s="307" t="s">
        <v>863</v>
      </c>
      <c r="M199" s="303"/>
      <c r="N199" s="811">
        <v>0</v>
      </c>
      <c r="O199" s="16"/>
      <c r="P199" s="188" t="s">
        <v>864</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865</v>
      </c>
      <c r="E201" s="16"/>
      <c r="F201" s="808">
        <f>F197*(1+F199)</f>
        <v>16.548837499999998</v>
      </c>
      <c r="G201" s="16"/>
      <c r="H201" s="188" t="s">
        <v>865</v>
      </c>
      <c r="I201" s="16"/>
      <c r="J201" s="808">
        <f>J199*(1+J198)</f>
        <v>21.224141568043322</v>
      </c>
      <c r="K201" s="16"/>
      <c r="L201" s="188" t="s">
        <v>865</v>
      </c>
      <c r="M201" s="16"/>
      <c r="N201" s="808">
        <f>N197*(1+N199)</f>
        <v>7.408287499999999</v>
      </c>
      <c r="O201" s="16"/>
      <c r="P201" s="188" t="s">
        <v>865</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866</v>
      </c>
      <c r="E202" s="16"/>
      <c r="F202" s="812">
        <f>SUM(NTM_EPS)</f>
      </c>
      <c r="G202" s="16"/>
      <c r="H202" s="188" t="s">
        <v>866</v>
      </c>
      <c r="I202" s="16"/>
      <c r="J202" s="812">
        <f>SUM(NTM_EPS)</f>
      </c>
      <c r="K202" s="16"/>
      <c r="L202" s="813" t="s">
        <v>867</v>
      </c>
      <c r="M202" s="16"/>
      <c r="N202" s="814">
        <f>SUM(NTM_EBITDA)</f>
      </c>
      <c r="O202" s="16"/>
      <c r="P202" s="188" t="s">
        <v>867</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868</v>
      </c>
      <c r="M203" s="16"/>
      <c r="N203" s="814">
        <f>N201*N202</f>
      </c>
      <c r="O203" s="16"/>
      <c r="P203" s="188" t="s">
        <v>868</v>
      </c>
      <c r="Q203" s="16"/>
      <c r="R203" s="814">
        <f>R201*R202</f>
      </c>
      <c r="S203" s="188"/>
      <c r="T203" s="16"/>
      <c r="U203" s="16"/>
      <c r="V203" s="16"/>
      <c r="W203" s="16"/>
      <c r="X203" s="16"/>
      <c r="Y203" s="16"/>
      <c r="Z203" s="16"/>
      <c r="AA203" s="16"/>
      <c r="AB203" s="16"/>
    </row>
    <row r="204" ht="13.5" customHeight="1" spans="1:28" x14ac:dyDescent="0.25">
      <c r="A204" s="16"/>
      <c r="B204" s="16"/>
      <c r="C204" s="16"/>
      <c r="D204" s="188" t="s">
        <v>869</v>
      </c>
      <c r="E204" s="16"/>
      <c r="F204" s="812">
        <f>F201*F202</f>
      </c>
      <c r="G204" s="16"/>
      <c r="H204" s="188" t="s">
        <v>869</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870</v>
      </c>
      <c r="E205" s="131"/>
      <c r="F205" s="773">
        <f>F204/Share_Price-1</f>
      </c>
      <c r="G205" s="16"/>
      <c r="H205" s="311" t="s">
        <v>870</v>
      </c>
      <c r="I205" s="131"/>
      <c r="J205" s="773">
        <f>J204/Share_Price-1</f>
      </c>
      <c r="K205" s="16"/>
      <c r="L205" s="188" t="s">
        <v>871</v>
      </c>
      <c r="M205" s="16"/>
      <c r="N205" s="765">
        <f t="shared" ref="N205:N210" si="58">N127</f>
        <v>6255</v>
      </c>
      <c r="O205" s="16"/>
      <c r="P205" s="188" t="s">
        <v>871</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872</v>
      </c>
      <c r="M206" s="16"/>
      <c r="N206" s="765">
        <f>N128</f>
      </c>
      <c r="O206" s="16"/>
      <c r="P206" s="188" t="s">
        <v>872</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873</v>
      </c>
      <c r="M207" s="16"/>
      <c r="N207" s="765">
        <f>N129</f>
        <v>-23311</v>
      </c>
      <c r="O207" s="16"/>
      <c r="P207" s="188" t="s">
        <v>873</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874</v>
      </c>
      <c r="M208" s="16"/>
      <c r="N208" s="765">
        <f>N130</f>
      </c>
      <c r="O208" s="16"/>
      <c r="P208" s="188" t="s">
        <v>874</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875</v>
      </c>
      <c r="M209" s="16"/>
      <c r="N209" s="765">
        <f>N131</f>
      </c>
      <c r="O209" s="16"/>
      <c r="P209" s="188" t="s">
        <v>875</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876</v>
      </c>
      <c r="M210" s="131"/>
      <c r="N210" s="819">
        <f>N132</f>
      </c>
      <c r="O210" s="16"/>
      <c r="P210" s="192" t="s">
        <v>876</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877</v>
      </c>
      <c r="M212" s="16"/>
      <c r="N212" s="814">
        <f>SUM(N203:N210)</f>
      </c>
      <c r="O212" s="16"/>
      <c r="P212" s="188" t="s">
        <v>877</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869</v>
      </c>
      <c r="M215" s="16"/>
      <c r="N215" s="814">
        <f>N212/N213</f>
      </c>
      <c r="O215" s="16"/>
      <c r="P215" s="188" t="s">
        <v>869</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870</v>
      </c>
      <c r="M216" s="131"/>
      <c r="N216" s="773">
        <f>N215/Share_Price-1</f>
      </c>
      <c r="O216" s="16"/>
      <c r="P216" s="311" t="s">
        <v>870</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897</v>
      </c>
      <c r="D220" s="16"/>
      <c r="E220" s="16"/>
      <c r="F220" s="16"/>
      <c r="G220" s="42" t="s">
        <v>898</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899</v>
      </c>
      <c r="D221" s="16"/>
      <c r="E221" s="16"/>
      <c r="F221" s="16"/>
      <c r="G221" s="42" t="s">
        <v>900</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901</v>
      </c>
      <c r="D222" s="16"/>
      <c r="E222" s="16"/>
      <c r="F222" s="16"/>
      <c r="G222" s="42" t="s">
        <v>809</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883</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843</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886</v>
      </c>
      <c r="D227" s="16"/>
      <c r="E227" s="774">
        <f>$F$201</f>
        <v>16.548837499999998</v>
      </c>
      <c r="F227" s="667">
        <f>E227-H237</f>
        <v>0</v>
      </c>
      <c r="G227" s="16"/>
      <c r="H227" s="16" t="s">
        <v>887</v>
      </c>
      <c r="I227" s="16"/>
      <c r="J227" s="16"/>
      <c r="K227" s="774">
        <f>$N$201</f>
        <v>7.408287499999999</v>
      </c>
      <c r="L227" s="667">
        <f>K227-H253</f>
        <v>0</v>
      </c>
      <c r="M227" s="16"/>
      <c r="N227" s="5" t="s">
        <v>866</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847</v>
      </c>
      <c r="D228" s="16"/>
      <c r="E228" s="782">
        <v>1</v>
      </c>
      <c r="F228" s="822"/>
      <c r="G228" s="16"/>
      <c r="H228" s="16" t="s">
        <v>847</v>
      </c>
      <c r="I228" s="16"/>
      <c r="J228" s="16"/>
      <c r="K228" s="782">
        <v>1</v>
      </c>
      <c r="L228" s="822"/>
      <c r="M228" s="16"/>
      <c r="N228" s="491" t="s">
        <v>888</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889</v>
      </c>
      <c r="D229" s="16"/>
      <c r="E229" s="783">
        <v>0.1</v>
      </c>
      <c r="F229" s="822"/>
      <c r="G229" s="16"/>
      <c r="H229" s="16" t="s">
        <v>890</v>
      </c>
      <c r="I229" s="16"/>
      <c r="J229" s="16"/>
      <c r="K229" s="783">
        <v>0.1</v>
      </c>
      <c r="L229" s="822"/>
      <c r="M229" s="16"/>
      <c r="N229" s="5" t="s">
        <v>867</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891</v>
      </c>
      <c r="D230" s="16"/>
      <c r="E230" s="774">
        <f>$J$201</f>
        <v>21.224141568043322</v>
      </c>
      <c r="F230" s="667">
        <f>E230-H245</f>
        <v>0</v>
      </c>
      <c r="G230" s="16"/>
      <c r="H230" s="16" t="s">
        <v>892</v>
      </c>
      <c r="I230" s="16"/>
      <c r="J230" s="16"/>
      <c r="K230" s="774">
        <f>$R$201</f>
        <v>12.655598918298834</v>
      </c>
      <c r="L230" s="667">
        <f>K230-H261</f>
        <v>0</v>
      </c>
      <c r="M230" s="16"/>
      <c r="N230" s="491" t="s">
        <v>888</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847</v>
      </c>
      <c r="D231" s="16"/>
      <c r="E231" s="782">
        <v>1</v>
      </c>
      <c r="F231" s="822"/>
      <c r="G231" s="16"/>
      <c r="H231" s="16" t="s">
        <v>847</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850</v>
      </c>
      <c r="E234" s="22"/>
      <c r="F234" s="22"/>
      <c r="G234" s="22"/>
      <c r="H234" s="22"/>
      <c r="I234" s="22"/>
      <c r="J234" s="7"/>
      <c r="K234" s="784"/>
      <c r="L234" s="63" t="s">
        <v>851</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806</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867</v>
      </c>
      <c r="F270" s="44"/>
      <c r="G270" s="109" t="s">
        <v>902</v>
      </c>
      <c r="H270" s="109"/>
      <c r="I270" s="109" t="s">
        <v>903</v>
      </c>
      <c r="J270" s="109"/>
      <c r="K270" s="109" t="s">
        <v>865</v>
      </c>
      <c r="L270" s="109"/>
      <c r="M270" s="45" t="s">
        <v>904</v>
      </c>
      <c r="N270" s="16"/>
      <c r="O270" s="92" t="s">
        <v>905</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868</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871</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872</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873</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874</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875</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876</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877</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869</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870</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906</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906</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906</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906</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907</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908</v>
      </c>
      <c r="M5" s="112"/>
      <c r="N5" s="112"/>
      <c r="O5" s="112"/>
      <c r="P5" s="112"/>
      <c r="Q5" s="112"/>
      <c r="R5" s="839" t="s">
        <v>909</v>
      </c>
      <c r="S5" s="112"/>
      <c r="T5" s="112"/>
      <c r="U5" s="112"/>
      <c r="V5" s="112"/>
      <c r="W5" s="112"/>
      <c r="X5" s="839" t="s">
        <v>910</v>
      </c>
      <c r="Y5" s="112"/>
      <c r="Z5" s="112"/>
      <c r="AA5" s="112"/>
      <c r="AB5" s="112"/>
      <c r="AC5" s="112"/>
      <c r="AD5" s="839" t="s">
        <v>911</v>
      </c>
      <c r="AE5" s="112"/>
      <c r="AF5" s="112"/>
      <c r="AG5" s="112"/>
      <c r="AH5" s="112"/>
      <c r="AI5" s="112"/>
      <c r="AJ5" s="16"/>
      <c r="AK5" s="16"/>
      <c r="AL5" s="840" t="s">
        <v>908</v>
      </c>
      <c r="AM5" s="112"/>
      <c r="AN5" s="112"/>
      <c r="AO5" s="112"/>
      <c r="AP5" s="112"/>
      <c r="AQ5" s="112"/>
      <c r="AR5" s="839" t="s">
        <v>909</v>
      </c>
      <c r="AS5" s="112"/>
      <c r="AT5" s="112"/>
      <c r="AU5" s="112"/>
      <c r="AV5" s="112"/>
      <c r="AW5" s="112"/>
      <c r="AX5" s="839" t="s">
        <v>910</v>
      </c>
      <c r="AY5" s="112"/>
      <c r="AZ5" s="112"/>
      <c r="BA5" s="112"/>
      <c r="BB5" s="112"/>
      <c r="BC5" s="112"/>
      <c r="BD5" s="839" t="s">
        <v>911</v>
      </c>
      <c r="BE5" s="112"/>
      <c r="BF5" s="112"/>
      <c r="BG5" s="112"/>
      <c r="BH5" s="112"/>
      <c r="BI5" s="112"/>
      <c r="BJ5" s="16"/>
      <c r="BK5" s="16"/>
      <c r="BL5" s="840" t="s">
        <v>908</v>
      </c>
      <c r="BM5" s="112"/>
      <c r="BN5" s="112"/>
      <c r="BO5" s="112"/>
      <c r="BP5" s="112"/>
      <c r="BQ5" s="112"/>
      <c r="BR5" s="839" t="s">
        <v>909</v>
      </c>
      <c r="BS5" s="112"/>
      <c r="BT5" s="112"/>
      <c r="BU5" s="112"/>
      <c r="BV5" s="112"/>
      <c r="BW5" s="112"/>
      <c r="BX5" s="839" t="s">
        <v>910</v>
      </c>
      <c r="BY5" s="112"/>
      <c r="BZ5" s="112"/>
      <c r="CA5" s="112"/>
      <c r="CB5" s="112"/>
      <c r="CC5" s="112"/>
      <c r="CD5" s="839" t="s">
        <v>911</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912</v>
      </c>
      <c r="AY6" s="843" t="str">
        <f t="shared" ref="AY6:BC6" si="4">AS6</f>
        <v>Raytheon</v>
      </c>
      <c r="AZ6" s="843" t="str">
        <f>AT6</f>
        <v>Boeing</v>
      </c>
      <c r="BA6" s="843" t="str">
        <f>AU6</f>
        <v>Huntington Ingalls</v>
      </c>
      <c r="BB6" s="843" t="str">
        <f>AV6</f>
        <v>Lockheed Martin</v>
      </c>
      <c r="BC6" s="844" t="str">
        <f>AW6</f>
        <v>Northrop Grumman</v>
      </c>
      <c r="BD6" s="843" t="s">
        <v>912</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912</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913</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908</v>
      </c>
      <c r="F8" s="84" t="s">
        <v>909</v>
      </c>
      <c r="G8" s="84" t="s">
        <v>910</v>
      </c>
      <c r="H8" s="84" t="s">
        <v>911</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882</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884</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879</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885</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914</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908</v>
      </c>
      <c r="F14" s="84" t="s">
        <v>909</v>
      </c>
      <c r="G14" s="84" t="s">
        <v>910</v>
      </c>
      <c r="H14" s="84" t="s">
        <v>911</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915</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916</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917</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918</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919</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920</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921</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922</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923</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924</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925</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926</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913</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908</v>
      </c>
      <c r="F30" s="84" t="s">
        <v>909</v>
      </c>
      <c r="G30" s="84" t="s">
        <v>910</v>
      </c>
      <c r="H30" s="84" t="s">
        <v>911</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882</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884</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879</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885</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914</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908</v>
      </c>
      <c r="F36" s="84" t="s">
        <v>909</v>
      </c>
      <c r="G36" s="84" t="s">
        <v>910</v>
      </c>
      <c r="H36" s="84" t="s">
        <v>911</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915</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916</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917</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918</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919</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920</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921</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922</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923</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924</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925</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926</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913</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908</v>
      </c>
      <c r="F52" s="84" t="s">
        <v>909</v>
      </c>
      <c r="G52" s="84" t="s">
        <v>910</v>
      </c>
      <c r="H52" s="84" t="s">
        <v>911</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882</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884</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879</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885</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914</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908</v>
      </c>
      <c r="F58" s="84" t="s">
        <v>909</v>
      </c>
      <c r="G58" s="84" t="s">
        <v>910</v>
      </c>
      <c r="H58" s="84" t="s">
        <v>911</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915</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916</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917</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918</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919</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920</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921</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922</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923</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924</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925</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926</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913</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908</v>
      </c>
      <c r="F74" s="84" t="s">
        <v>909</v>
      </c>
      <c r="G74" s="84" t="s">
        <v>910</v>
      </c>
      <c r="H74" s="84" t="s">
        <v>911</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882</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884</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879</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885</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914</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908</v>
      </c>
      <c r="F80" s="84" t="s">
        <v>909</v>
      </c>
      <c r="G80" s="84" t="s">
        <v>910</v>
      </c>
      <c r="H80" s="84" t="s">
        <v>911</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915</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916</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917</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918</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919</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920</v>
      </c>
      <c r="D86" s="16"/>
      <c r="E86" s="724">
        <f>AVERAGE(BM8:BQ19)</f>
        <v>25.08153198498405</v>
      </c>
      <c r="F86" s="724">
        <f>AVERAGE(BS8:BW19)</f>
        <v>19.390935509155117</v>
      </c>
      <c r="G86" s="724">
        <f>AVERAGE(BY8:CC19)</f>
        <v>9.982036835170295</v>
      </c>
      <c r="H86" s="724" t="e">
        <f>AVERAGE(CE8:CI19)</f>
        <v>#DIV/0!</v>
      </c>
      <c r="I86" s="84"/>
      <c r="J86" s="5"/>
      <c r="K86" s="849" t="s">
        <v>527</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921</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922</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923</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924</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925</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926</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927</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928</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929</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929</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929</v>
      </c>
      <c r="D52" s="860">
        <v>0</v>
      </c>
      <c r="E52" s="861" t="e">
        <f t="shared" ref="E52:I52" si="6">E51/D51-1</f>
        <v>#DIV/0!</v>
      </c>
      <c r="F52" s="861" t="e">
        <f>F51/E51-1</f>
        <v>#DIV/0!</v>
      </c>
      <c r="G52" s="861" t="e">
        <f>G51/F51-1</f>
        <v>#DIV/0!</v>
      </c>
      <c r="H52" s="861" t="e">
        <f>H51/G51-1</f>
        <v>#DIV/0!</v>
      </c>
      <c r="I52" s="861" t="e">
        <f>I51/H51-1</f>
        <v>#DIV/0!</v>
      </c>
      <c r="J52" s="16"/>
      <c r="K52" s="857" t="s">
        <v>929</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929</v>
      </c>
      <c r="D72" s="860">
        <v>0</v>
      </c>
      <c r="E72" s="861">
        <f t="shared" ref="E72:I72" si="10">E71/D71-1</f>
        <v>-0.257436167412477</v>
      </c>
      <c r="F72" s="861">
        <f>F71/E71-1</f>
        <v>1.0258773484579935</v>
      </c>
      <c r="G72" s="861">
        <f>G71/F71-1</f>
      </c>
      <c r="H72" s="861">
        <f>H71/G71-1</f>
      </c>
      <c r="I72" s="861">
        <f>I71/H71-1</f>
      </c>
      <c r="J72" s="16"/>
      <c r="K72" s="857" t="s">
        <v>929</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929</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930</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931</v>
      </c>
      <c r="D117" s="866">
        <f>'Segment Analysis'!$T$16</f>
        <v>1</v>
      </c>
      <c r="E117" s="867">
        <f>'Segment Analysis'!$T$17</f>
        <v>0</v>
      </c>
      <c r="F117" s="867">
        <f>'Segment Analysis'!$T$20</f>
        <v>0</v>
      </c>
      <c r="G117" s="867">
        <f>'Segment Analysis'!$T$18</f>
        <v>0</v>
      </c>
      <c r="H117" s="867">
        <f>'Segment Analysis'!$T$19</f>
        <v>0</v>
      </c>
      <c r="I117" s="867">
        <f>'Segment Analysis'!$T$21</f>
        <v>0</v>
      </c>
      <c r="J117" s="168" t="s">
        <v>932</v>
      </c>
      <c r="K117" s="868">
        <f>SUM(D117:I117)</f>
        <v>1</v>
      </c>
      <c r="L117" s="16" t="s">
        <v>933</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934</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935</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936</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937</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938</v>
      </c>
      <c r="D157" s="110"/>
      <c r="E157" s="110"/>
      <c r="F157" s="110"/>
      <c r="G157" s="110"/>
      <c r="H157" s="110"/>
      <c r="I157" s="110"/>
      <c r="J157" s="16"/>
      <c r="K157" s="110" t="s">
        <v>939</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940</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941</v>
      </c>
      <c r="D160" s="863">
        <v>380</v>
      </c>
      <c r="E160" s="863">
        <v>400</v>
      </c>
      <c r="F160" s="863">
        <v>420</v>
      </c>
      <c r="G160" s="863">
        <v>460</v>
      </c>
      <c r="H160" s="863">
        <v>480</v>
      </c>
      <c r="I160" s="863">
        <v>490</v>
      </c>
      <c r="J160" s="16"/>
      <c r="K160" s="857" t="s">
        <v>942</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943</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944</v>
      </c>
      <c r="E179" s="210" t="s">
        <v>255</v>
      </c>
      <c r="F179" s="210" t="s">
        <v>253</v>
      </c>
      <c r="G179" s="210" t="s">
        <v>252</v>
      </c>
      <c r="H179" s="210" t="s">
        <v>251</v>
      </c>
      <c r="I179" s="16"/>
      <c r="J179" s="16"/>
      <c r="K179" s="16"/>
      <c r="L179" s="16"/>
      <c r="M179" s="16"/>
      <c r="N179" s="239" t="s">
        <v>945</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946</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947</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948</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949</v>
      </c>
      <c r="D10" s="112"/>
      <c r="E10" s="112"/>
      <c r="F10" s="47"/>
      <c r="G10" s="16"/>
      <c r="H10" s="16"/>
      <c r="I10" s="16"/>
      <c r="J10" s="16"/>
      <c r="K10" s="16"/>
      <c r="L10" s="16"/>
      <c r="M10" s="16"/>
      <c r="N10" s="16"/>
      <c r="O10" s="883" t="s">
        <v>950</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26</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501</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505</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508</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511</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951</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952</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953</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954</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955</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956</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957</v>
      </c>
      <c r="D4" s="16"/>
      <c r="E4" s="16"/>
      <c r="F4" s="16"/>
      <c r="G4" s="16"/>
      <c r="H4" s="53" t="s">
        <v>958</v>
      </c>
      <c r="I4" s="16"/>
      <c r="J4" s="16"/>
      <c r="K4" s="16"/>
      <c r="L4" s="16"/>
      <c r="M4" s="16"/>
      <c r="N4" s="16"/>
      <c r="O4" s="16"/>
      <c r="P4" s="16"/>
      <c r="Q4" s="4"/>
      <c r="R4" s="4"/>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963</v>
      </c>
      <c r="I10" s="111" t="s">
        <v>964</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957</v>
      </c>
      <c r="D4" s="16"/>
      <c r="E4" s="16"/>
      <c r="F4" s="16"/>
      <c r="G4" s="16"/>
      <c r="H4" s="53" t="s">
        <v>958</v>
      </c>
      <c r="I4" s="16"/>
      <c r="J4" s="915" t="s">
        <v>907</v>
      </c>
      <c r="K4" s="16"/>
      <c r="L4" s="16"/>
      <c r="M4" s="16"/>
      <c r="N4" s="16"/>
      <c r="O4" s="16"/>
      <c r="P4" s="16"/>
      <c r="Q4" s="16"/>
      <c r="R4" s="16"/>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963</v>
      </c>
      <c r="J10" s="111" t="s">
        <v>964</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14"/>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965</v>
      </c>
      <c r="B1" s="918" t="s">
        <v>966</v>
      </c>
      <c r="C1" s="918" t="s">
        <v>967</v>
      </c>
      <c r="D1" s="918" t="s">
        <v>968</v>
      </c>
      <c r="E1" s="918" t="s">
        <v>969</v>
      </c>
      <c r="F1" s="918" t="s">
        <v>970</v>
      </c>
      <c r="G1" s="918" t="s">
        <v>971</v>
      </c>
      <c r="H1" s="918" t="s">
        <v>972</v>
      </c>
      <c r="I1" s="918" t="s">
        <v>973</v>
      </c>
      <c r="J1" s="918" t="s">
        <v>974</v>
      </c>
      <c r="K1" s="918" t="s">
        <v>975</v>
      </c>
      <c r="L1" s="918" t="s">
        <v>976</v>
      </c>
      <c r="M1" s="918" t="s">
        <v>977</v>
      </c>
      <c r="N1" s="918" t="s">
        <v>978</v>
      </c>
      <c r="O1" s="918" t="s">
        <v>979</v>
      </c>
      <c r="P1" s="918" t="s">
        <v>980</v>
      </c>
      <c r="Q1" s="918" t="s">
        <v>981</v>
      </c>
      <c r="R1" s="918" t="s">
        <v>982</v>
      </c>
      <c r="S1" s="918" t="s">
        <v>983</v>
      </c>
      <c r="T1" s="918" t="s">
        <v>984</v>
      </c>
      <c r="U1" s="918" t="s">
        <v>985</v>
      </c>
      <c r="V1" s="918" t="s">
        <v>986</v>
      </c>
      <c r="W1" s="918" t="s">
        <v>987</v>
      </c>
      <c r="X1" s="918" t="s">
        <v>988</v>
      </c>
    </row>
    <row r="2" spans="1:24" x14ac:dyDescent="0.25">
      <c r="A2" t="s">
        <v>42</v>
      </c>
      <c r="B2" t="s">
        <v>989</v>
      </c>
      <c r="C2" t="s">
        <v>375</v>
      </c>
      <c r="E2" t="s">
        <v>990</v>
      </c>
      <c r="F2">
        <v>0</v>
      </c>
      <c r="G2" t="s">
        <v>991</v>
      </c>
      <c r="H2" t="s">
        <v>992</v>
      </c>
      <c r="J2" t="s">
        <v>993</v>
      </c>
      <c r="K2" t="s">
        <v>992</v>
      </c>
      <c r="L2" t="s">
        <v>992</v>
      </c>
      <c r="Q2" t="b">
        <v>1</v>
      </c>
      <c r="R2" t="b">
        <v>0</v>
      </c>
      <c r="T2" t="s">
        <v>992</v>
      </c>
      <c r="U2" t="s">
        <v>994</v>
      </c>
      <c r="V2" t="s">
        <v>995</v>
      </c>
      <c r="W2" t="s">
        <v>996</v>
      </c>
      <c r="X2" t="s">
        <v>997</v>
      </c>
    </row>
    <row r="3" spans="1:24" x14ac:dyDescent="0.25">
      <c r="A3" t="s">
        <v>42</v>
      </c>
      <c r="B3" t="s">
        <v>998</v>
      </c>
      <c r="C3" t="s">
        <v>375</v>
      </c>
      <c r="E3" t="s">
        <v>999</v>
      </c>
      <c r="F3">
        <v>0</v>
      </c>
      <c r="G3" t="s">
        <v>991</v>
      </c>
      <c r="H3" t="s">
        <v>992</v>
      </c>
      <c r="J3" t="s">
        <v>993</v>
      </c>
      <c r="K3" t="s">
        <v>992</v>
      </c>
      <c r="L3" t="s">
        <v>992</v>
      </c>
      <c r="Q3" t="b">
        <v>1</v>
      </c>
      <c r="R3" t="b">
        <v>0</v>
      </c>
      <c r="T3" t="s">
        <v>992</v>
      </c>
      <c r="U3" t="s">
        <v>994</v>
      </c>
      <c r="V3" t="s">
        <v>995</v>
      </c>
      <c r="W3" t="s">
        <v>996</v>
      </c>
      <c r="X3" t="s">
        <v>997</v>
      </c>
    </row>
    <row r="4" spans="1:24" x14ac:dyDescent="0.25">
      <c r="A4" t="s">
        <v>42</v>
      </c>
      <c r="B4" t="s">
        <v>1000</v>
      </c>
      <c r="C4" t="s">
        <v>375</v>
      </c>
      <c r="E4" t="s">
        <v>1001</v>
      </c>
      <c r="F4">
        <v>0</v>
      </c>
      <c r="G4" t="s">
        <v>991</v>
      </c>
      <c r="H4" t="s">
        <v>992</v>
      </c>
      <c r="J4" t="s">
        <v>993</v>
      </c>
      <c r="K4" t="s">
        <v>992</v>
      </c>
      <c r="L4" t="s">
        <v>992</v>
      </c>
      <c r="Q4" t="b">
        <v>1</v>
      </c>
      <c r="R4" t="b">
        <v>0</v>
      </c>
      <c r="T4" t="s">
        <v>992</v>
      </c>
      <c r="U4" t="s">
        <v>994</v>
      </c>
      <c r="V4" t="s">
        <v>995</v>
      </c>
      <c r="W4" t="s">
        <v>996</v>
      </c>
      <c r="X4" t="s">
        <v>997</v>
      </c>
    </row>
    <row r="5" spans="1:24" x14ac:dyDescent="0.25">
      <c r="A5" t="s">
        <v>42</v>
      </c>
      <c r="B5" t="s">
        <v>1002</v>
      </c>
      <c r="C5" t="s">
        <v>375</v>
      </c>
      <c r="E5" t="s">
        <v>1003</v>
      </c>
      <c r="F5">
        <v>0</v>
      </c>
      <c r="G5" t="s">
        <v>991</v>
      </c>
      <c r="H5" t="s">
        <v>992</v>
      </c>
      <c r="J5" t="s">
        <v>993</v>
      </c>
      <c r="K5" t="s">
        <v>992</v>
      </c>
      <c r="L5" t="s">
        <v>992</v>
      </c>
      <c r="Q5" t="b">
        <v>1</v>
      </c>
      <c r="R5" t="b">
        <v>0</v>
      </c>
      <c r="T5" t="s">
        <v>992</v>
      </c>
      <c r="U5" t="s">
        <v>994</v>
      </c>
      <c r="V5" t="s">
        <v>995</v>
      </c>
      <c r="W5" t="s">
        <v>996</v>
      </c>
      <c r="X5" t="s">
        <v>997</v>
      </c>
    </row>
    <row r="6" spans="1:24" x14ac:dyDescent="0.25">
      <c r="A6" t="s">
        <v>42</v>
      </c>
      <c r="B6" t="s">
        <v>1004</v>
      </c>
      <c r="C6" t="s">
        <v>375</v>
      </c>
      <c r="E6" t="s">
        <v>1005</v>
      </c>
      <c r="F6">
        <v>0</v>
      </c>
      <c r="G6" t="s">
        <v>991</v>
      </c>
      <c r="H6" t="s">
        <v>992</v>
      </c>
      <c r="J6" t="s">
        <v>993</v>
      </c>
      <c r="K6" t="s">
        <v>992</v>
      </c>
      <c r="L6" t="s">
        <v>992</v>
      </c>
      <c r="Q6" t="b">
        <v>1</v>
      </c>
      <c r="R6" t="b">
        <v>0</v>
      </c>
      <c r="T6" t="s">
        <v>992</v>
      </c>
      <c r="U6" t="s">
        <v>994</v>
      </c>
      <c r="V6" t="s">
        <v>995</v>
      </c>
      <c r="W6" t="s">
        <v>996</v>
      </c>
      <c r="X6" t="s">
        <v>997</v>
      </c>
    </row>
    <row r="7" spans="1:24" x14ac:dyDescent="0.25">
      <c r="A7" t="s">
        <v>42</v>
      </c>
      <c r="B7" t="s">
        <v>1006</v>
      </c>
      <c r="C7" t="s">
        <v>375</v>
      </c>
      <c r="E7" t="s">
        <v>1007</v>
      </c>
      <c r="F7">
        <v>0</v>
      </c>
      <c r="G7" t="s">
        <v>991</v>
      </c>
      <c r="H7" t="s">
        <v>992</v>
      </c>
      <c r="J7" t="s">
        <v>993</v>
      </c>
      <c r="K7" t="s">
        <v>992</v>
      </c>
      <c r="L7" t="s">
        <v>992</v>
      </c>
      <c r="Q7" t="b">
        <v>1</v>
      </c>
      <c r="R7" t="b">
        <v>0</v>
      </c>
      <c r="T7" t="s">
        <v>992</v>
      </c>
      <c r="U7" t="s">
        <v>994</v>
      </c>
      <c r="V7" t="s">
        <v>995</v>
      </c>
      <c r="W7" t="s">
        <v>996</v>
      </c>
      <c r="X7" t="s">
        <v>997</v>
      </c>
    </row>
    <row r="8" spans="1:24" x14ac:dyDescent="0.25">
      <c r="A8" t="s">
        <v>42</v>
      </c>
      <c r="B8" t="s">
        <v>1008</v>
      </c>
      <c r="C8" t="s">
        <v>375</v>
      </c>
      <c r="E8" t="s">
        <v>1009</v>
      </c>
      <c r="F8">
        <v>0</v>
      </c>
      <c r="G8" t="s">
        <v>991</v>
      </c>
      <c r="H8" t="s">
        <v>992</v>
      </c>
      <c r="J8" t="s">
        <v>993</v>
      </c>
      <c r="K8" t="s">
        <v>992</v>
      </c>
      <c r="L8" t="s">
        <v>992</v>
      </c>
      <c r="Q8" t="b">
        <v>1</v>
      </c>
      <c r="R8" t="b">
        <v>0</v>
      </c>
      <c r="T8" t="s">
        <v>992</v>
      </c>
      <c r="U8" t="s">
        <v>994</v>
      </c>
      <c r="V8" t="s">
        <v>995</v>
      </c>
      <c r="W8" t="s">
        <v>996</v>
      </c>
      <c r="X8" t="s">
        <v>997</v>
      </c>
    </row>
    <row r="9" spans="1:24" x14ac:dyDescent="0.25">
      <c r="A9" t="s">
        <v>42</v>
      </c>
      <c r="B9" t="s">
        <v>1010</v>
      </c>
      <c r="C9" t="s">
        <v>375</v>
      </c>
      <c r="E9" t="s">
        <v>1011</v>
      </c>
      <c r="F9">
        <v>0</v>
      </c>
      <c r="G9" t="s">
        <v>991</v>
      </c>
      <c r="H9" t="s">
        <v>992</v>
      </c>
      <c r="J9" t="s">
        <v>993</v>
      </c>
      <c r="K9" t="s">
        <v>992</v>
      </c>
      <c r="L9" t="s">
        <v>992</v>
      </c>
      <c r="Q9" t="b">
        <v>1</v>
      </c>
      <c r="R9" t="b">
        <v>0</v>
      </c>
      <c r="T9" t="s">
        <v>992</v>
      </c>
      <c r="U9" t="s">
        <v>994</v>
      </c>
      <c r="V9" t="s">
        <v>995</v>
      </c>
      <c r="W9" t="s">
        <v>996</v>
      </c>
      <c r="X9" t="s">
        <v>997</v>
      </c>
    </row>
    <row r="10" spans="1:24" x14ac:dyDescent="0.25">
      <c r="A10" t="s">
        <v>42</v>
      </c>
      <c r="B10" t="s">
        <v>1012</v>
      </c>
      <c r="C10" t="s">
        <v>375</v>
      </c>
      <c r="E10" t="s">
        <v>1013</v>
      </c>
      <c r="F10">
        <v>0</v>
      </c>
      <c r="G10" t="s">
        <v>991</v>
      </c>
      <c r="H10" t="s">
        <v>992</v>
      </c>
      <c r="J10" t="s">
        <v>993</v>
      </c>
      <c r="K10" t="s">
        <v>992</v>
      </c>
      <c r="L10" t="s">
        <v>992</v>
      </c>
      <c r="Q10" t="b">
        <v>1</v>
      </c>
      <c r="R10" t="b">
        <v>0</v>
      </c>
      <c r="T10" t="s">
        <v>992</v>
      </c>
      <c r="U10" t="s">
        <v>994</v>
      </c>
      <c r="V10" t="s">
        <v>995</v>
      </c>
      <c r="W10" t="s">
        <v>996</v>
      </c>
      <c r="X10" t="s">
        <v>997</v>
      </c>
    </row>
    <row r="11" spans="1:24" x14ac:dyDescent="0.25">
      <c r="A11" t="s">
        <v>42</v>
      </c>
      <c r="B11" t="s">
        <v>1014</v>
      </c>
      <c r="C11" t="s">
        <v>375</v>
      </c>
      <c r="E11" t="s">
        <v>1015</v>
      </c>
      <c r="F11">
        <v>0</v>
      </c>
      <c r="G11" t="s">
        <v>991</v>
      </c>
      <c r="H11" t="s">
        <v>992</v>
      </c>
      <c r="J11" t="s">
        <v>993</v>
      </c>
      <c r="K11" t="s">
        <v>992</v>
      </c>
      <c r="L11" t="s">
        <v>992</v>
      </c>
      <c r="Q11" t="b">
        <v>1</v>
      </c>
      <c r="R11" t="b">
        <v>0</v>
      </c>
      <c r="T11" t="s">
        <v>992</v>
      </c>
      <c r="U11" t="s">
        <v>994</v>
      </c>
      <c r="V11" t="s">
        <v>995</v>
      </c>
      <c r="W11" t="s">
        <v>996</v>
      </c>
      <c r="X11" t="s">
        <v>997</v>
      </c>
    </row>
    <row r="12" spans="1:24" x14ac:dyDescent="0.25">
      <c r="A12" t="s">
        <v>42</v>
      </c>
      <c r="B12" t="s">
        <v>1016</v>
      </c>
      <c r="C12" t="s">
        <v>375</v>
      </c>
      <c r="E12" t="s">
        <v>1017</v>
      </c>
      <c r="F12">
        <v>0</v>
      </c>
      <c r="G12" t="s">
        <v>991</v>
      </c>
      <c r="H12" t="s">
        <v>992</v>
      </c>
      <c r="J12" t="s">
        <v>993</v>
      </c>
      <c r="K12" t="s">
        <v>992</v>
      </c>
      <c r="L12" t="s">
        <v>992</v>
      </c>
      <c r="Q12" t="b">
        <v>1</v>
      </c>
      <c r="R12" t="b">
        <v>0</v>
      </c>
      <c r="T12" t="s">
        <v>992</v>
      </c>
      <c r="U12" t="s">
        <v>994</v>
      </c>
      <c r="V12" t="s">
        <v>995</v>
      </c>
      <c r="W12" t="s">
        <v>996</v>
      </c>
      <c r="X12" t="s">
        <v>997</v>
      </c>
    </row>
    <row r="13" spans="1:24" x14ac:dyDescent="0.25">
      <c r="A13" t="s">
        <v>42</v>
      </c>
      <c r="B13" t="s">
        <v>1018</v>
      </c>
      <c r="C13" t="s">
        <v>375</v>
      </c>
      <c r="E13" t="s">
        <v>1019</v>
      </c>
      <c r="F13">
        <v>0</v>
      </c>
      <c r="G13" t="s">
        <v>991</v>
      </c>
      <c r="H13" t="s">
        <v>992</v>
      </c>
      <c r="J13" t="s">
        <v>993</v>
      </c>
      <c r="K13" t="s">
        <v>992</v>
      </c>
      <c r="L13" t="s">
        <v>992</v>
      </c>
      <c r="Q13" t="b">
        <v>1</v>
      </c>
      <c r="R13" t="b">
        <v>0</v>
      </c>
      <c r="T13" t="s">
        <v>992</v>
      </c>
      <c r="U13" t="s">
        <v>994</v>
      </c>
      <c r="V13" t="s">
        <v>995</v>
      </c>
      <c r="W13" t="s">
        <v>996</v>
      </c>
      <c r="X13" t="s">
        <v>997</v>
      </c>
    </row>
    <row r="14" spans="1:24" x14ac:dyDescent="0.25">
      <c r="A14" t="s">
        <v>42</v>
      </c>
      <c r="B14" t="s">
        <v>1020</v>
      </c>
      <c r="C14" t="s">
        <v>375</v>
      </c>
      <c r="E14" t="s">
        <v>1021</v>
      </c>
      <c r="F14">
        <v>0</v>
      </c>
      <c r="G14" t="s">
        <v>991</v>
      </c>
      <c r="H14" t="s">
        <v>992</v>
      </c>
      <c r="J14" t="s">
        <v>993</v>
      </c>
      <c r="K14" t="s">
        <v>992</v>
      </c>
      <c r="L14" t="s">
        <v>992</v>
      </c>
      <c r="Q14" t="b">
        <v>1</v>
      </c>
      <c r="R14" t="b">
        <v>0</v>
      </c>
      <c r="T14" t="s">
        <v>992</v>
      </c>
      <c r="U14" t="s">
        <v>994</v>
      </c>
      <c r="V14" t="s">
        <v>995</v>
      </c>
      <c r="W14" t="s">
        <v>996</v>
      </c>
      <c r="X14" t="s">
        <v>997</v>
      </c>
    </row>
    <row r="15" spans="1:24" x14ac:dyDescent="0.25">
      <c r="A15" t="s">
        <v>42</v>
      </c>
      <c r="B15" t="s">
        <v>1022</v>
      </c>
      <c r="C15" t="s">
        <v>269</v>
      </c>
      <c r="D15" t="s">
        <v>427</v>
      </c>
      <c r="E15" t="s">
        <v>990</v>
      </c>
      <c r="F15">
        <v>-66822</v>
      </c>
      <c r="G15" t="s">
        <v>1023</v>
      </c>
      <c r="H15" t="s">
        <v>1024</v>
      </c>
      <c r="I15" t="s">
        <v>1025</v>
      </c>
      <c r="J15" t="s">
        <v>993</v>
      </c>
      <c r="K15" t="s">
        <v>1026</v>
      </c>
      <c r="L15" t="s">
        <v>1027</v>
      </c>
      <c r="M15" t="s">
        <v>1028</v>
      </c>
      <c r="N15" t="s">
        <v>1029</v>
      </c>
      <c r="O15" t="s">
        <v>1030</v>
      </c>
      <c r="P15" t="s">
        <v>1031</v>
      </c>
      <c r="Q15" t="b">
        <v>1</v>
      </c>
      <c r="R15" t="b">
        <v>0</v>
      </c>
      <c r="S15" t="s">
        <v>1032</v>
      </c>
      <c r="T15" t="s">
        <v>992</v>
      </c>
      <c r="U15" t="s">
        <v>1033</v>
      </c>
      <c r="V15" t="s">
        <v>995</v>
      </c>
      <c r="W15" t="s">
        <v>1034</v>
      </c>
      <c r="X15" t="s">
        <v>1035</v>
      </c>
    </row>
    <row r="16" spans="1:24" x14ac:dyDescent="0.25">
      <c r="A16" t="s">
        <v>42</v>
      </c>
      <c r="B16" t="s">
        <v>1036</v>
      </c>
      <c r="C16" t="s">
        <v>269</v>
      </c>
      <c r="D16" t="s">
        <v>427</v>
      </c>
      <c r="E16" t="s">
        <v>999</v>
      </c>
      <c r="F16">
        <v>-52860</v>
      </c>
      <c r="G16" t="s">
        <v>1023</v>
      </c>
      <c r="H16" t="s">
        <v>1037</v>
      </c>
      <c r="I16" t="s">
        <v>1025</v>
      </c>
      <c r="J16" t="s">
        <v>993</v>
      </c>
      <c r="K16" t="s">
        <v>1038</v>
      </c>
      <c r="L16" t="s">
        <v>1039</v>
      </c>
      <c r="M16" t="s">
        <v>1028</v>
      </c>
      <c r="N16" t="s">
        <v>1040</v>
      </c>
      <c r="O16" t="s">
        <v>1041</v>
      </c>
      <c r="P16" t="s">
        <v>1042</v>
      </c>
      <c r="Q16" t="b">
        <v>1</v>
      </c>
      <c r="R16" t="b">
        <v>0</v>
      </c>
      <c r="S16" t="s">
        <v>1032</v>
      </c>
      <c r="T16" t="s">
        <v>992</v>
      </c>
      <c r="U16" t="s">
        <v>1033</v>
      </c>
      <c r="V16" t="s">
        <v>995</v>
      </c>
      <c r="W16" t="s">
        <v>1034</v>
      </c>
      <c r="X16" t="s">
        <v>1035</v>
      </c>
    </row>
    <row r="17" spans="1:24" x14ac:dyDescent="0.25">
      <c r="A17" t="s">
        <v>42</v>
      </c>
      <c r="B17" t="s">
        <v>1043</v>
      </c>
      <c r="C17" t="s">
        <v>269</v>
      </c>
      <c r="D17" t="s">
        <v>427</v>
      </c>
      <c r="E17" t="s">
        <v>1001</v>
      </c>
      <c r="F17">
        <v>-45384</v>
      </c>
      <c r="G17" t="s">
        <v>1023</v>
      </c>
      <c r="H17" t="s">
        <v>1044</v>
      </c>
      <c r="I17" t="s">
        <v>1025</v>
      </c>
      <c r="J17" t="s">
        <v>993</v>
      </c>
      <c r="K17" t="s">
        <v>1045</v>
      </c>
      <c r="L17" t="s">
        <v>1046</v>
      </c>
      <c r="M17" t="s">
        <v>1028</v>
      </c>
      <c r="N17" t="s">
        <v>1047</v>
      </c>
      <c r="O17" t="s">
        <v>1048</v>
      </c>
      <c r="P17" t="s">
        <v>1049</v>
      </c>
      <c r="Q17" t="b">
        <v>1</v>
      </c>
      <c r="R17" t="b">
        <v>0</v>
      </c>
      <c r="S17" t="s">
        <v>1032</v>
      </c>
      <c r="T17" t="s">
        <v>992</v>
      </c>
      <c r="U17" t="s">
        <v>1033</v>
      </c>
      <c r="V17" t="s">
        <v>995</v>
      </c>
      <c r="W17" t="s">
        <v>1034</v>
      </c>
      <c r="X17" t="s">
        <v>1035</v>
      </c>
    </row>
    <row r="18" spans="1:24" x14ac:dyDescent="0.25">
      <c r="A18" t="s">
        <v>42</v>
      </c>
      <c r="B18" t="s">
        <v>1050</v>
      </c>
      <c r="C18" t="s">
        <v>269</v>
      </c>
      <c r="D18" t="s">
        <v>427</v>
      </c>
      <c r="E18" t="s">
        <v>1003</v>
      </c>
      <c r="F18">
        <v>-49071</v>
      </c>
      <c r="G18" t="s">
        <v>1051</v>
      </c>
      <c r="H18" t="s">
        <v>1052</v>
      </c>
      <c r="I18" t="s">
        <v>1053</v>
      </c>
      <c r="J18" t="s">
        <v>993</v>
      </c>
      <c r="K18" t="s">
        <v>1054</v>
      </c>
      <c r="L18" t="s">
        <v>1055</v>
      </c>
      <c r="M18" t="s">
        <v>1056</v>
      </c>
      <c r="N18" t="s">
        <v>1057</v>
      </c>
      <c r="O18" t="s">
        <v>1030</v>
      </c>
      <c r="P18" t="s">
        <v>1058</v>
      </c>
      <c r="Q18" t="b">
        <v>1</v>
      </c>
      <c r="R18" t="b">
        <v>1</v>
      </c>
      <c r="S18" t="s">
        <v>1059</v>
      </c>
      <c r="T18" t="s">
        <v>992</v>
      </c>
      <c r="U18" t="s">
        <v>1060</v>
      </c>
      <c r="V18" t="s">
        <v>1061</v>
      </c>
      <c r="W18" t="s">
        <v>1034</v>
      </c>
      <c r="X18" t="s">
        <v>1062</v>
      </c>
    </row>
    <row r="19" spans="1:24" x14ac:dyDescent="0.25">
      <c r="A19" t="s">
        <v>42</v>
      </c>
      <c r="B19" t="s">
        <v>1063</v>
      </c>
      <c r="C19" t="s">
        <v>269</v>
      </c>
      <c r="D19" t="s">
        <v>427</v>
      </c>
      <c r="E19" t="s">
        <v>1005</v>
      </c>
      <c r="F19">
        <v>-64720</v>
      </c>
      <c r="G19" t="s">
        <v>1023</v>
      </c>
      <c r="H19" t="s">
        <v>1064</v>
      </c>
      <c r="I19" t="s">
        <v>1025</v>
      </c>
      <c r="J19" t="s">
        <v>993</v>
      </c>
      <c r="K19" t="s">
        <v>1065</v>
      </c>
      <c r="L19" t="s">
        <v>1066</v>
      </c>
      <c r="M19" t="s">
        <v>1028</v>
      </c>
      <c r="N19" t="s">
        <v>1067</v>
      </c>
      <c r="O19" t="s">
        <v>1068</v>
      </c>
      <c r="P19" t="s">
        <v>1069</v>
      </c>
      <c r="Q19" t="b">
        <v>1</v>
      </c>
      <c r="R19" t="b">
        <v>0</v>
      </c>
      <c r="S19" t="s">
        <v>1032</v>
      </c>
      <c r="T19" t="s">
        <v>992</v>
      </c>
      <c r="U19" t="s">
        <v>1033</v>
      </c>
      <c r="V19" t="s">
        <v>995</v>
      </c>
      <c r="W19" t="s">
        <v>1034</v>
      </c>
      <c r="X19" t="s">
        <v>1035</v>
      </c>
    </row>
    <row r="20" spans="1:24" x14ac:dyDescent="0.25">
      <c r="A20" t="s">
        <v>42</v>
      </c>
      <c r="B20" t="s">
        <v>1070</v>
      </c>
      <c r="C20" t="s">
        <v>269</v>
      </c>
      <c r="D20" t="s">
        <v>427</v>
      </c>
      <c r="E20" t="s">
        <v>1007</v>
      </c>
      <c r="F20">
        <v>-48482</v>
      </c>
      <c r="G20" t="s">
        <v>1023</v>
      </c>
      <c r="H20" t="s">
        <v>1071</v>
      </c>
      <c r="I20" t="s">
        <v>1025</v>
      </c>
      <c r="J20" t="s">
        <v>993</v>
      </c>
      <c r="K20" t="s">
        <v>1072</v>
      </c>
      <c r="L20" t="s">
        <v>1073</v>
      </c>
      <c r="M20" t="s">
        <v>1028</v>
      </c>
      <c r="N20" t="s">
        <v>1074</v>
      </c>
      <c r="O20" t="s">
        <v>1075</v>
      </c>
      <c r="P20" t="s">
        <v>1076</v>
      </c>
      <c r="Q20" t="b">
        <v>1</v>
      </c>
      <c r="R20" t="b">
        <v>0</v>
      </c>
      <c r="S20" t="s">
        <v>1032</v>
      </c>
      <c r="T20" t="s">
        <v>992</v>
      </c>
      <c r="U20" t="s">
        <v>1033</v>
      </c>
      <c r="V20" t="s">
        <v>995</v>
      </c>
      <c r="W20" t="s">
        <v>1034</v>
      </c>
      <c r="X20" t="s">
        <v>1035</v>
      </c>
    </row>
    <row r="21" spans="1:24" x14ac:dyDescent="0.25">
      <c r="A21" t="s">
        <v>42</v>
      </c>
      <c r="B21" t="s">
        <v>1077</v>
      </c>
      <c r="C21" t="s">
        <v>269</v>
      </c>
      <c r="D21" t="s">
        <v>427</v>
      </c>
      <c r="E21" t="s">
        <v>1009</v>
      </c>
      <c r="F21">
        <v>-46099</v>
      </c>
      <c r="G21" t="s">
        <v>1023</v>
      </c>
      <c r="H21" t="s">
        <v>1078</v>
      </c>
      <c r="I21" t="s">
        <v>1025</v>
      </c>
      <c r="J21" t="s">
        <v>993</v>
      </c>
      <c r="K21" t="s">
        <v>1079</v>
      </c>
      <c r="L21" t="s">
        <v>1080</v>
      </c>
      <c r="M21" t="s">
        <v>1028</v>
      </c>
      <c r="N21" t="s">
        <v>1081</v>
      </c>
      <c r="O21" t="s">
        <v>1082</v>
      </c>
      <c r="P21" t="s">
        <v>1083</v>
      </c>
      <c r="Q21" t="b">
        <v>1</v>
      </c>
      <c r="R21" t="b">
        <v>0</v>
      </c>
      <c r="S21" t="s">
        <v>1032</v>
      </c>
      <c r="T21" t="s">
        <v>992</v>
      </c>
      <c r="U21" t="s">
        <v>1033</v>
      </c>
      <c r="V21" t="s">
        <v>995</v>
      </c>
      <c r="W21" t="s">
        <v>1034</v>
      </c>
      <c r="X21" t="s">
        <v>1035</v>
      </c>
    </row>
    <row r="22" spans="1:24" x14ac:dyDescent="0.25">
      <c r="A22" t="s">
        <v>42</v>
      </c>
      <c r="B22" t="s">
        <v>1084</v>
      </c>
      <c r="C22" t="s">
        <v>269</v>
      </c>
      <c r="D22" t="s">
        <v>427</v>
      </c>
      <c r="E22" t="s">
        <v>1011</v>
      </c>
      <c r="F22">
        <v>-51051</v>
      </c>
      <c r="G22" t="s">
        <v>1085</v>
      </c>
      <c r="H22" t="s">
        <v>1086</v>
      </c>
      <c r="I22" t="s">
        <v>1053</v>
      </c>
      <c r="J22" t="s">
        <v>993</v>
      </c>
      <c r="K22" t="s">
        <v>1087</v>
      </c>
      <c r="L22" t="s">
        <v>1088</v>
      </c>
      <c r="M22" t="s">
        <v>1056</v>
      </c>
      <c r="N22" t="s">
        <v>1089</v>
      </c>
      <c r="O22" t="s">
        <v>1068</v>
      </c>
      <c r="P22" t="s">
        <v>1090</v>
      </c>
      <c r="Q22" t="b">
        <v>1</v>
      </c>
      <c r="R22" t="b">
        <v>0</v>
      </c>
      <c r="S22" t="s">
        <v>1032</v>
      </c>
      <c r="T22" t="s">
        <v>992</v>
      </c>
      <c r="U22" t="s">
        <v>1033</v>
      </c>
      <c r="V22" t="s">
        <v>1061</v>
      </c>
      <c r="W22" t="s">
        <v>1034</v>
      </c>
      <c r="X22" t="s">
        <v>1091</v>
      </c>
    </row>
    <row r="23" spans="1:24" x14ac:dyDescent="0.25">
      <c r="A23" t="s">
        <v>42</v>
      </c>
      <c r="B23" t="s">
        <v>1092</v>
      </c>
      <c r="C23" t="s">
        <v>269</v>
      </c>
      <c r="D23" t="s">
        <v>427</v>
      </c>
      <c r="E23" t="s">
        <v>1013</v>
      </c>
      <c r="F23">
        <v>-66025</v>
      </c>
      <c r="G23" t="s">
        <v>1051</v>
      </c>
      <c r="H23" t="s">
        <v>1093</v>
      </c>
      <c r="I23" t="s">
        <v>1025</v>
      </c>
      <c r="J23" t="s">
        <v>993</v>
      </c>
      <c r="K23" t="s">
        <v>1094</v>
      </c>
      <c r="L23" t="s">
        <v>1095</v>
      </c>
      <c r="M23" t="s">
        <v>1028</v>
      </c>
      <c r="N23" t="s">
        <v>1096</v>
      </c>
      <c r="O23" t="s">
        <v>1097</v>
      </c>
      <c r="P23" t="s">
        <v>1098</v>
      </c>
      <c r="Q23" t="b">
        <v>1</v>
      </c>
      <c r="R23" t="b">
        <v>1</v>
      </c>
      <c r="S23" t="s">
        <v>1099</v>
      </c>
      <c r="T23" t="s">
        <v>992</v>
      </c>
      <c r="U23" t="s">
        <v>1060</v>
      </c>
      <c r="V23" t="s">
        <v>995</v>
      </c>
      <c r="W23" t="s">
        <v>1034</v>
      </c>
      <c r="X23" t="s">
        <v>1062</v>
      </c>
    </row>
    <row r="24" spans="1:24" x14ac:dyDescent="0.25">
      <c r="A24" t="s">
        <v>42</v>
      </c>
      <c r="B24" t="s">
        <v>1100</v>
      </c>
      <c r="C24" t="s">
        <v>269</v>
      </c>
      <c r="D24" t="s">
        <v>427</v>
      </c>
      <c r="E24" t="s">
        <v>1015</v>
      </c>
      <c r="F24">
        <v>-50492</v>
      </c>
      <c r="G24" t="s">
        <v>1051</v>
      </c>
      <c r="H24" t="s">
        <v>1101</v>
      </c>
      <c r="I24" t="s">
        <v>1025</v>
      </c>
      <c r="J24" t="s">
        <v>993</v>
      </c>
      <c r="K24" t="s">
        <v>1102</v>
      </c>
      <c r="L24" t="s">
        <v>1103</v>
      </c>
      <c r="M24" t="s">
        <v>1028</v>
      </c>
      <c r="N24" t="s">
        <v>1104</v>
      </c>
      <c r="O24" t="s">
        <v>1105</v>
      </c>
      <c r="P24" t="s">
        <v>1106</v>
      </c>
      <c r="Q24" t="b">
        <v>1</v>
      </c>
      <c r="R24" t="b">
        <v>1</v>
      </c>
      <c r="S24" t="s">
        <v>1099</v>
      </c>
      <c r="T24" t="s">
        <v>992</v>
      </c>
      <c r="U24" t="s">
        <v>1060</v>
      </c>
      <c r="V24" t="s">
        <v>995</v>
      </c>
      <c r="W24" t="s">
        <v>1034</v>
      </c>
      <c r="X24" t="s">
        <v>1062</v>
      </c>
    </row>
    <row r="25" spans="1:24" x14ac:dyDescent="0.25">
      <c r="A25" t="s">
        <v>42</v>
      </c>
      <c r="B25" t="s">
        <v>1107</v>
      </c>
      <c r="C25" t="s">
        <v>269</v>
      </c>
      <c r="D25" t="s">
        <v>427</v>
      </c>
      <c r="E25" t="s">
        <v>1017</v>
      </c>
      <c r="F25">
        <v>-50318</v>
      </c>
      <c r="G25" t="s">
        <v>1051</v>
      </c>
      <c r="H25" t="s">
        <v>1108</v>
      </c>
      <c r="I25" t="s">
        <v>1025</v>
      </c>
      <c r="J25" t="s">
        <v>993</v>
      </c>
      <c r="K25" t="s">
        <v>1109</v>
      </c>
      <c r="L25" t="s">
        <v>1110</v>
      </c>
      <c r="M25" t="s">
        <v>1028</v>
      </c>
      <c r="N25" t="s">
        <v>1111</v>
      </c>
      <c r="O25" t="s">
        <v>1112</v>
      </c>
      <c r="P25" t="s">
        <v>1113</v>
      </c>
      <c r="Q25" t="b">
        <v>1</v>
      </c>
      <c r="R25" t="b">
        <v>1</v>
      </c>
      <c r="S25" t="s">
        <v>1099</v>
      </c>
      <c r="T25" t="s">
        <v>992</v>
      </c>
      <c r="U25" t="s">
        <v>1060</v>
      </c>
      <c r="V25" t="s">
        <v>995</v>
      </c>
      <c r="W25" t="s">
        <v>1034</v>
      </c>
      <c r="X25" t="s">
        <v>1062</v>
      </c>
    </row>
    <row r="26" spans="1:24" x14ac:dyDescent="0.25">
      <c r="A26" t="s">
        <v>42</v>
      </c>
      <c r="B26" t="s">
        <v>1114</v>
      </c>
      <c r="C26" t="s">
        <v>269</v>
      </c>
      <c r="D26" t="s">
        <v>427</v>
      </c>
      <c r="E26" t="s">
        <v>1019</v>
      </c>
      <c r="F26">
        <v>-54125</v>
      </c>
      <c r="G26" t="s">
        <v>1085</v>
      </c>
      <c r="H26" t="s">
        <v>1115</v>
      </c>
      <c r="I26" t="s">
        <v>1053</v>
      </c>
      <c r="J26" t="s">
        <v>993</v>
      </c>
      <c r="K26" t="s">
        <v>1116</v>
      </c>
      <c r="L26" t="s">
        <v>1117</v>
      </c>
      <c r="M26" t="s">
        <v>1056</v>
      </c>
      <c r="N26" t="s">
        <v>1118</v>
      </c>
      <c r="O26" t="s">
        <v>1097</v>
      </c>
      <c r="P26" t="s">
        <v>1119</v>
      </c>
      <c r="Q26" t="b">
        <v>1</v>
      </c>
      <c r="R26" t="b">
        <v>0</v>
      </c>
      <c r="S26" t="s">
        <v>1032</v>
      </c>
      <c r="T26" t="s">
        <v>992</v>
      </c>
      <c r="U26" t="s">
        <v>1033</v>
      </c>
      <c r="V26" t="s">
        <v>1061</v>
      </c>
      <c r="W26" t="s">
        <v>1034</v>
      </c>
      <c r="X26" t="s">
        <v>1120</v>
      </c>
    </row>
    <row r="27" spans="1:24" x14ac:dyDescent="0.25">
      <c r="A27" t="s">
        <v>42</v>
      </c>
      <c r="B27" t="s">
        <v>1121</v>
      </c>
      <c r="C27" t="s">
        <v>269</v>
      </c>
      <c r="D27" t="s">
        <v>427</v>
      </c>
      <c r="E27" t="s">
        <v>1021</v>
      </c>
      <c r="F27">
        <v>-74525</v>
      </c>
      <c r="G27" t="s">
        <v>1051</v>
      </c>
      <c r="H27" t="s">
        <v>1122</v>
      </c>
      <c r="I27" t="s">
        <v>1025</v>
      </c>
      <c r="J27" t="s">
        <v>993</v>
      </c>
      <c r="K27" t="s">
        <v>1123</v>
      </c>
      <c r="L27" t="s">
        <v>1124</v>
      </c>
      <c r="M27" t="s">
        <v>1028</v>
      </c>
      <c r="N27" t="s">
        <v>1125</v>
      </c>
      <c r="O27" t="s">
        <v>1126</v>
      </c>
      <c r="P27" t="s">
        <v>1127</v>
      </c>
      <c r="Q27" t="b">
        <v>1</v>
      </c>
      <c r="R27" t="b">
        <v>1</v>
      </c>
      <c r="S27" t="s">
        <v>1099</v>
      </c>
      <c r="T27" t="s">
        <v>992</v>
      </c>
      <c r="U27" t="s">
        <v>1060</v>
      </c>
      <c r="V27" t="s">
        <v>995</v>
      </c>
      <c r="W27" t="s">
        <v>1034</v>
      </c>
      <c r="X27" t="s">
        <v>1062</v>
      </c>
    </row>
    <row r="28" spans="1:24" x14ac:dyDescent="0.25">
      <c r="A28" t="s">
        <v>42</v>
      </c>
      <c r="B28" t="s">
        <v>1128</v>
      </c>
      <c r="C28" t="s">
        <v>269</v>
      </c>
      <c r="D28" t="s">
        <v>427</v>
      </c>
      <c r="E28" t="s">
        <v>1129</v>
      </c>
      <c r="F28">
        <v>-56403</v>
      </c>
      <c r="G28" t="s">
        <v>1051</v>
      </c>
      <c r="H28" t="s">
        <v>1130</v>
      </c>
      <c r="I28" t="s">
        <v>1025</v>
      </c>
      <c r="J28" t="s">
        <v>993</v>
      </c>
      <c r="K28" t="s">
        <v>1131</v>
      </c>
      <c r="L28" t="s">
        <v>1132</v>
      </c>
      <c r="M28" t="s">
        <v>1028</v>
      </c>
      <c r="N28" t="s">
        <v>1133</v>
      </c>
      <c r="O28" t="s">
        <v>1134</v>
      </c>
      <c r="P28" t="s">
        <v>1135</v>
      </c>
      <c r="Q28" t="b">
        <v>1</v>
      </c>
      <c r="R28" t="b">
        <v>1</v>
      </c>
      <c r="S28" t="s">
        <v>1099</v>
      </c>
      <c r="T28" t="s">
        <v>992</v>
      </c>
      <c r="U28" t="s">
        <v>1060</v>
      </c>
      <c r="V28" t="s">
        <v>995</v>
      </c>
      <c r="W28" t="s">
        <v>1034</v>
      </c>
      <c r="X28" t="s">
        <v>1062</v>
      </c>
    </row>
    <row r="29" spans="1:24" x14ac:dyDescent="0.25">
      <c r="A29" t="s">
        <v>42</v>
      </c>
      <c r="B29" t="s">
        <v>1136</v>
      </c>
      <c r="C29" t="s">
        <v>271</v>
      </c>
      <c r="D29" t="s">
        <v>427</v>
      </c>
      <c r="E29" t="s">
        <v>990</v>
      </c>
      <c r="F29">
        <v>-6607</v>
      </c>
      <c r="G29" t="s">
        <v>1023</v>
      </c>
      <c r="H29" t="s">
        <v>1137</v>
      </c>
      <c r="I29" t="s">
        <v>1138</v>
      </c>
      <c r="J29" t="s">
        <v>993</v>
      </c>
      <c r="K29" t="s">
        <v>1026</v>
      </c>
      <c r="L29" t="s">
        <v>1027</v>
      </c>
      <c r="M29" t="s">
        <v>1028</v>
      </c>
      <c r="N29" t="s">
        <v>1029</v>
      </c>
      <c r="O29" t="s">
        <v>1030</v>
      </c>
      <c r="P29" t="s">
        <v>1031</v>
      </c>
      <c r="Q29" t="b">
        <v>1</v>
      </c>
      <c r="R29" t="b">
        <v>0</v>
      </c>
      <c r="S29" t="s">
        <v>1032</v>
      </c>
      <c r="T29" t="s">
        <v>992</v>
      </c>
      <c r="U29" t="s">
        <v>1139</v>
      </c>
      <c r="V29" t="s">
        <v>995</v>
      </c>
      <c r="W29" t="s">
        <v>1034</v>
      </c>
      <c r="X29" t="s">
        <v>1140</v>
      </c>
    </row>
    <row r="30" spans="1:24" x14ac:dyDescent="0.25">
      <c r="A30" t="s">
        <v>42</v>
      </c>
      <c r="B30" t="s">
        <v>1141</v>
      </c>
      <c r="C30" t="s">
        <v>271</v>
      </c>
      <c r="D30" t="s">
        <v>427</v>
      </c>
      <c r="E30" t="s">
        <v>999</v>
      </c>
      <c r="F30">
        <v>-6201</v>
      </c>
      <c r="G30" t="s">
        <v>1023</v>
      </c>
      <c r="H30" t="s">
        <v>1142</v>
      </c>
      <c r="I30" t="s">
        <v>1138</v>
      </c>
      <c r="J30" t="s">
        <v>993</v>
      </c>
      <c r="K30" t="s">
        <v>1038</v>
      </c>
      <c r="L30" t="s">
        <v>1039</v>
      </c>
      <c r="M30" t="s">
        <v>1028</v>
      </c>
      <c r="N30" t="s">
        <v>1040</v>
      </c>
      <c r="O30" t="s">
        <v>1041</v>
      </c>
      <c r="P30" t="s">
        <v>1042</v>
      </c>
      <c r="Q30" t="b">
        <v>1</v>
      </c>
      <c r="R30" t="b">
        <v>0</v>
      </c>
      <c r="S30" t="s">
        <v>1032</v>
      </c>
      <c r="T30" t="s">
        <v>992</v>
      </c>
      <c r="U30" t="s">
        <v>1139</v>
      </c>
      <c r="V30" t="s">
        <v>995</v>
      </c>
      <c r="W30" t="s">
        <v>1034</v>
      </c>
      <c r="X30" t="s">
        <v>1140</v>
      </c>
    </row>
    <row r="31" spans="1:24" x14ac:dyDescent="0.25">
      <c r="A31" t="s">
        <v>42</v>
      </c>
      <c r="B31" t="s">
        <v>1143</v>
      </c>
      <c r="C31" t="s">
        <v>271</v>
      </c>
      <c r="D31" t="s">
        <v>427</v>
      </c>
      <c r="E31" t="s">
        <v>1001</v>
      </c>
      <c r="F31">
        <v>-5973</v>
      </c>
      <c r="G31" t="s">
        <v>1023</v>
      </c>
      <c r="H31" t="s">
        <v>1144</v>
      </c>
      <c r="I31" t="s">
        <v>1138</v>
      </c>
      <c r="J31" t="s">
        <v>993</v>
      </c>
      <c r="K31" t="s">
        <v>1045</v>
      </c>
      <c r="L31" t="s">
        <v>1046</v>
      </c>
      <c r="M31" t="s">
        <v>1028</v>
      </c>
      <c r="N31" t="s">
        <v>1047</v>
      </c>
      <c r="O31" t="s">
        <v>1048</v>
      </c>
      <c r="P31" t="s">
        <v>1049</v>
      </c>
      <c r="Q31" t="b">
        <v>1</v>
      </c>
      <c r="R31" t="b">
        <v>0</v>
      </c>
      <c r="S31" t="s">
        <v>1032</v>
      </c>
      <c r="T31" t="s">
        <v>992</v>
      </c>
      <c r="U31" t="s">
        <v>1139</v>
      </c>
      <c r="V31" t="s">
        <v>995</v>
      </c>
      <c r="W31" t="s">
        <v>1034</v>
      </c>
      <c r="X31" t="s">
        <v>1140</v>
      </c>
    </row>
    <row r="32" spans="1:24" x14ac:dyDescent="0.25">
      <c r="A32" t="s">
        <v>42</v>
      </c>
      <c r="B32" t="s">
        <v>1145</v>
      </c>
      <c r="C32" t="s">
        <v>271</v>
      </c>
      <c r="D32" t="s">
        <v>427</v>
      </c>
      <c r="E32" t="s">
        <v>1003</v>
      </c>
      <c r="F32">
        <v>-6151</v>
      </c>
      <c r="G32" t="s">
        <v>1051</v>
      </c>
      <c r="H32" t="s">
        <v>1146</v>
      </c>
      <c r="I32" t="s">
        <v>1147</v>
      </c>
      <c r="J32" t="s">
        <v>993</v>
      </c>
      <c r="K32" t="s">
        <v>1054</v>
      </c>
      <c r="L32" t="s">
        <v>1055</v>
      </c>
      <c r="M32" t="s">
        <v>1056</v>
      </c>
      <c r="N32" t="s">
        <v>1057</v>
      </c>
      <c r="O32" t="s">
        <v>1030</v>
      </c>
      <c r="P32" t="s">
        <v>1058</v>
      </c>
      <c r="Q32" t="b">
        <v>1</v>
      </c>
      <c r="R32" t="b">
        <v>1</v>
      </c>
      <c r="S32" t="s">
        <v>1059</v>
      </c>
      <c r="T32" t="s">
        <v>992</v>
      </c>
      <c r="U32" t="s">
        <v>1060</v>
      </c>
      <c r="V32" t="s">
        <v>1061</v>
      </c>
      <c r="W32" t="s">
        <v>1034</v>
      </c>
      <c r="X32" t="s">
        <v>1062</v>
      </c>
    </row>
    <row r="33" spans="1:24" x14ac:dyDescent="0.25">
      <c r="A33" t="s">
        <v>42</v>
      </c>
      <c r="B33" t="s">
        <v>1148</v>
      </c>
      <c r="C33" t="s">
        <v>271</v>
      </c>
      <c r="D33" t="s">
        <v>427</v>
      </c>
      <c r="E33" t="s">
        <v>1005</v>
      </c>
      <c r="F33">
        <v>-6786</v>
      </c>
      <c r="G33" t="s">
        <v>1023</v>
      </c>
      <c r="H33" t="s">
        <v>1149</v>
      </c>
      <c r="I33" t="s">
        <v>1138</v>
      </c>
      <c r="J33" t="s">
        <v>993</v>
      </c>
      <c r="K33" t="s">
        <v>1065</v>
      </c>
      <c r="L33" t="s">
        <v>1066</v>
      </c>
      <c r="M33" t="s">
        <v>1028</v>
      </c>
      <c r="N33" t="s">
        <v>1067</v>
      </c>
      <c r="O33" t="s">
        <v>1068</v>
      </c>
      <c r="P33" t="s">
        <v>1069</v>
      </c>
      <c r="Q33" t="b">
        <v>1</v>
      </c>
      <c r="R33" t="b">
        <v>0</v>
      </c>
      <c r="S33" t="s">
        <v>1032</v>
      </c>
      <c r="T33" t="s">
        <v>992</v>
      </c>
      <c r="U33" t="s">
        <v>1139</v>
      </c>
      <c r="V33" t="s">
        <v>995</v>
      </c>
      <c r="W33" t="s">
        <v>1034</v>
      </c>
      <c r="X33" t="s">
        <v>1140</v>
      </c>
    </row>
    <row r="34" spans="1:24" x14ac:dyDescent="0.25">
      <c r="A34" t="s">
        <v>42</v>
      </c>
      <c r="B34" t="s">
        <v>1150</v>
      </c>
      <c r="C34" t="s">
        <v>271</v>
      </c>
      <c r="D34" t="s">
        <v>427</v>
      </c>
      <c r="E34" t="s">
        <v>1007</v>
      </c>
      <c r="F34">
        <v>-6468</v>
      </c>
      <c r="G34" t="s">
        <v>1023</v>
      </c>
      <c r="H34" t="s">
        <v>1151</v>
      </c>
      <c r="I34" t="s">
        <v>1138</v>
      </c>
      <c r="J34" t="s">
        <v>993</v>
      </c>
      <c r="K34" t="s">
        <v>1072</v>
      </c>
      <c r="L34" t="s">
        <v>1073</v>
      </c>
      <c r="M34" t="s">
        <v>1028</v>
      </c>
      <c r="N34" t="s">
        <v>1074</v>
      </c>
      <c r="O34" t="s">
        <v>1075</v>
      </c>
      <c r="P34" t="s">
        <v>1076</v>
      </c>
      <c r="Q34" t="b">
        <v>1</v>
      </c>
      <c r="R34" t="b">
        <v>0</v>
      </c>
      <c r="S34" t="s">
        <v>1032</v>
      </c>
      <c r="T34" t="s">
        <v>992</v>
      </c>
      <c r="U34" t="s">
        <v>1139</v>
      </c>
      <c r="V34" t="s">
        <v>995</v>
      </c>
      <c r="W34" t="s">
        <v>1034</v>
      </c>
      <c r="X34" t="s">
        <v>1140</v>
      </c>
    </row>
    <row r="35" spans="1:24" x14ac:dyDescent="0.25">
      <c r="A35" t="s">
        <v>42</v>
      </c>
      <c r="B35" t="s">
        <v>1152</v>
      </c>
      <c r="C35" t="s">
        <v>271</v>
      </c>
      <c r="D35" t="s">
        <v>427</v>
      </c>
      <c r="E35" t="s">
        <v>1009</v>
      </c>
      <c r="F35">
        <v>-6320</v>
      </c>
      <c r="G35" t="s">
        <v>1023</v>
      </c>
      <c r="H35" t="s">
        <v>1153</v>
      </c>
      <c r="I35" t="s">
        <v>1138</v>
      </c>
      <c r="J35" t="s">
        <v>993</v>
      </c>
      <c r="K35" t="s">
        <v>1079</v>
      </c>
      <c r="L35" t="s">
        <v>1080</v>
      </c>
      <c r="M35" t="s">
        <v>1028</v>
      </c>
      <c r="N35" t="s">
        <v>1081</v>
      </c>
      <c r="O35" t="s">
        <v>1082</v>
      </c>
      <c r="P35" t="s">
        <v>1083</v>
      </c>
      <c r="Q35" t="b">
        <v>1</v>
      </c>
      <c r="R35" t="b">
        <v>0</v>
      </c>
      <c r="S35" t="s">
        <v>1032</v>
      </c>
      <c r="T35" t="s">
        <v>992</v>
      </c>
      <c r="U35" t="s">
        <v>1139</v>
      </c>
      <c r="V35" t="s">
        <v>995</v>
      </c>
      <c r="W35" t="s">
        <v>1034</v>
      </c>
      <c r="X35" t="s">
        <v>1140</v>
      </c>
    </row>
    <row r="36" spans="1:24" x14ac:dyDescent="0.25">
      <c r="A36" t="s">
        <v>42</v>
      </c>
      <c r="B36" t="s">
        <v>1154</v>
      </c>
      <c r="C36" t="s">
        <v>271</v>
      </c>
      <c r="D36" t="s">
        <v>427</v>
      </c>
      <c r="E36" t="s">
        <v>1011</v>
      </c>
      <c r="F36">
        <v>-6523</v>
      </c>
      <c r="G36" t="s">
        <v>1023</v>
      </c>
      <c r="H36" t="s">
        <v>1155</v>
      </c>
      <c r="I36" t="s">
        <v>1147</v>
      </c>
      <c r="J36" t="s">
        <v>993</v>
      </c>
      <c r="K36" t="s">
        <v>1087</v>
      </c>
      <c r="L36" t="s">
        <v>1088</v>
      </c>
      <c r="M36" t="s">
        <v>1056</v>
      </c>
      <c r="N36" t="s">
        <v>1089</v>
      </c>
      <c r="O36" t="s">
        <v>1068</v>
      </c>
      <c r="P36" t="s">
        <v>1090</v>
      </c>
      <c r="Q36" t="b">
        <v>1</v>
      </c>
      <c r="R36" t="b">
        <v>0</v>
      </c>
      <c r="S36" t="s">
        <v>1032</v>
      </c>
      <c r="T36" t="s">
        <v>992</v>
      </c>
      <c r="U36" t="s">
        <v>1139</v>
      </c>
      <c r="V36" t="s">
        <v>1061</v>
      </c>
      <c r="W36" t="s">
        <v>1034</v>
      </c>
      <c r="X36" t="s">
        <v>1156</v>
      </c>
    </row>
    <row r="37" spans="1:24" x14ac:dyDescent="0.25">
      <c r="A37" t="s">
        <v>42</v>
      </c>
      <c r="B37" t="s">
        <v>1157</v>
      </c>
      <c r="C37" t="s">
        <v>271</v>
      </c>
      <c r="D37" t="s">
        <v>427</v>
      </c>
      <c r="E37" t="s">
        <v>1013</v>
      </c>
      <c r="F37">
        <v>-7175</v>
      </c>
      <c r="G37" t="s">
        <v>1051</v>
      </c>
      <c r="H37" t="s">
        <v>1158</v>
      </c>
      <c r="I37" t="s">
        <v>1138</v>
      </c>
      <c r="J37" t="s">
        <v>993</v>
      </c>
      <c r="K37" t="s">
        <v>1094</v>
      </c>
      <c r="L37" t="s">
        <v>1095</v>
      </c>
      <c r="M37" t="s">
        <v>1028</v>
      </c>
      <c r="N37" t="s">
        <v>1096</v>
      </c>
      <c r="O37" t="s">
        <v>1097</v>
      </c>
      <c r="P37" t="s">
        <v>1098</v>
      </c>
      <c r="Q37" t="b">
        <v>1</v>
      </c>
      <c r="R37" t="b">
        <v>1</v>
      </c>
      <c r="S37" t="s">
        <v>1099</v>
      </c>
      <c r="T37" t="s">
        <v>992</v>
      </c>
      <c r="U37" t="s">
        <v>1060</v>
      </c>
      <c r="V37" t="s">
        <v>995</v>
      </c>
      <c r="W37" t="s">
        <v>1034</v>
      </c>
      <c r="X37" t="s">
        <v>1062</v>
      </c>
    </row>
    <row r="38" spans="1:24" x14ac:dyDescent="0.25">
      <c r="A38" t="s">
        <v>42</v>
      </c>
      <c r="B38" t="s">
        <v>1159</v>
      </c>
      <c r="C38" t="s">
        <v>271</v>
      </c>
      <c r="D38" t="s">
        <v>427</v>
      </c>
      <c r="E38" t="s">
        <v>1015</v>
      </c>
      <c r="F38">
        <v>-6728</v>
      </c>
      <c r="G38" t="s">
        <v>1051</v>
      </c>
      <c r="H38" t="s">
        <v>1160</v>
      </c>
      <c r="I38" t="s">
        <v>1138</v>
      </c>
      <c r="J38" t="s">
        <v>993</v>
      </c>
      <c r="K38" t="s">
        <v>1102</v>
      </c>
      <c r="L38" t="s">
        <v>1103</v>
      </c>
      <c r="M38" t="s">
        <v>1028</v>
      </c>
      <c r="N38" t="s">
        <v>1104</v>
      </c>
      <c r="O38" t="s">
        <v>1105</v>
      </c>
      <c r="P38" t="s">
        <v>1106</v>
      </c>
      <c r="Q38" t="b">
        <v>1</v>
      </c>
      <c r="R38" t="b">
        <v>1</v>
      </c>
      <c r="S38" t="s">
        <v>1099</v>
      </c>
      <c r="T38" t="s">
        <v>992</v>
      </c>
      <c r="U38" t="s">
        <v>1060</v>
      </c>
      <c r="V38" t="s">
        <v>995</v>
      </c>
      <c r="W38" t="s">
        <v>1034</v>
      </c>
      <c r="X38" t="s">
        <v>1062</v>
      </c>
    </row>
    <row r="39" spans="1:24" x14ac:dyDescent="0.25">
      <c r="A39" t="s">
        <v>42</v>
      </c>
      <c r="B39" t="s">
        <v>1161</v>
      </c>
      <c r="C39" t="s">
        <v>271</v>
      </c>
      <c r="D39" t="s">
        <v>427</v>
      </c>
      <c r="E39" t="s">
        <v>1017</v>
      </c>
      <c r="F39">
        <v>-6650</v>
      </c>
      <c r="G39" t="s">
        <v>1051</v>
      </c>
      <c r="H39" t="s">
        <v>1162</v>
      </c>
      <c r="I39" t="s">
        <v>1138</v>
      </c>
      <c r="J39" t="s">
        <v>993</v>
      </c>
      <c r="K39" t="s">
        <v>1109</v>
      </c>
      <c r="L39" t="s">
        <v>1110</v>
      </c>
      <c r="M39" t="s">
        <v>1028</v>
      </c>
      <c r="N39" t="s">
        <v>1111</v>
      </c>
      <c r="O39" t="s">
        <v>1112</v>
      </c>
      <c r="P39" t="s">
        <v>1113</v>
      </c>
      <c r="Q39" t="b">
        <v>1</v>
      </c>
      <c r="R39" t="b">
        <v>1</v>
      </c>
      <c r="S39" t="s">
        <v>1099</v>
      </c>
      <c r="T39" t="s">
        <v>992</v>
      </c>
      <c r="U39" t="s">
        <v>1060</v>
      </c>
      <c r="V39" t="s">
        <v>995</v>
      </c>
      <c r="W39" t="s">
        <v>1034</v>
      </c>
      <c r="X39" t="s">
        <v>1062</v>
      </c>
    </row>
    <row r="40" spans="1:24" x14ac:dyDescent="0.25">
      <c r="A40" t="s">
        <v>42</v>
      </c>
      <c r="B40" t="s">
        <v>1163</v>
      </c>
      <c r="C40" t="s">
        <v>271</v>
      </c>
      <c r="D40" t="s">
        <v>427</v>
      </c>
      <c r="E40" t="s">
        <v>1019</v>
      </c>
      <c r="F40">
        <v>-7048</v>
      </c>
      <c r="G40" t="s">
        <v>1023</v>
      </c>
      <c r="H40" t="s">
        <v>1164</v>
      </c>
      <c r="I40" t="s">
        <v>1147</v>
      </c>
      <c r="J40" t="s">
        <v>993</v>
      </c>
      <c r="K40" t="s">
        <v>1116</v>
      </c>
      <c r="L40" t="s">
        <v>1117</v>
      </c>
      <c r="M40" t="s">
        <v>1056</v>
      </c>
      <c r="N40" t="s">
        <v>1118</v>
      </c>
      <c r="O40" t="s">
        <v>1097</v>
      </c>
      <c r="P40" t="s">
        <v>1119</v>
      </c>
      <c r="Q40" t="b">
        <v>1</v>
      </c>
      <c r="R40" t="b">
        <v>0</v>
      </c>
      <c r="S40" t="s">
        <v>1032</v>
      </c>
      <c r="T40" t="s">
        <v>992</v>
      </c>
      <c r="U40" t="s">
        <v>1139</v>
      </c>
      <c r="V40" t="s">
        <v>1061</v>
      </c>
      <c r="W40" t="s">
        <v>1034</v>
      </c>
      <c r="X40" t="s">
        <v>1165</v>
      </c>
    </row>
    <row r="41" spans="1:24" x14ac:dyDescent="0.25">
      <c r="A41" t="s">
        <v>42</v>
      </c>
      <c r="B41" t="s">
        <v>1166</v>
      </c>
      <c r="C41" t="s">
        <v>271</v>
      </c>
      <c r="D41" t="s">
        <v>427</v>
      </c>
      <c r="E41" t="s">
        <v>1021</v>
      </c>
      <c r="F41">
        <v>-7492</v>
      </c>
      <c r="G41" t="s">
        <v>1023</v>
      </c>
      <c r="H41" t="s">
        <v>1167</v>
      </c>
      <c r="I41" t="s">
        <v>1138</v>
      </c>
      <c r="J41" t="s">
        <v>993</v>
      </c>
      <c r="K41" t="s">
        <v>1123</v>
      </c>
      <c r="L41" t="s">
        <v>1124</v>
      </c>
      <c r="M41" t="s">
        <v>1028</v>
      </c>
      <c r="N41" t="s">
        <v>1125</v>
      </c>
      <c r="O41" t="s">
        <v>1126</v>
      </c>
      <c r="P41" t="s">
        <v>1127</v>
      </c>
      <c r="Q41" t="b">
        <v>1</v>
      </c>
      <c r="R41" t="b">
        <v>0</v>
      </c>
      <c r="S41" t="s">
        <v>1032</v>
      </c>
      <c r="T41" t="s">
        <v>992</v>
      </c>
      <c r="U41" t="s">
        <v>1139</v>
      </c>
      <c r="V41" t="s">
        <v>995</v>
      </c>
      <c r="W41" t="s">
        <v>1034</v>
      </c>
      <c r="X41" t="s">
        <v>1140</v>
      </c>
    </row>
    <row r="42" spans="1:24" x14ac:dyDescent="0.25">
      <c r="A42" t="s">
        <v>42</v>
      </c>
      <c r="B42" t="s">
        <v>1168</v>
      </c>
      <c r="C42" t="s">
        <v>271</v>
      </c>
      <c r="D42" t="s">
        <v>427</v>
      </c>
      <c r="E42" t="s">
        <v>1129</v>
      </c>
      <c r="F42">
        <v>-7477</v>
      </c>
      <c r="G42" t="s">
        <v>1051</v>
      </c>
      <c r="H42" t="s">
        <v>1169</v>
      </c>
      <c r="I42" t="s">
        <v>1138</v>
      </c>
      <c r="J42" t="s">
        <v>993</v>
      </c>
      <c r="K42" t="s">
        <v>1131</v>
      </c>
      <c r="L42" t="s">
        <v>1132</v>
      </c>
      <c r="M42" t="s">
        <v>1028</v>
      </c>
      <c r="N42" t="s">
        <v>1133</v>
      </c>
      <c r="O42" t="s">
        <v>1134</v>
      </c>
      <c r="P42" t="s">
        <v>1135</v>
      </c>
      <c r="Q42" t="b">
        <v>1</v>
      </c>
      <c r="R42" t="b">
        <v>1</v>
      </c>
      <c r="S42" t="s">
        <v>1099</v>
      </c>
      <c r="T42" t="s">
        <v>992</v>
      </c>
      <c r="U42" t="s">
        <v>1060</v>
      </c>
      <c r="V42" t="s">
        <v>995</v>
      </c>
      <c r="W42" t="s">
        <v>1034</v>
      </c>
      <c r="X42" t="s">
        <v>1062</v>
      </c>
    </row>
    <row r="43" spans="1:24" x14ac:dyDescent="0.25">
      <c r="A43" t="s">
        <v>42</v>
      </c>
      <c r="B43" t="s">
        <v>1170</v>
      </c>
      <c r="C43" t="s">
        <v>272</v>
      </c>
      <c r="D43" t="s">
        <v>427</v>
      </c>
      <c r="E43" t="s">
        <v>990</v>
      </c>
      <c r="F43">
        <v>-7709</v>
      </c>
      <c r="G43" t="s">
        <v>1023</v>
      </c>
      <c r="H43" t="s">
        <v>1171</v>
      </c>
      <c r="I43" t="s">
        <v>1172</v>
      </c>
      <c r="J43" t="s">
        <v>993</v>
      </c>
      <c r="K43" t="s">
        <v>1026</v>
      </c>
      <c r="L43" t="s">
        <v>1027</v>
      </c>
      <c r="M43" t="s">
        <v>1028</v>
      </c>
      <c r="N43" t="s">
        <v>1029</v>
      </c>
      <c r="O43" t="s">
        <v>1030</v>
      </c>
      <c r="P43" t="s">
        <v>1031</v>
      </c>
      <c r="Q43" t="b">
        <v>1</v>
      </c>
      <c r="R43" t="b">
        <v>0</v>
      </c>
      <c r="S43" t="s">
        <v>1032</v>
      </c>
      <c r="T43" t="s">
        <v>992</v>
      </c>
      <c r="U43" t="s">
        <v>1139</v>
      </c>
      <c r="V43" t="s">
        <v>995</v>
      </c>
      <c r="W43" t="s">
        <v>1034</v>
      </c>
      <c r="X43" t="s">
        <v>1173</v>
      </c>
    </row>
    <row r="44" spans="1:24" x14ac:dyDescent="0.25">
      <c r="A44" t="s">
        <v>42</v>
      </c>
      <c r="B44" t="s">
        <v>1174</v>
      </c>
      <c r="C44" t="s">
        <v>272</v>
      </c>
      <c r="D44" t="s">
        <v>427</v>
      </c>
      <c r="E44" t="s">
        <v>999</v>
      </c>
      <c r="F44">
        <v>-7457</v>
      </c>
      <c r="G44" t="s">
        <v>1023</v>
      </c>
      <c r="H44" t="s">
        <v>1175</v>
      </c>
      <c r="I44" t="s">
        <v>1172</v>
      </c>
      <c r="J44" t="s">
        <v>993</v>
      </c>
      <c r="K44" t="s">
        <v>1038</v>
      </c>
      <c r="L44" t="s">
        <v>1039</v>
      </c>
      <c r="M44" t="s">
        <v>1028</v>
      </c>
      <c r="N44" t="s">
        <v>1040</v>
      </c>
      <c r="O44" t="s">
        <v>1041</v>
      </c>
      <c r="P44" t="s">
        <v>1042</v>
      </c>
      <c r="Q44" t="b">
        <v>1</v>
      </c>
      <c r="R44" t="b">
        <v>0</v>
      </c>
      <c r="S44" t="s">
        <v>1032</v>
      </c>
      <c r="T44" t="s">
        <v>992</v>
      </c>
      <c r="U44" t="s">
        <v>1139</v>
      </c>
      <c r="V44" t="s">
        <v>995</v>
      </c>
      <c r="W44" t="s">
        <v>1034</v>
      </c>
      <c r="X44" t="s">
        <v>1173</v>
      </c>
    </row>
    <row r="45" spans="1:24" x14ac:dyDescent="0.25">
      <c r="A45" t="s">
        <v>42</v>
      </c>
      <c r="B45" t="s">
        <v>1176</v>
      </c>
      <c r="C45" t="s">
        <v>272</v>
      </c>
      <c r="D45" t="s">
        <v>427</v>
      </c>
      <c r="E45" t="s">
        <v>1001</v>
      </c>
      <c r="F45">
        <v>-7442</v>
      </c>
      <c r="G45" t="s">
        <v>1023</v>
      </c>
      <c r="H45" t="s">
        <v>1177</v>
      </c>
      <c r="I45" t="s">
        <v>1172</v>
      </c>
      <c r="J45" t="s">
        <v>993</v>
      </c>
      <c r="K45" t="s">
        <v>1045</v>
      </c>
      <c r="L45" t="s">
        <v>1046</v>
      </c>
      <c r="M45" t="s">
        <v>1028</v>
      </c>
      <c r="N45" t="s">
        <v>1047</v>
      </c>
      <c r="O45" t="s">
        <v>1048</v>
      </c>
      <c r="P45" t="s">
        <v>1049</v>
      </c>
      <c r="Q45" t="b">
        <v>1</v>
      </c>
      <c r="R45" t="b">
        <v>0</v>
      </c>
      <c r="S45" t="s">
        <v>1032</v>
      </c>
      <c r="T45" t="s">
        <v>992</v>
      </c>
      <c r="U45" t="s">
        <v>1139</v>
      </c>
      <c r="V45" t="s">
        <v>995</v>
      </c>
      <c r="W45" t="s">
        <v>1034</v>
      </c>
      <c r="X45" t="s">
        <v>1173</v>
      </c>
    </row>
    <row r="46" spans="1:24" x14ac:dyDescent="0.25">
      <c r="A46" t="s">
        <v>42</v>
      </c>
      <c r="B46" t="s">
        <v>1178</v>
      </c>
      <c r="C46" t="s">
        <v>272</v>
      </c>
      <c r="D46" t="s">
        <v>427</v>
      </c>
      <c r="E46" t="s">
        <v>1003</v>
      </c>
      <c r="F46">
        <v>-7307</v>
      </c>
      <c r="G46" t="s">
        <v>1023</v>
      </c>
      <c r="H46" t="s">
        <v>1179</v>
      </c>
      <c r="I46" t="s">
        <v>1180</v>
      </c>
      <c r="J46" t="s">
        <v>993</v>
      </c>
      <c r="K46" t="s">
        <v>1054</v>
      </c>
      <c r="L46" t="s">
        <v>1055</v>
      </c>
      <c r="M46" t="s">
        <v>1056</v>
      </c>
      <c r="N46" t="s">
        <v>1057</v>
      </c>
      <c r="O46" t="s">
        <v>1030</v>
      </c>
      <c r="P46" t="s">
        <v>1058</v>
      </c>
      <c r="Q46" t="b">
        <v>1</v>
      </c>
      <c r="R46" t="b">
        <v>0</v>
      </c>
      <c r="S46" t="s">
        <v>1032</v>
      </c>
      <c r="T46" t="s">
        <v>992</v>
      </c>
      <c r="U46" t="s">
        <v>1139</v>
      </c>
      <c r="V46" t="s">
        <v>1061</v>
      </c>
      <c r="W46" t="s">
        <v>1034</v>
      </c>
      <c r="X46" t="s">
        <v>1181</v>
      </c>
    </row>
    <row r="47" spans="1:24" x14ac:dyDescent="0.25">
      <c r="A47" t="s">
        <v>42</v>
      </c>
      <c r="B47" t="s">
        <v>1182</v>
      </c>
      <c r="C47" t="s">
        <v>272</v>
      </c>
      <c r="D47" t="s">
        <v>427</v>
      </c>
      <c r="E47" t="s">
        <v>1005</v>
      </c>
      <c r="F47">
        <v>-7696</v>
      </c>
      <c r="G47" t="s">
        <v>1023</v>
      </c>
      <c r="H47" t="s">
        <v>1183</v>
      </c>
      <c r="I47" t="s">
        <v>1172</v>
      </c>
      <c r="J47" t="s">
        <v>993</v>
      </c>
      <c r="K47" t="s">
        <v>1065</v>
      </c>
      <c r="L47" t="s">
        <v>1066</v>
      </c>
      <c r="M47" t="s">
        <v>1028</v>
      </c>
      <c r="N47" t="s">
        <v>1067</v>
      </c>
      <c r="O47" t="s">
        <v>1068</v>
      </c>
      <c r="P47" t="s">
        <v>1069</v>
      </c>
      <c r="Q47" t="b">
        <v>1</v>
      </c>
      <c r="R47" t="b">
        <v>0</v>
      </c>
      <c r="S47" t="s">
        <v>1032</v>
      </c>
      <c r="T47" t="s">
        <v>992</v>
      </c>
      <c r="U47" t="s">
        <v>1139</v>
      </c>
      <c r="V47" t="s">
        <v>995</v>
      </c>
      <c r="W47" t="s">
        <v>1034</v>
      </c>
      <c r="X47" t="s">
        <v>1173</v>
      </c>
    </row>
    <row r="48" spans="1:24" x14ac:dyDescent="0.25">
      <c r="A48" t="s">
        <v>42</v>
      </c>
      <c r="B48" t="s">
        <v>1184</v>
      </c>
      <c r="C48" t="s">
        <v>272</v>
      </c>
      <c r="D48" t="s">
        <v>427</v>
      </c>
      <c r="E48" t="s">
        <v>1007</v>
      </c>
      <c r="F48">
        <v>-7903</v>
      </c>
      <c r="G48" t="s">
        <v>1023</v>
      </c>
      <c r="H48" t="s">
        <v>1185</v>
      </c>
      <c r="I48" t="s">
        <v>1172</v>
      </c>
      <c r="J48" t="s">
        <v>993</v>
      </c>
      <c r="K48" t="s">
        <v>1072</v>
      </c>
      <c r="L48" t="s">
        <v>1073</v>
      </c>
      <c r="M48" t="s">
        <v>1028</v>
      </c>
      <c r="N48" t="s">
        <v>1074</v>
      </c>
      <c r="O48" t="s">
        <v>1075</v>
      </c>
      <c r="P48" t="s">
        <v>1076</v>
      </c>
      <c r="Q48" t="b">
        <v>1</v>
      </c>
      <c r="R48" t="b">
        <v>0</v>
      </c>
      <c r="S48" t="s">
        <v>1032</v>
      </c>
      <c r="T48" t="s">
        <v>992</v>
      </c>
      <c r="U48" t="s">
        <v>1139</v>
      </c>
      <c r="V48" t="s">
        <v>995</v>
      </c>
      <c r="W48" t="s">
        <v>1034</v>
      </c>
      <c r="X48" t="s">
        <v>1173</v>
      </c>
    </row>
    <row r="49" spans="1:24" x14ac:dyDescent="0.25">
      <c r="A49" t="s">
        <v>42</v>
      </c>
      <c r="B49" t="s">
        <v>1186</v>
      </c>
      <c r="C49" t="s">
        <v>272</v>
      </c>
      <c r="D49" t="s">
        <v>427</v>
      </c>
      <c r="E49" t="s">
        <v>1009</v>
      </c>
      <c r="F49">
        <v>-8006</v>
      </c>
      <c r="G49" t="s">
        <v>1023</v>
      </c>
      <c r="H49" t="s">
        <v>1187</v>
      </c>
      <c r="I49" t="s">
        <v>1172</v>
      </c>
      <c r="J49" t="s">
        <v>993</v>
      </c>
      <c r="K49" t="s">
        <v>1079</v>
      </c>
      <c r="L49" t="s">
        <v>1080</v>
      </c>
      <c r="M49" t="s">
        <v>1028</v>
      </c>
      <c r="N49" t="s">
        <v>1081</v>
      </c>
      <c r="O49" t="s">
        <v>1082</v>
      </c>
      <c r="P49" t="s">
        <v>1083</v>
      </c>
      <c r="Q49" t="b">
        <v>1</v>
      </c>
      <c r="R49" t="b">
        <v>0</v>
      </c>
      <c r="S49" t="s">
        <v>1032</v>
      </c>
      <c r="T49" t="s">
        <v>992</v>
      </c>
      <c r="U49" t="s">
        <v>1139</v>
      </c>
      <c r="V49" t="s">
        <v>995</v>
      </c>
      <c r="W49" t="s">
        <v>1034</v>
      </c>
      <c r="X49" t="s">
        <v>1173</v>
      </c>
    </row>
    <row r="50" spans="1:24" x14ac:dyDescent="0.25">
      <c r="A50" t="s">
        <v>42</v>
      </c>
      <c r="B50" t="s">
        <v>1188</v>
      </c>
      <c r="C50" t="s">
        <v>272</v>
      </c>
      <c r="D50" t="s">
        <v>427</v>
      </c>
      <c r="E50" t="s">
        <v>1011</v>
      </c>
      <c r="F50">
        <v>-7765</v>
      </c>
      <c r="G50" t="s">
        <v>1023</v>
      </c>
      <c r="H50" t="s">
        <v>1189</v>
      </c>
      <c r="I50" t="s">
        <v>1180</v>
      </c>
      <c r="J50" t="s">
        <v>993</v>
      </c>
      <c r="K50" t="s">
        <v>1087</v>
      </c>
      <c r="L50" t="s">
        <v>1088</v>
      </c>
      <c r="M50" t="s">
        <v>1056</v>
      </c>
      <c r="N50" t="s">
        <v>1089</v>
      </c>
      <c r="O50" t="s">
        <v>1068</v>
      </c>
      <c r="P50" t="s">
        <v>1090</v>
      </c>
      <c r="Q50" t="b">
        <v>1</v>
      </c>
      <c r="R50" t="b">
        <v>0</v>
      </c>
      <c r="S50" t="s">
        <v>1032</v>
      </c>
      <c r="T50" t="s">
        <v>992</v>
      </c>
      <c r="U50" t="s">
        <v>1139</v>
      </c>
      <c r="V50" t="s">
        <v>1061</v>
      </c>
      <c r="W50" t="s">
        <v>1034</v>
      </c>
      <c r="X50" t="s">
        <v>1190</v>
      </c>
    </row>
    <row r="51" spans="1:24" x14ac:dyDescent="0.25">
      <c r="A51" t="s">
        <v>42</v>
      </c>
      <c r="B51" t="s">
        <v>1191</v>
      </c>
      <c r="C51" t="s">
        <v>272</v>
      </c>
      <c r="D51" t="s">
        <v>427</v>
      </c>
      <c r="E51" t="s">
        <v>1013</v>
      </c>
      <c r="F51">
        <v>-8268</v>
      </c>
      <c r="G51" t="s">
        <v>1023</v>
      </c>
      <c r="H51" t="s">
        <v>1192</v>
      </c>
      <c r="I51" t="s">
        <v>1172</v>
      </c>
      <c r="J51" t="s">
        <v>993</v>
      </c>
      <c r="K51" t="s">
        <v>1094</v>
      </c>
      <c r="L51" t="s">
        <v>1095</v>
      </c>
      <c r="M51" t="s">
        <v>1028</v>
      </c>
      <c r="N51" t="s">
        <v>1096</v>
      </c>
      <c r="O51" t="s">
        <v>1097</v>
      </c>
      <c r="P51" t="s">
        <v>1098</v>
      </c>
      <c r="Q51" t="b">
        <v>1</v>
      </c>
      <c r="R51" t="b">
        <v>0</v>
      </c>
      <c r="S51" t="s">
        <v>1032</v>
      </c>
      <c r="T51" t="s">
        <v>992</v>
      </c>
      <c r="U51" t="s">
        <v>1139</v>
      </c>
      <c r="V51" t="s">
        <v>995</v>
      </c>
      <c r="W51" t="s">
        <v>1034</v>
      </c>
      <c r="X51" t="s">
        <v>1173</v>
      </c>
    </row>
    <row r="52" spans="1:24" x14ac:dyDescent="0.25">
      <c r="A52" t="s">
        <v>42</v>
      </c>
      <c r="B52" t="s">
        <v>1193</v>
      </c>
      <c r="C52" t="s">
        <v>272</v>
      </c>
      <c r="D52" t="s">
        <v>427</v>
      </c>
      <c r="E52" t="s">
        <v>1015</v>
      </c>
      <c r="F52">
        <v>-8550</v>
      </c>
      <c r="G52" t="s">
        <v>1023</v>
      </c>
      <c r="H52" t="s">
        <v>1194</v>
      </c>
      <c r="I52" t="s">
        <v>1172</v>
      </c>
      <c r="J52" t="s">
        <v>993</v>
      </c>
      <c r="K52" t="s">
        <v>1102</v>
      </c>
      <c r="L52" t="s">
        <v>1103</v>
      </c>
      <c r="M52" t="s">
        <v>1028</v>
      </c>
      <c r="N52" t="s">
        <v>1104</v>
      </c>
      <c r="O52" t="s">
        <v>1105</v>
      </c>
      <c r="P52" t="s">
        <v>1106</v>
      </c>
      <c r="Q52" t="b">
        <v>1</v>
      </c>
      <c r="R52" t="b">
        <v>0</v>
      </c>
      <c r="S52" t="s">
        <v>1032</v>
      </c>
      <c r="T52" t="s">
        <v>992</v>
      </c>
      <c r="U52" t="s">
        <v>1139</v>
      </c>
      <c r="V52" t="s">
        <v>995</v>
      </c>
      <c r="W52" t="s">
        <v>1034</v>
      </c>
      <c r="X52" t="s">
        <v>1173</v>
      </c>
    </row>
    <row r="53" spans="1:24" x14ac:dyDescent="0.25">
      <c r="A53" t="s">
        <v>42</v>
      </c>
      <c r="B53" t="s">
        <v>1195</v>
      </c>
      <c r="C53" t="s">
        <v>272</v>
      </c>
      <c r="D53" t="s">
        <v>427</v>
      </c>
      <c r="E53" t="s">
        <v>1017</v>
      </c>
      <c r="F53">
        <v>-8866</v>
      </c>
      <c r="G53" t="s">
        <v>1023</v>
      </c>
      <c r="H53" t="s">
        <v>1196</v>
      </c>
      <c r="I53" t="s">
        <v>1172</v>
      </c>
      <c r="J53" t="s">
        <v>993</v>
      </c>
      <c r="K53" t="s">
        <v>1109</v>
      </c>
      <c r="L53" t="s">
        <v>1110</v>
      </c>
      <c r="M53" t="s">
        <v>1028</v>
      </c>
      <c r="N53" t="s">
        <v>1111</v>
      </c>
      <c r="O53" t="s">
        <v>1112</v>
      </c>
      <c r="P53" t="s">
        <v>1113</v>
      </c>
      <c r="Q53" t="b">
        <v>1</v>
      </c>
      <c r="R53" t="b">
        <v>0</v>
      </c>
      <c r="S53" t="s">
        <v>1032</v>
      </c>
      <c r="T53" t="s">
        <v>992</v>
      </c>
      <c r="U53" t="s">
        <v>1139</v>
      </c>
      <c r="V53" t="s">
        <v>995</v>
      </c>
      <c r="W53" t="s">
        <v>1034</v>
      </c>
      <c r="X53" t="s">
        <v>1173</v>
      </c>
    </row>
    <row r="54" spans="1:24" x14ac:dyDescent="0.25">
      <c r="A54" t="s">
        <v>42</v>
      </c>
      <c r="B54" t="s">
        <v>1197</v>
      </c>
      <c r="C54" t="s">
        <v>272</v>
      </c>
      <c r="D54" t="s">
        <v>427</v>
      </c>
      <c r="E54" t="s">
        <v>1019</v>
      </c>
      <c r="F54">
        <v>-8866</v>
      </c>
      <c r="G54" t="s">
        <v>1023</v>
      </c>
      <c r="H54" t="s">
        <v>1196</v>
      </c>
      <c r="I54" t="s">
        <v>1180</v>
      </c>
      <c r="J54" t="s">
        <v>993</v>
      </c>
      <c r="K54" t="s">
        <v>1116</v>
      </c>
      <c r="L54" t="s">
        <v>1117</v>
      </c>
      <c r="M54" t="s">
        <v>1056</v>
      </c>
      <c r="N54" t="s">
        <v>1118</v>
      </c>
      <c r="O54" t="s">
        <v>1097</v>
      </c>
      <c r="P54" t="s">
        <v>1119</v>
      </c>
      <c r="Q54" t="b">
        <v>1</v>
      </c>
      <c r="R54" t="b">
        <v>0</v>
      </c>
      <c r="S54" t="s">
        <v>1032</v>
      </c>
      <c r="T54" t="s">
        <v>992</v>
      </c>
      <c r="U54" t="s">
        <v>1139</v>
      </c>
      <c r="V54" t="s">
        <v>1061</v>
      </c>
      <c r="W54" t="s">
        <v>1034</v>
      </c>
      <c r="X54" t="s">
        <v>1198</v>
      </c>
    </row>
    <row r="55" spans="1:24" x14ac:dyDescent="0.25">
      <c r="A55" t="s">
        <v>42</v>
      </c>
      <c r="B55" t="s">
        <v>1199</v>
      </c>
      <c r="C55" t="s">
        <v>272</v>
      </c>
      <c r="D55" t="s">
        <v>427</v>
      </c>
      <c r="E55" t="s">
        <v>1021</v>
      </c>
      <c r="F55">
        <v>-10887</v>
      </c>
      <c r="G55" t="s">
        <v>1023</v>
      </c>
      <c r="H55" t="s">
        <v>1200</v>
      </c>
      <c r="I55" t="s">
        <v>1172</v>
      </c>
      <c r="J55" t="s">
        <v>993</v>
      </c>
      <c r="K55" t="s">
        <v>1123</v>
      </c>
      <c r="L55" t="s">
        <v>1124</v>
      </c>
      <c r="M55" t="s">
        <v>1028</v>
      </c>
      <c r="N55" t="s">
        <v>1125</v>
      </c>
      <c r="O55" t="s">
        <v>1126</v>
      </c>
      <c r="P55" t="s">
        <v>1127</v>
      </c>
      <c r="Q55" t="b">
        <v>1</v>
      </c>
      <c r="R55" t="b">
        <v>0</v>
      </c>
      <c r="S55" t="s">
        <v>1032</v>
      </c>
      <c r="T55" t="s">
        <v>992</v>
      </c>
      <c r="U55" t="s">
        <v>1139</v>
      </c>
      <c r="V55" t="s">
        <v>995</v>
      </c>
      <c r="W55" t="s">
        <v>1034</v>
      </c>
      <c r="X55" t="s">
        <v>1173</v>
      </c>
    </row>
    <row r="56" spans="1:24" x14ac:dyDescent="0.25">
      <c r="A56" t="s">
        <v>42</v>
      </c>
      <c r="B56" t="s">
        <v>1201</v>
      </c>
      <c r="C56" t="s">
        <v>272</v>
      </c>
      <c r="D56" t="s">
        <v>427</v>
      </c>
      <c r="E56" t="s">
        <v>1129</v>
      </c>
      <c r="F56">
        <v>-11419</v>
      </c>
      <c r="G56" t="s">
        <v>1023</v>
      </c>
      <c r="H56" t="s">
        <v>1202</v>
      </c>
      <c r="I56" t="s">
        <v>1172</v>
      </c>
      <c r="J56" t="s">
        <v>993</v>
      </c>
      <c r="K56" t="s">
        <v>1131</v>
      </c>
      <c r="L56" t="s">
        <v>1132</v>
      </c>
      <c r="M56" t="s">
        <v>1028</v>
      </c>
      <c r="N56" t="s">
        <v>1133</v>
      </c>
      <c r="O56" t="s">
        <v>1134</v>
      </c>
      <c r="P56" t="s">
        <v>1135</v>
      </c>
      <c r="Q56" t="b">
        <v>1</v>
      </c>
      <c r="R56" t="b">
        <v>0</v>
      </c>
      <c r="S56" t="s">
        <v>1032</v>
      </c>
      <c r="T56" t="s">
        <v>992</v>
      </c>
      <c r="U56" t="s">
        <v>1139</v>
      </c>
      <c r="V56" t="s">
        <v>995</v>
      </c>
      <c r="W56" t="s">
        <v>1034</v>
      </c>
      <c r="X56" t="s">
        <v>1173</v>
      </c>
    </row>
    <row r="57" spans="1:24" x14ac:dyDescent="0.25">
      <c r="A57" t="s">
        <v>42</v>
      </c>
      <c r="B57" t="s">
        <v>1203</v>
      </c>
      <c r="C57" t="s">
        <v>273</v>
      </c>
      <c r="D57" t="s">
        <v>427</v>
      </c>
      <c r="E57" t="s">
        <v>990</v>
      </c>
      <c r="F57">
        <v>0</v>
      </c>
      <c r="G57" t="s">
        <v>1085</v>
      </c>
      <c r="H57" t="s">
        <v>1204</v>
      </c>
      <c r="I57" t="s">
        <v>1205</v>
      </c>
      <c r="J57" t="s">
        <v>993</v>
      </c>
      <c r="K57" t="s">
        <v>992</v>
      </c>
      <c r="L57" t="s">
        <v>992</v>
      </c>
      <c r="M57" t="s">
        <v>992</v>
      </c>
      <c r="N57" t="s">
        <v>992</v>
      </c>
      <c r="O57" t="s">
        <v>992</v>
      </c>
      <c r="P57" t="s">
        <v>992</v>
      </c>
      <c r="Q57" t="b">
        <v>1</v>
      </c>
      <c r="R57" t="b">
        <v>0</v>
      </c>
      <c r="S57" t="s">
        <v>1032</v>
      </c>
      <c r="T57" t="s">
        <v>992</v>
      </c>
      <c r="U57" t="s">
        <v>1139</v>
      </c>
      <c r="V57" t="s">
        <v>1061</v>
      </c>
      <c r="W57" t="s">
        <v>1206</v>
      </c>
      <c r="X57" t="s">
        <v>1207</v>
      </c>
    </row>
    <row r="58" spans="1:24" x14ac:dyDescent="0.25">
      <c r="A58" t="s">
        <v>42</v>
      </c>
      <c r="B58" t="s">
        <v>1208</v>
      </c>
      <c r="C58" t="s">
        <v>273</v>
      </c>
      <c r="D58" t="s">
        <v>427</v>
      </c>
      <c r="E58" t="s">
        <v>999</v>
      </c>
      <c r="F58">
        <v>0</v>
      </c>
      <c r="G58" t="s">
        <v>1085</v>
      </c>
      <c r="H58" t="s">
        <v>1204</v>
      </c>
      <c r="I58" t="s">
        <v>1205</v>
      </c>
      <c r="J58" t="s">
        <v>993</v>
      </c>
      <c r="K58" t="s">
        <v>992</v>
      </c>
      <c r="L58" t="s">
        <v>992</v>
      </c>
      <c r="M58" t="s">
        <v>992</v>
      </c>
      <c r="N58" t="s">
        <v>992</v>
      </c>
      <c r="O58" t="s">
        <v>992</v>
      </c>
      <c r="P58" t="s">
        <v>992</v>
      </c>
      <c r="Q58" t="b">
        <v>1</v>
      </c>
      <c r="R58" t="b">
        <v>0</v>
      </c>
      <c r="S58" t="s">
        <v>1032</v>
      </c>
      <c r="T58" t="s">
        <v>992</v>
      </c>
      <c r="U58" t="s">
        <v>1139</v>
      </c>
      <c r="V58" t="s">
        <v>1061</v>
      </c>
      <c r="W58" t="s">
        <v>1206</v>
      </c>
      <c r="X58" t="s">
        <v>1209</v>
      </c>
    </row>
    <row r="59" spans="1:24" x14ac:dyDescent="0.25">
      <c r="A59" t="s">
        <v>42</v>
      </c>
      <c r="B59" t="s">
        <v>1210</v>
      </c>
      <c r="C59" t="s">
        <v>273</v>
      </c>
      <c r="D59" t="s">
        <v>427</v>
      </c>
      <c r="E59" t="s">
        <v>1001</v>
      </c>
      <c r="F59">
        <v>0</v>
      </c>
      <c r="G59" t="s">
        <v>1085</v>
      </c>
      <c r="H59" t="s">
        <v>1204</v>
      </c>
      <c r="I59" t="s">
        <v>1205</v>
      </c>
      <c r="J59" t="s">
        <v>993</v>
      </c>
      <c r="K59" t="s">
        <v>992</v>
      </c>
      <c r="L59" t="s">
        <v>992</v>
      </c>
      <c r="M59" t="s">
        <v>992</v>
      </c>
      <c r="N59" t="s">
        <v>992</v>
      </c>
      <c r="O59" t="s">
        <v>992</v>
      </c>
      <c r="P59" t="s">
        <v>992</v>
      </c>
      <c r="Q59" t="b">
        <v>1</v>
      </c>
      <c r="R59" t="b">
        <v>0</v>
      </c>
      <c r="S59" t="s">
        <v>1032</v>
      </c>
      <c r="T59" t="s">
        <v>992</v>
      </c>
      <c r="U59" t="s">
        <v>1139</v>
      </c>
      <c r="V59" t="s">
        <v>1061</v>
      </c>
      <c r="W59" t="s">
        <v>1206</v>
      </c>
      <c r="X59" t="s">
        <v>1211</v>
      </c>
    </row>
    <row r="60" spans="1:24" x14ac:dyDescent="0.25">
      <c r="A60" t="s">
        <v>42</v>
      </c>
      <c r="B60" t="s">
        <v>1212</v>
      </c>
      <c r="C60" t="s">
        <v>273</v>
      </c>
      <c r="D60" t="s">
        <v>427</v>
      </c>
      <c r="E60" t="s">
        <v>1003</v>
      </c>
      <c r="F60">
        <v>0</v>
      </c>
      <c r="G60" t="s">
        <v>1051</v>
      </c>
      <c r="H60" t="s">
        <v>1204</v>
      </c>
      <c r="I60" t="s">
        <v>1205</v>
      </c>
      <c r="J60" t="s">
        <v>993</v>
      </c>
      <c r="K60" t="s">
        <v>992</v>
      </c>
      <c r="L60" t="s">
        <v>992</v>
      </c>
      <c r="M60" t="s">
        <v>992</v>
      </c>
      <c r="N60" t="s">
        <v>992</v>
      </c>
      <c r="O60" t="s">
        <v>992</v>
      </c>
      <c r="P60" t="s">
        <v>992</v>
      </c>
      <c r="Q60" t="b">
        <v>1</v>
      </c>
      <c r="R60" t="b">
        <v>1</v>
      </c>
      <c r="S60" t="s">
        <v>1059</v>
      </c>
      <c r="T60" t="s">
        <v>992</v>
      </c>
      <c r="U60" t="s">
        <v>1060</v>
      </c>
      <c r="V60" t="s">
        <v>1061</v>
      </c>
      <c r="W60" t="s">
        <v>1206</v>
      </c>
      <c r="X60" t="s">
        <v>1213</v>
      </c>
    </row>
    <row r="61" spans="1:24" x14ac:dyDescent="0.25">
      <c r="A61" t="s">
        <v>42</v>
      </c>
      <c r="B61" t="s">
        <v>1214</v>
      </c>
      <c r="C61" t="s">
        <v>273</v>
      </c>
      <c r="D61" t="s">
        <v>427</v>
      </c>
      <c r="E61" t="s">
        <v>1005</v>
      </c>
      <c r="F61">
        <v>0</v>
      </c>
      <c r="G61" t="s">
        <v>1085</v>
      </c>
      <c r="H61" t="s">
        <v>1204</v>
      </c>
      <c r="I61" t="s">
        <v>1205</v>
      </c>
      <c r="J61" t="s">
        <v>993</v>
      </c>
      <c r="K61" t="s">
        <v>992</v>
      </c>
      <c r="L61" t="s">
        <v>992</v>
      </c>
      <c r="M61" t="s">
        <v>992</v>
      </c>
      <c r="N61" t="s">
        <v>992</v>
      </c>
      <c r="O61" t="s">
        <v>992</v>
      </c>
      <c r="P61" t="s">
        <v>992</v>
      </c>
      <c r="Q61" t="b">
        <v>1</v>
      </c>
      <c r="R61" t="b">
        <v>0</v>
      </c>
      <c r="S61" t="s">
        <v>1032</v>
      </c>
      <c r="T61" t="s">
        <v>992</v>
      </c>
      <c r="U61" t="s">
        <v>1139</v>
      </c>
      <c r="V61" t="s">
        <v>1061</v>
      </c>
      <c r="W61" t="s">
        <v>1206</v>
      </c>
      <c r="X61" t="s">
        <v>1215</v>
      </c>
    </row>
    <row r="62" spans="1:24" x14ac:dyDescent="0.25">
      <c r="A62" t="s">
        <v>42</v>
      </c>
      <c r="B62" t="s">
        <v>1216</v>
      </c>
      <c r="C62" t="s">
        <v>273</v>
      </c>
      <c r="D62" t="s">
        <v>427</v>
      </c>
      <c r="E62" t="s">
        <v>1007</v>
      </c>
      <c r="F62">
        <v>0</v>
      </c>
      <c r="G62" t="s">
        <v>1085</v>
      </c>
      <c r="H62" t="s">
        <v>1204</v>
      </c>
      <c r="I62" t="s">
        <v>1205</v>
      </c>
      <c r="J62" t="s">
        <v>993</v>
      </c>
      <c r="K62" t="s">
        <v>992</v>
      </c>
      <c r="L62" t="s">
        <v>992</v>
      </c>
      <c r="M62" t="s">
        <v>992</v>
      </c>
      <c r="N62" t="s">
        <v>992</v>
      </c>
      <c r="O62" t="s">
        <v>992</v>
      </c>
      <c r="P62" t="s">
        <v>992</v>
      </c>
      <c r="Q62" t="b">
        <v>1</v>
      </c>
      <c r="R62" t="b">
        <v>0</v>
      </c>
      <c r="S62" t="s">
        <v>1032</v>
      </c>
      <c r="T62" t="s">
        <v>992</v>
      </c>
      <c r="U62" t="s">
        <v>1139</v>
      </c>
      <c r="V62" t="s">
        <v>1061</v>
      </c>
      <c r="W62" t="s">
        <v>1206</v>
      </c>
      <c r="X62" t="s">
        <v>1217</v>
      </c>
    </row>
    <row r="63" spans="1:24" x14ac:dyDescent="0.25">
      <c r="A63" t="s">
        <v>42</v>
      </c>
      <c r="B63" t="s">
        <v>1218</v>
      </c>
      <c r="C63" t="s">
        <v>273</v>
      </c>
      <c r="D63" t="s">
        <v>427</v>
      </c>
      <c r="E63" t="s">
        <v>1009</v>
      </c>
      <c r="F63">
        <v>0</v>
      </c>
      <c r="G63" t="s">
        <v>1085</v>
      </c>
      <c r="H63" t="s">
        <v>1204</v>
      </c>
      <c r="I63" t="s">
        <v>1205</v>
      </c>
      <c r="J63" t="s">
        <v>993</v>
      </c>
      <c r="K63" t="s">
        <v>992</v>
      </c>
      <c r="L63" t="s">
        <v>992</v>
      </c>
      <c r="M63" t="s">
        <v>992</v>
      </c>
      <c r="N63" t="s">
        <v>992</v>
      </c>
      <c r="O63" t="s">
        <v>992</v>
      </c>
      <c r="P63" t="s">
        <v>992</v>
      </c>
      <c r="Q63" t="b">
        <v>1</v>
      </c>
      <c r="R63" t="b">
        <v>0</v>
      </c>
      <c r="S63" t="s">
        <v>1032</v>
      </c>
      <c r="T63" t="s">
        <v>992</v>
      </c>
      <c r="U63" t="s">
        <v>1139</v>
      </c>
      <c r="V63" t="s">
        <v>1061</v>
      </c>
      <c r="W63" t="s">
        <v>1206</v>
      </c>
      <c r="X63" t="s">
        <v>1219</v>
      </c>
    </row>
    <row r="64" spans="1:24" x14ac:dyDescent="0.25">
      <c r="A64" t="s">
        <v>42</v>
      </c>
      <c r="B64" t="s">
        <v>1220</v>
      </c>
      <c r="C64" t="s">
        <v>273</v>
      </c>
      <c r="D64" t="s">
        <v>427</v>
      </c>
      <c r="E64" t="s">
        <v>1011</v>
      </c>
      <c r="F64">
        <v>0</v>
      </c>
      <c r="G64" t="s">
        <v>1085</v>
      </c>
      <c r="H64" t="s">
        <v>1204</v>
      </c>
      <c r="I64" t="s">
        <v>1205</v>
      </c>
      <c r="J64" t="s">
        <v>993</v>
      </c>
      <c r="K64" t="s">
        <v>992</v>
      </c>
      <c r="L64" t="s">
        <v>992</v>
      </c>
      <c r="M64" t="s">
        <v>992</v>
      </c>
      <c r="N64" t="s">
        <v>992</v>
      </c>
      <c r="O64" t="s">
        <v>992</v>
      </c>
      <c r="P64" t="s">
        <v>992</v>
      </c>
      <c r="Q64" t="b">
        <v>1</v>
      </c>
      <c r="R64" t="b">
        <v>0</v>
      </c>
      <c r="S64" t="s">
        <v>1032</v>
      </c>
      <c r="T64" t="s">
        <v>992</v>
      </c>
      <c r="U64" t="s">
        <v>1139</v>
      </c>
      <c r="V64" t="s">
        <v>1061</v>
      </c>
      <c r="W64" t="s">
        <v>1206</v>
      </c>
      <c r="X64" t="s">
        <v>1221</v>
      </c>
    </row>
    <row r="65" spans="1:24" x14ac:dyDescent="0.25">
      <c r="A65" t="s">
        <v>42</v>
      </c>
      <c r="B65" t="s">
        <v>1222</v>
      </c>
      <c r="C65" t="s">
        <v>273</v>
      </c>
      <c r="D65" t="s">
        <v>427</v>
      </c>
      <c r="E65" t="s">
        <v>1013</v>
      </c>
      <c r="F65">
        <v>0</v>
      </c>
      <c r="G65" t="s">
        <v>1051</v>
      </c>
      <c r="H65" t="s">
        <v>1204</v>
      </c>
      <c r="I65" t="s">
        <v>1205</v>
      </c>
      <c r="J65" t="s">
        <v>993</v>
      </c>
      <c r="K65" t="s">
        <v>992</v>
      </c>
      <c r="L65" t="s">
        <v>992</v>
      </c>
      <c r="M65" t="s">
        <v>992</v>
      </c>
      <c r="N65" t="s">
        <v>992</v>
      </c>
      <c r="O65" t="s">
        <v>992</v>
      </c>
      <c r="P65" t="s">
        <v>992</v>
      </c>
      <c r="Q65" t="b">
        <v>1</v>
      </c>
      <c r="R65" t="b">
        <v>1</v>
      </c>
      <c r="S65" t="s">
        <v>1099</v>
      </c>
      <c r="T65" t="s">
        <v>992</v>
      </c>
      <c r="U65" t="s">
        <v>1060</v>
      </c>
      <c r="V65" t="s">
        <v>1061</v>
      </c>
      <c r="W65" t="s">
        <v>1206</v>
      </c>
      <c r="X65" t="s">
        <v>1213</v>
      </c>
    </row>
    <row r="66" spans="1:24" x14ac:dyDescent="0.25">
      <c r="A66" t="s">
        <v>42</v>
      </c>
      <c r="B66" t="s">
        <v>1223</v>
      </c>
      <c r="C66" t="s">
        <v>273</v>
      </c>
      <c r="D66" t="s">
        <v>427</v>
      </c>
      <c r="E66" t="s">
        <v>1015</v>
      </c>
      <c r="F66">
        <v>0</v>
      </c>
      <c r="G66" t="s">
        <v>1051</v>
      </c>
      <c r="H66" t="s">
        <v>1204</v>
      </c>
      <c r="I66" t="s">
        <v>1205</v>
      </c>
      <c r="J66" t="s">
        <v>993</v>
      </c>
      <c r="K66" t="s">
        <v>992</v>
      </c>
      <c r="L66" t="s">
        <v>992</v>
      </c>
      <c r="M66" t="s">
        <v>992</v>
      </c>
      <c r="N66" t="s">
        <v>992</v>
      </c>
      <c r="O66" t="s">
        <v>992</v>
      </c>
      <c r="P66" t="s">
        <v>992</v>
      </c>
      <c r="Q66" t="b">
        <v>1</v>
      </c>
      <c r="R66" t="b">
        <v>1</v>
      </c>
      <c r="S66" t="s">
        <v>1099</v>
      </c>
      <c r="T66" t="s">
        <v>992</v>
      </c>
      <c r="U66" t="s">
        <v>1060</v>
      </c>
      <c r="V66" t="s">
        <v>1061</v>
      </c>
      <c r="W66" t="s">
        <v>1206</v>
      </c>
      <c r="X66" t="s">
        <v>1213</v>
      </c>
    </row>
    <row r="67" spans="1:24" x14ac:dyDescent="0.25">
      <c r="A67" t="s">
        <v>42</v>
      </c>
      <c r="B67" t="s">
        <v>1224</v>
      </c>
      <c r="C67" t="s">
        <v>273</v>
      </c>
      <c r="D67" t="s">
        <v>427</v>
      </c>
      <c r="E67" t="s">
        <v>1017</v>
      </c>
      <c r="F67">
        <v>0</v>
      </c>
      <c r="G67" t="s">
        <v>1051</v>
      </c>
      <c r="H67" t="s">
        <v>1204</v>
      </c>
      <c r="I67" t="s">
        <v>1205</v>
      </c>
      <c r="J67" t="s">
        <v>993</v>
      </c>
      <c r="K67" t="s">
        <v>992</v>
      </c>
      <c r="L67" t="s">
        <v>992</v>
      </c>
      <c r="M67" t="s">
        <v>992</v>
      </c>
      <c r="N67" t="s">
        <v>992</v>
      </c>
      <c r="O67" t="s">
        <v>992</v>
      </c>
      <c r="P67" t="s">
        <v>992</v>
      </c>
      <c r="Q67" t="b">
        <v>1</v>
      </c>
      <c r="R67" t="b">
        <v>1</v>
      </c>
      <c r="S67" t="s">
        <v>1099</v>
      </c>
      <c r="T67" t="s">
        <v>992</v>
      </c>
      <c r="U67" t="s">
        <v>1060</v>
      </c>
      <c r="V67" t="s">
        <v>1061</v>
      </c>
      <c r="W67" t="s">
        <v>1206</v>
      </c>
      <c r="X67" t="s">
        <v>1213</v>
      </c>
    </row>
    <row r="68" spans="1:24" x14ac:dyDescent="0.25">
      <c r="A68" t="s">
        <v>42</v>
      </c>
      <c r="B68" t="s">
        <v>1225</v>
      </c>
      <c r="C68" t="s">
        <v>273</v>
      </c>
      <c r="D68" t="s">
        <v>427</v>
      </c>
      <c r="E68" t="s">
        <v>1019</v>
      </c>
      <c r="F68">
        <v>0</v>
      </c>
      <c r="G68" t="s">
        <v>1085</v>
      </c>
      <c r="H68" t="s">
        <v>1204</v>
      </c>
      <c r="I68" t="s">
        <v>1205</v>
      </c>
      <c r="J68" t="s">
        <v>993</v>
      </c>
      <c r="K68" t="s">
        <v>992</v>
      </c>
      <c r="L68" t="s">
        <v>992</v>
      </c>
      <c r="M68" t="s">
        <v>992</v>
      </c>
      <c r="N68" t="s">
        <v>992</v>
      </c>
      <c r="O68" t="s">
        <v>992</v>
      </c>
      <c r="P68" t="s">
        <v>992</v>
      </c>
      <c r="Q68" t="b">
        <v>1</v>
      </c>
      <c r="R68" t="b">
        <v>0</v>
      </c>
      <c r="S68" t="s">
        <v>1032</v>
      </c>
      <c r="T68" t="s">
        <v>992</v>
      </c>
      <c r="U68" t="s">
        <v>1139</v>
      </c>
      <c r="V68" t="s">
        <v>1061</v>
      </c>
      <c r="W68" t="s">
        <v>1206</v>
      </c>
      <c r="X68" t="s">
        <v>1226</v>
      </c>
    </row>
    <row r="69" spans="1:24" x14ac:dyDescent="0.25">
      <c r="A69" t="s">
        <v>42</v>
      </c>
      <c r="B69" t="s">
        <v>1227</v>
      </c>
      <c r="C69" t="s">
        <v>273</v>
      </c>
      <c r="D69" t="s">
        <v>427</v>
      </c>
      <c r="E69" t="s">
        <v>1021</v>
      </c>
      <c r="F69">
        <v>0</v>
      </c>
      <c r="G69" t="s">
        <v>1085</v>
      </c>
      <c r="H69" t="s">
        <v>1204</v>
      </c>
      <c r="I69" t="s">
        <v>1205</v>
      </c>
      <c r="J69" t="s">
        <v>993</v>
      </c>
      <c r="K69" t="s">
        <v>992</v>
      </c>
      <c r="L69" t="s">
        <v>992</v>
      </c>
      <c r="M69" t="s">
        <v>992</v>
      </c>
      <c r="N69" t="s">
        <v>992</v>
      </c>
      <c r="O69" t="s">
        <v>992</v>
      </c>
      <c r="P69" t="s">
        <v>992</v>
      </c>
      <c r="Q69" t="b">
        <v>1</v>
      </c>
      <c r="R69" t="b">
        <v>0</v>
      </c>
      <c r="S69" t="s">
        <v>1032</v>
      </c>
      <c r="T69" t="s">
        <v>992</v>
      </c>
      <c r="U69" t="s">
        <v>1139</v>
      </c>
      <c r="V69" t="s">
        <v>1061</v>
      </c>
      <c r="W69" t="s">
        <v>1206</v>
      </c>
      <c r="X69" t="s">
        <v>1228</v>
      </c>
    </row>
    <row r="70" spans="1:24" x14ac:dyDescent="0.25">
      <c r="A70" t="s">
        <v>42</v>
      </c>
      <c r="B70" t="s">
        <v>1229</v>
      </c>
      <c r="C70" t="s">
        <v>273</v>
      </c>
      <c r="D70" t="s">
        <v>427</v>
      </c>
      <c r="E70" t="s">
        <v>1129</v>
      </c>
      <c r="F70">
        <v>0</v>
      </c>
      <c r="G70" t="s">
        <v>1085</v>
      </c>
      <c r="H70" t="s">
        <v>1204</v>
      </c>
      <c r="I70" t="s">
        <v>1205</v>
      </c>
      <c r="J70" t="s">
        <v>993</v>
      </c>
      <c r="K70" t="s">
        <v>992</v>
      </c>
      <c r="L70" t="s">
        <v>992</v>
      </c>
      <c r="M70" t="s">
        <v>992</v>
      </c>
      <c r="N70" t="s">
        <v>992</v>
      </c>
      <c r="O70" t="s">
        <v>992</v>
      </c>
      <c r="P70" t="s">
        <v>992</v>
      </c>
      <c r="Q70" t="b">
        <v>1</v>
      </c>
      <c r="R70" t="b">
        <v>0</v>
      </c>
      <c r="S70" t="s">
        <v>1032</v>
      </c>
      <c r="T70" t="s">
        <v>992</v>
      </c>
      <c r="U70" t="s">
        <v>1139</v>
      </c>
      <c r="V70" t="s">
        <v>1061</v>
      </c>
      <c r="W70" t="s">
        <v>1206</v>
      </c>
      <c r="X70" t="s">
        <v>1230</v>
      </c>
    </row>
    <row r="71" spans="1:24" x14ac:dyDescent="0.25">
      <c r="A71" t="s">
        <v>42</v>
      </c>
      <c r="B71" t="s">
        <v>1231</v>
      </c>
      <c r="C71" t="s">
        <v>274</v>
      </c>
      <c r="D71" t="s">
        <v>427</v>
      </c>
      <c r="E71" t="s">
        <v>990</v>
      </c>
      <c r="F71">
        <v>0</v>
      </c>
      <c r="G71" t="s">
        <v>1085</v>
      </c>
      <c r="H71" t="s">
        <v>1232</v>
      </c>
      <c r="I71" t="s">
        <v>1233</v>
      </c>
      <c r="J71" t="s">
        <v>993</v>
      </c>
      <c r="K71" t="s">
        <v>1026</v>
      </c>
      <c r="L71" t="s">
        <v>1027</v>
      </c>
      <c r="M71" t="s">
        <v>1028</v>
      </c>
      <c r="N71" t="s">
        <v>1029</v>
      </c>
      <c r="O71" t="s">
        <v>1030</v>
      </c>
      <c r="P71" t="s">
        <v>1031</v>
      </c>
      <c r="Q71" t="b">
        <v>1</v>
      </c>
      <c r="R71" t="b">
        <v>0</v>
      </c>
      <c r="S71" t="s">
        <v>1032</v>
      </c>
      <c r="T71" t="s">
        <v>992</v>
      </c>
      <c r="U71" t="s">
        <v>1139</v>
      </c>
      <c r="V71" t="s">
        <v>1061</v>
      </c>
      <c r="W71" t="s">
        <v>1034</v>
      </c>
      <c r="X71" t="s">
        <v>1234</v>
      </c>
    </row>
    <row r="72" spans="1:24" x14ac:dyDescent="0.25">
      <c r="A72" t="s">
        <v>42</v>
      </c>
      <c r="B72" t="s">
        <v>1235</v>
      </c>
      <c r="C72" t="s">
        <v>274</v>
      </c>
      <c r="D72" t="s">
        <v>427</v>
      </c>
      <c r="E72" t="s">
        <v>999</v>
      </c>
      <c r="F72">
        <v>0</v>
      </c>
      <c r="G72" t="s">
        <v>1085</v>
      </c>
      <c r="H72" t="s">
        <v>1236</v>
      </c>
      <c r="I72" t="s">
        <v>1233</v>
      </c>
      <c r="J72" t="s">
        <v>993</v>
      </c>
      <c r="K72" t="s">
        <v>1038</v>
      </c>
      <c r="L72" t="s">
        <v>1039</v>
      </c>
      <c r="M72" t="s">
        <v>1028</v>
      </c>
      <c r="N72" t="s">
        <v>1040</v>
      </c>
      <c r="O72" t="s">
        <v>1041</v>
      </c>
      <c r="P72" t="s">
        <v>1042</v>
      </c>
      <c r="Q72" t="b">
        <v>1</v>
      </c>
      <c r="R72" t="b">
        <v>0</v>
      </c>
      <c r="S72" t="s">
        <v>1032</v>
      </c>
      <c r="T72" t="s">
        <v>992</v>
      </c>
      <c r="U72" t="s">
        <v>1139</v>
      </c>
      <c r="V72" t="s">
        <v>1061</v>
      </c>
      <c r="W72" t="s">
        <v>1034</v>
      </c>
      <c r="X72" t="s">
        <v>1237</v>
      </c>
    </row>
    <row r="73" spans="1:24" x14ac:dyDescent="0.25">
      <c r="A73" t="s">
        <v>42</v>
      </c>
      <c r="B73" t="s">
        <v>1238</v>
      </c>
      <c r="C73" t="s">
        <v>274</v>
      </c>
      <c r="D73" t="s">
        <v>427</v>
      </c>
      <c r="E73" t="s">
        <v>1001</v>
      </c>
      <c r="F73">
        <v>0</v>
      </c>
      <c r="G73" t="s">
        <v>1085</v>
      </c>
      <c r="H73" t="s">
        <v>1239</v>
      </c>
      <c r="I73" t="s">
        <v>1233</v>
      </c>
      <c r="J73" t="s">
        <v>993</v>
      </c>
      <c r="K73" t="s">
        <v>1045</v>
      </c>
      <c r="L73" t="s">
        <v>1046</v>
      </c>
      <c r="M73" t="s">
        <v>1028</v>
      </c>
      <c r="N73" t="s">
        <v>1047</v>
      </c>
      <c r="O73" t="s">
        <v>1048</v>
      </c>
      <c r="P73" t="s">
        <v>1049</v>
      </c>
      <c r="Q73" t="b">
        <v>1</v>
      </c>
      <c r="R73" t="b">
        <v>0</v>
      </c>
      <c r="S73" t="s">
        <v>1032</v>
      </c>
      <c r="T73" t="s">
        <v>992</v>
      </c>
      <c r="U73" t="s">
        <v>1139</v>
      </c>
      <c r="V73" t="s">
        <v>1061</v>
      </c>
      <c r="W73" t="s">
        <v>1034</v>
      </c>
      <c r="X73" t="s">
        <v>1240</v>
      </c>
    </row>
    <row r="74" spans="1:24" x14ac:dyDescent="0.25">
      <c r="A74" t="s">
        <v>42</v>
      </c>
      <c r="B74" t="s">
        <v>1241</v>
      </c>
      <c r="C74" t="s">
        <v>274</v>
      </c>
      <c r="D74" t="s">
        <v>427</v>
      </c>
      <c r="E74" t="s">
        <v>1003</v>
      </c>
      <c r="F74">
        <v>0</v>
      </c>
      <c r="G74" t="s">
        <v>1085</v>
      </c>
      <c r="H74" t="s">
        <v>1242</v>
      </c>
      <c r="I74" t="s">
        <v>1243</v>
      </c>
      <c r="J74" t="s">
        <v>993</v>
      </c>
      <c r="K74" t="s">
        <v>1054</v>
      </c>
      <c r="L74" t="s">
        <v>1055</v>
      </c>
      <c r="M74" t="s">
        <v>1056</v>
      </c>
      <c r="N74" t="s">
        <v>1057</v>
      </c>
      <c r="O74" t="s">
        <v>1030</v>
      </c>
      <c r="P74" t="s">
        <v>1058</v>
      </c>
      <c r="Q74" t="b">
        <v>1</v>
      </c>
      <c r="R74" t="b">
        <v>0</v>
      </c>
      <c r="S74" t="s">
        <v>1032</v>
      </c>
      <c r="T74" t="s">
        <v>992</v>
      </c>
      <c r="U74" t="s">
        <v>1139</v>
      </c>
      <c r="V74" t="s">
        <v>1061</v>
      </c>
      <c r="W74" t="s">
        <v>1034</v>
      </c>
      <c r="X74" t="s">
        <v>1244</v>
      </c>
    </row>
    <row r="75" spans="1:24" x14ac:dyDescent="0.25">
      <c r="A75" t="s">
        <v>42</v>
      </c>
      <c r="B75" t="s">
        <v>1245</v>
      </c>
      <c r="C75" t="s">
        <v>274</v>
      </c>
      <c r="D75" t="s">
        <v>427</v>
      </c>
      <c r="E75" t="s">
        <v>1005</v>
      </c>
      <c r="F75">
        <v>0</v>
      </c>
      <c r="G75" t="s">
        <v>1085</v>
      </c>
      <c r="H75" t="s">
        <v>1246</v>
      </c>
      <c r="I75" t="s">
        <v>1233</v>
      </c>
      <c r="J75" t="s">
        <v>993</v>
      </c>
      <c r="K75" t="s">
        <v>1065</v>
      </c>
      <c r="L75" t="s">
        <v>1066</v>
      </c>
      <c r="M75" t="s">
        <v>1028</v>
      </c>
      <c r="N75" t="s">
        <v>1067</v>
      </c>
      <c r="O75" t="s">
        <v>1068</v>
      </c>
      <c r="P75" t="s">
        <v>1069</v>
      </c>
      <c r="Q75" t="b">
        <v>1</v>
      </c>
      <c r="R75" t="b">
        <v>0</v>
      </c>
      <c r="S75" t="s">
        <v>1032</v>
      </c>
      <c r="T75" t="s">
        <v>992</v>
      </c>
      <c r="U75" t="s">
        <v>1139</v>
      </c>
      <c r="V75" t="s">
        <v>1061</v>
      </c>
      <c r="W75" t="s">
        <v>1034</v>
      </c>
      <c r="X75" t="s">
        <v>1247</v>
      </c>
    </row>
    <row r="76" spans="1:24" x14ac:dyDescent="0.25">
      <c r="A76" t="s">
        <v>42</v>
      </c>
      <c r="B76" t="s">
        <v>1248</v>
      </c>
      <c r="C76" t="s">
        <v>274</v>
      </c>
      <c r="D76" t="s">
        <v>427</v>
      </c>
      <c r="E76" t="s">
        <v>1007</v>
      </c>
      <c r="F76">
        <v>0</v>
      </c>
      <c r="G76" t="s">
        <v>1085</v>
      </c>
      <c r="H76" t="s">
        <v>1249</v>
      </c>
      <c r="I76" t="s">
        <v>1233</v>
      </c>
      <c r="J76" t="s">
        <v>993</v>
      </c>
      <c r="K76" t="s">
        <v>1072</v>
      </c>
      <c r="L76" t="s">
        <v>1073</v>
      </c>
      <c r="M76" t="s">
        <v>1028</v>
      </c>
      <c r="N76" t="s">
        <v>1074</v>
      </c>
      <c r="O76" t="s">
        <v>1075</v>
      </c>
      <c r="P76" t="s">
        <v>1076</v>
      </c>
      <c r="Q76" t="b">
        <v>1</v>
      </c>
      <c r="R76" t="b">
        <v>0</v>
      </c>
      <c r="S76" t="s">
        <v>1032</v>
      </c>
      <c r="T76" t="s">
        <v>992</v>
      </c>
      <c r="U76" t="s">
        <v>1139</v>
      </c>
      <c r="V76" t="s">
        <v>1061</v>
      </c>
      <c r="W76" t="s">
        <v>1034</v>
      </c>
      <c r="X76" t="s">
        <v>1250</v>
      </c>
    </row>
    <row r="77" spans="1:24" x14ac:dyDescent="0.25">
      <c r="A77" t="s">
        <v>42</v>
      </c>
      <c r="B77" t="s">
        <v>1251</v>
      </c>
      <c r="C77" t="s">
        <v>274</v>
      </c>
      <c r="D77" t="s">
        <v>427</v>
      </c>
      <c r="E77" t="s">
        <v>1009</v>
      </c>
      <c r="F77">
        <v>0</v>
      </c>
      <c r="G77" t="s">
        <v>1085</v>
      </c>
      <c r="H77" t="s">
        <v>1252</v>
      </c>
      <c r="I77" t="s">
        <v>1233</v>
      </c>
      <c r="J77" t="s">
        <v>993</v>
      </c>
      <c r="K77" t="s">
        <v>1079</v>
      </c>
      <c r="L77" t="s">
        <v>1080</v>
      </c>
      <c r="M77" t="s">
        <v>1028</v>
      </c>
      <c r="N77" t="s">
        <v>1081</v>
      </c>
      <c r="O77" t="s">
        <v>1082</v>
      </c>
      <c r="P77" t="s">
        <v>1083</v>
      </c>
      <c r="Q77" t="b">
        <v>1</v>
      </c>
      <c r="R77" t="b">
        <v>0</v>
      </c>
      <c r="S77" t="s">
        <v>1032</v>
      </c>
      <c r="T77" t="s">
        <v>992</v>
      </c>
      <c r="U77" t="s">
        <v>1139</v>
      </c>
      <c r="V77" t="s">
        <v>1061</v>
      </c>
      <c r="W77" t="s">
        <v>1034</v>
      </c>
      <c r="X77" t="s">
        <v>1253</v>
      </c>
    </row>
    <row r="78" spans="1:24" x14ac:dyDescent="0.25">
      <c r="A78" t="s">
        <v>42</v>
      </c>
      <c r="B78" t="s">
        <v>1254</v>
      </c>
      <c r="C78" t="s">
        <v>274</v>
      </c>
      <c r="D78" t="s">
        <v>427</v>
      </c>
      <c r="E78" t="s">
        <v>1011</v>
      </c>
      <c r="F78">
        <v>0</v>
      </c>
      <c r="G78" t="s">
        <v>1085</v>
      </c>
      <c r="H78" t="s">
        <v>1255</v>
      </c>
      <c r="I78" t="s">
        <v>1243</v>
      </c>
      <c r="J78" t="s">
        <v>993</v>
      </c>
      <c r="K78" t="s">
        <v>1087</v>
      </c>
      <c r="L78" t="s">
        <v>1088</v>
      </c>
      <c r="M78" t="s">
        <v>1056</v>
      </c>
      <c r="N78" t="s">
        <v>1089</v>
      </c>
      <c r="O78" t="s">
        <v>1068</v>
      </c>
      <c r="P78" t="s">
        <v>1090</v>
      </c>
      <c r="Q78" t="b">
        <v>1</v>
      </c>
      <c r="R78" t="b">
        <v>0</v>
      </c>
      <c r="S78" t="s">
        <v>1032</v>
      </c>
      <c r="T78" t="s">
        <v>992</v>
      </c>
      <c r="U78" t="s">
        <v>1139</v>
      </c>
      <c r="V78" t="s">
        <v>1061</v>
      </c>
      <c r="W78" t="s">
        <v>1034</v>
      </c>
      <c r="X78" t="s">
        <v>1256</v>
      </c>
    </row>
    <row r="79" spans="1:24" x14ac:dyDescent="0.25">
      <c r="A79" t="s">
        <v>42</v>
      </c>
      <c r="B79" t="s">
        <v>1257</v>
      </c>
      <c r="C79" t="s">
        <v>274</v>
      </c>
      <c r="D79" t="s">
        <v>427</v>
      </c>
      <c r="E79" t="s">
        <v>1013</v>
      </c>
      <c r="F79">
        <v>0</v>
      </c>
      <c r="G79" t="s">
        <v>1085</v>
      </c>
      <c r="H79" t="s">
        <v>1258</v>
      </c>
      <c r="I79" t="s">
        <v>1233</v>
      </c>
      <c r="J79" t="s">
        <v>993</v>
      </c>
      <c r="K79" t="s">
        <v>1094</v>
      </c>
      <c r="L79" t="s">
        <v>1095</v>
      </c>
      <c r="M79" t="s">
        <v>1028</v>
      </c>
      <c r="N79" t="s">
        <v>1096</v>
      </c>
      <c r="O79" t="s">
        <v>1097</v>
      </c>
      <c r="P79" t="s">
        <v>1098</v>
      </c>
      <c r="Q79" t="b">
        <v>1</v>
      </c>
      <c r="R79" t="b">
        <v>0</v>
      </c>
      <c r="S79" t="s">
        <v>1032</v>
      </c>
      <c r="T79" t="s">
        <v>992</v>
      </c>
      <c r="U79" t="s">
        <v>1139</v>
      </c>
      <c r="V79" t="s">
        <v>1061</v>
      </c>
      <c r="W79" t="s">
        <v>1034</v>
      </c>
      <c r="X79" t="s">
        <v>1259</v>
      </c>
    </row>
    <row r="80" spans="1:24" x14ac:dyDescent="0.25">
      <c r="A80" t="s">
        <v>42</v>
      </c>
      <c r="B80" t="s">
        <v>1260</v>
      </c>
      <c r="C80" t="s">
        <v>274</v>
      </c>
      <c r="D80" t="s">
        <v>427</v>
      </c>
      <c r="E80" t="s">
        <v>1015</v>
      </c>
      <c r="F80">
        <v>0</v>
      </c>
      <c r="G80" t="s">
        <v>1085</v>
      </c>
      <c r="H80" t="s">
        <v>1261</v>
      </c>
      <c r="I80" t="s">
        <v>1233</v>
      </c>
      <c r="J80" t="s">
        <v>993</v>
      </c>
      <c r="K80" t="s">
        <v>1102</v>
      </c>
      <c r="L80" t="s">
        <v>1103</v>
      </c>
      <c r="M80" t="s">
        <v>1028</v>
      </c>
      <c r="N80" t="s">
        <v>1104</v>
      </c>
      <c r="O80" t="s">
        <v>1105</v>
      </c>
      <c r="P80" t="s">
        <v>1106</v>
      </c>
      <c r="Q80" t="b">
        <v>1</v>
      </c>
      <c r="R80" t="b">
        <v>0</v>
      </c>
      <c r="S80" t="s">
        <v>1032</v>
      </c>
      <c r="T80" t="s">
        <v>992</v>
      </c>
      <c r="U80" t="s">
        <v>1139</v>
      </c>
      <c r="V80" t="s">
        <v>1061</v>
      </c>
      <c r="W80" t="s">
        <v>1034</v>
      </c>
      <c r="X80" t="s">
        <v>1262</v>
      </c>
    </row>
    <row r="81" spans="1:24" x14ac:dyDescent="0.25">
      <c r="A81" t="s">
        <v>42</v>
      </c>
      <c r="B81" t="s">
        <v>1263</v>
      </c>
      <c r="C81" t="s">
        <v>274</v>
      </c>
      <c r="D81" t="s">
        <v>427</v>
      </c>
      <c r="E81" t="s">
        <v>1017</v>
      </c>
      <c r="F81">
        <v>0</v>
      </c>
      <c r="G81" t="s">
        <v>1085</v>
      </c>
      <c r="H81" t="s">
        <v>1264</v>
      </c>
      <c r="I81" t="s">
        <v>1233</v>
      </c>
      <c r="J81" t="s">
        <v>993</v>
      </c>
      <c r="K81" t="s">
        <v>1109</v>
      </c>
      <c r="L81" t="s">
        <v>1110</v>
      </c>
      <c r="M81" t="s">
        <v>1028</v>
      </c>
      <c r="N81" t="s">
        <v>1111</v>
      </c>
      <c r="O81" t="s">
        <v>1112</v>
      </c>
      <c r="P81" t="s">
        <v>1113</v>
      </c>
      <c r="Q81" t="b">
        <v>1</v>
      </c>
      <c r="R81" t="b">
        <v>0</v>
      </c>
      <c r="S81" t="s">
        <v>1032</v>
      </c>
      <c r="T81" t="s">
        <v>992</v>
      </c>
      <c r="U81" t="s">
        <v>1139</v>
      </c>
      <c r="V81" t="s">
        <v>1061</v>
      </c>
      <c r="W81" t="s">
        <v>1034</v>
      </c>
      <c r="X81" t="s">
        <v>1265</v>
      </c>
    </row>
    <row r="82" spans="1:24" x14ac:dyDescent="0.25">
      <c r="A82" t="s">
        <v>42</v>
      </c>
      <c r="B82" t="s">
        <v>1266</v>
      </c>
      <c r="C82" t="s">
        <v>274</v>
      </c>
      <c r="D82" t="s">
        <v>427</v>
      </c>
      <c r="E82" t="s">
        <v>1019</v>
      </c>
      <c r="F82">
        <v>0</v>
      </c>
      <c r="G82" t="s">
        <v>1085</v>
      </c>
      <c r="H82" t="s">
        <v>1267</v>
      </c>
      <c r="I82" t="s">
        <v>1243</v>
      </c>
      <c r="J82" t="s">
        <v>993</v>
      </c>
      <c r="K82" t="s">
        <v>1116</v>
      </c>
      <c r="L82" t="s">
        <v>1117</v>
      </c>
      <c r="M82" t="s">
        <v>1056</v>
      </c>
      <c r="N82" t="s">
        <v>1118</v>
      </c>
      <c r="O82" t="s">
        <v>1097</v>
      </c>
      <c r="P82" t="s">
        <v>1119</v>
      </c>
      <c r="Q82" t="b">
        <v>1</v>
      </c>
      <c r="R82" t="b">
        <v>0</v>
      </c>
      <c r="S82" t="s">
        <v>1032</v>
      </c>
      <c r="T82" t="s">
        <v>992</v>
      </c>
      <c r="U82" t="s">
        <v>1139</v>
      </c>
      <c r="V82" t="s">
        <v>1061</v>
      </c>
      <c r="W82" t="s">
        <v>1034</v>
      </c>
      <c r="X82" t="s">
        <v>1268</v>
      </c>
    </row>
    <row r="83" spans="1:24" x14ac:dyDescent="0.25">
      <c r="A83" t="s">
        <v>42</v>
      </c>
      <c r="B83" t="s">
        <v>1269</v>
      </c>
      <c r="C83" t="s">
        <v>274</v>
      </c>
      <c r="D83" t="s">
        <v>427</v>
      </c>
      <c r="E83" t="s">
        <v>1021</v>
      </c>
      <c r="F83">
        <v>0</v>
      </c>
      <c r="G83" t="s">
        <v>1085</v>
      </c>
      <c r="H83" t="s">
        <v>1270</v>
      </c>
      <c r="I83" t="s">
        <v>1233</v>
      </c>
      <c r="J83" t="s">
        <v>993</v>
      </c>
      <c r="K83" t="s">
        <v>1123</v>
      </c>
      <c r="L83" t="s">
        <v>1124</v>
      </c>
      <c r="M83" t="s">
        <v>1028</v>
      </c>
      <c r="N83" t="s">
        <v>1125</v>
      </c>
      <c r="O83" t="s">
        <v>1126</v>
      </c>
      <c r="P83" t="s">
        <v>1127</v>
      </c>
      <c r="Q83" t="b">
        <v>1</v>
      </c>
      <c r="R83" t="b">
        <v>0</v>
      </c>
      <c r="S83" t="s">
        <v>1032</v>
      </c>
      <c r="T83" t="s">
        <v>992</v>
      </c>
      <c r="U83" t="s">
        <v>1139</v>
      </c>
      <c r="V83" t="s">
        <v>1061</v>
      </c>
      <c r="W83" t="s">
        <v>1034</v>
      </c>
      <c r="X83" t="s">
        <v>1271</v>
      </c>
    </row>
    <row r="84" spans="1:24" x14ac:dyDescent="0.25">
      <c r="A84" t="s">
        <v>42</v>
      </c>
      <c r="B84" t="s">
        <v>1272</v>
      </c>
      <c r="C84" t="s">
        <v>274</v>
      </c>
      <c r="D84" t="s">
        <v>427</v>
      </c>
      <c r="E84" t="s">
        <v>1129</v>
      </c>
      <c r="F84">
        <v>0</v>
      </c>
      <c r="G84" t="s">
        <v>1085</v>
      </c>
      <c r="H84" t="s">
        <v>1273</v>
      </c>
      <c r="I84" t="s">
        <v>1233</v>
      </c>
      <c r="J84" t="s">
        <v>993</v>
      </c>
      <c r="K84" t="s">
        <v>1131</v>
      </c>
      <c r="L84" t="s">
        <v>1132</v>
      </c>
      <c r="M84" t="s">
        <v>1028</v>
      </c>
      <c r="N84" t="s">
        <v>1133</v>
      </c>
      <c r="O84" t="s">
        <v>1134</v>
      </c>
      <c r="P84" t="s">
        <v>1135</v>
      </c>
      <c r="Q84" t="b">
        <v>1</v>
      </c>
      <c r="R84" t="b">
        <v>0</v>
      </c>
      <c r="S84" t="s">
        <v>1032</v>
      </c>
      <c r="T84" t="s">
        <v>992</v>
      </c>
      <c r="U84" t="s">
        <v>1139</v>
      </c>
      <c r="V84" t="s">
        <v>1061</v>
      </c>
      <c r="W84" t="s">
        <v>1034</v>
      </c>
      <c r="X84" t="s">
        <v>1274</v>
      </c>
    </row>
    <row r="85" spans="1:24" x14ac:dyDescent="0.25">
      <c r="A85" t="s">
        <v>42</v>
      </c>
      <c r="B85" t="s">
        <v>1275</v>
      </c>
      <c r="C85" t="s">
        <v>277</v>
      </c>
      <c r="D85" t="s">
        <v>427</v>
      </c>
      <c r="E85" t="s">
        <v>990</v>
      </c>
      <c r="F85">
        <v>-1003</v>
      </c>
      <c r="G85" t="s">
        <v>1023</v>
      </c>
      <c r="H85" t="s">
        <v>1276</v>
      </c>
      <c r="I85" t="s">
        <v>120</v>
      </c>
      <c r="J85" t="s">
        <v>993</v>
      </c>
      <c r="K85" t="s">
        <v>1026</v>
      </c>
      <c r="L85" t="s">
        <v>1027</v>
      </c>
      <c r="M85" t="s">
        <v>1028</v>
      </c>
      <c r="N85" t="s">
        <v>1029</v>
      </c>
      <c r="O85" t="s">
        <v>1030</v>
      </c>
      <c r="P85" t="s">
        <v>1031</v>
      </c>
      <c r="Q85" t="b">
        <v>1</v>
      </c>
      <c r="R85" t="b">
        <v>0</v>
      </c>
      <c r="S85" t="s">
        <v>1032</v>
      </c>
      <c r="T85" t="s">
        <v>992</v>
      </c>
      <c r="U85" t="s">
        <v>1139</v>
      </c>
      <c r="V85" t="s">
        <v>995</v>
      </c>
      <c r="W85" t="s">
        <v>1034</v>
      </c>
      <c r="X85" t="s">
        <v>1277</v>
      </c>
    </row>
    <row r="86" spans="1:24" x14ac:dyDescent="0.25">
      <c r="A86" t="s">
        <v>42</v>
      </c>
      <c r="B86" t="s">
        <v>1278</v>
      </c>
      <c r="C86" t="s">
        <v>277</v>
      </c>
      <c r="D86" t="s">
        <v>427</v>
      </c>
      <c r="E86" t="s">
        <v>999</v>
      </c>
      <c r="F86">
        <v>-930</v>
      </c>
      <c r="G86" t="s">
        <v>1023</v>
      </c>
      <c r="H86" t="s">
        <v>1279</v>
      </c>
      <c r="I86" t="s">
        <v>120</v>
      </c>
      <c r="J86" t="s">
        <v>993</v>
      </c>
      <c r="K86" t="s">
        <v>1038</v>
      </c>
      <c r="L86" t="s">
        <v>1039</v>
      </c>
      <c r="M86" t="s">
        <v>1028</v>
      </c>
      <c r="N86" t="s">
        <v>1040</v>
      </c>
      <c r="O86" t="s">
        <v>1041</v>
      </c>
      <c r="P86" t="s">
        <v>1042</v>
      </c>
      <c r="Q86" t="b">
        <v>1</v>
      </c>
      <c r="R86" t="b">
        <v>0</v>
      </c>
      <c r="S86" t="s">
        <v>1032</v>
      </c>
      <c r="T86" t="s">
        <v>992</v>
      </c>
      <c r="U86" t="s">
        <v>1139</v>
      </c>
      <c r="V86" t="s">
        <v>995</v>
      </c>
      <c r="W86" t="s">
        <v>1034</v>
      </c>
      <c r="X86" t="s">
        <v>1277</v>
      </c>
    </row>
    <row r="87" spans="1:24" x14ac:dyDescent="0.25">
      <c r="A87" t="s">
        <v>42</v>
      </c>
      <c r="B87" t="s">
        <v>1280</v>
      </c>
      <c r="C87" t="s">
        <v>277</v>
      </c>
      <c r="D87" t="s">
        <v>427</v>
      </c>
      <c r="E87" t="s">
        <v>1001</v>
      </c>
      <c r="F87">
        <v>-998</v>
      </c>
      <c r="G87" t="s">
        <v>1023</v>
      </c>
      <c r="H87" t="s">
        <v>1281</v>
      </c>
      <c r="I87" t="s">
        <v>120</v>
      </c>
      <c r="J87" t="s">
        <v>993</v>
      </c>
      <c r="K87" t="s">
        <v>1045</v>
      </c>
      <c r="L87" t="s">
        <v>1046</v>
      </c>
      <c r="M87" t="s">
        <v>1028</v>
      </c>
      <c r="N87" t="s">
        <v>1047</v>
      </c>
      <c r="O87" t="s">
        <v>1048</v>
      </c>
      <c r="P87" t="s">
        <v>1049</v>
      </c>
      <c r="Q87" t="b">
        <v>1</v>
      </c>
      <c r="R87" t="b">
        <v>0</v>
      </c>
      <c r="S87" t="s">
        <v>1032</v>
      </c>
      <c r="T87" t="s">
        <v>992</v>
      </c>
      <c r="U87" t="s">
        <v>1139</v>
      </c>
      <c r="V87" t="s">
        <v>995</v>
      </c>
      <c r="W87" t="s">
        <v>1034</v>
      </c>
      <c r="X87" t="s">
        <v>1277</v>
      </c>
    </row>
    <row r="88" spans="1:24" x14ac:dyDescent="0.25">
      <c r="A88" t="s">
        <v>42</v>
      </c>
      <c r="B88" t="s">
        <v>1282</v>
      </c>
      <c r="C88" t="s">
        <v>277</v>
      </c>
      <c r="D88" t="s">
        <v>427</v>
      </c>
      <c r="E88" t="s">
        <v>1003</v>
      </c>
      <c r="F88">
        <v>-1002</v>
      </c>
      <c r="G88" t="s">
        <v>1051</v>
      </c>
      <c r="H88" t="s">
        <v>1283</v>
      </c>
      <c r="I88" t="s">
        <v>1284</v>
      </c>
      <c r="J88" t="s">
        <v>993</v>
      </c>
      <c r="K88" t="s">
        <v>1054</v>
      </c>
      <c r="L88" t="s">
        <v>1055</v>
      </c>
      <c r="M88" t="s">
        <v>1056</v>
      </c>
      <c r="N88" t="s">
        <v>1057</v>
      </c>
      <c r="O88" t="s">
        <v>1030</v>
      </c>
      <c r="P88" t="s">
        <v>1058</v>
      </c>
      <c r="Q88" t="b">
        <v>1</v>
      </c>
      <c r="R88" t="b">
        <v>1</v>
      </c>
      <c r="S88" t="s">
        <v>1059</v>
      </c>
      <c r="T88" t="s">
        <v>992</v>
      </c>
      <c r="U88" t="s">
        <v>1060</v>
      </c>
      <c r="V88" t="s">
        <v>1061</v>
      </c>
      <c r="W88" t="s">
        <v>1034</v>
      </c>
      <c r="X88" t="s">
        <v>1062</v>
      </c>
    </row>
    <row r="89" spans="1:24" x14ac:dyDescent="0.25">
      <c r="A89" t="s">
        <v>42</v>
      </c>
      <c r="B89" t="s">
        <v>1285</v>
      </c>
      <c r="C89" t="s">
        <v>277</v>
      </c>
      <c r="D89" t="s">
        <v>427</v>
      </c>
      <c r="E89" t="s">
        <v>1015</v>
      </c>
      <c r="F89">
        <v>-219</v>
      </c>
      <c r="G89" t="s">
        <v>982</v>
      </c>
      <c r="H89" t="s">
        <v>992</v>
      </c>
      <c r="I89" t="s">
        <v>992</v>
      </c>
      <c r="J89" t="s">
        <v>993</v>
      </c>
      <c r="K89" t="s">
        <v>992</v>
      </c>
      <c r="L89" t="s">
        <v>992</v>
      </c>
      <c r="M89" t="s">
        <v>992</v>
      </c>
      <c r="N89" t="s">
        <v>992</v>
      </c>
      <c r="O89" t="s">
        <v>992</v>
      </c>
      <c r="P89" t="s">
        <v>992</v>
      </c>
      <c r="Q89" t="b">
        <v>0</v>
      </c>
      <c r="R89" t="b">
        <v>1</v>
      </c>
      <c r="S89" t="s">
        <v>1286</v>
      </c>
      <c r="T89" t="s">
        <v>1287</v>
      </c>
      <c r="U89" t="s">
        <v>994</v>
      </c>
      <c r="V89" t="s">
        <v>1288</v>
      </c>
      <c r="W89" t="s">
        <v>1289</v>
      </c>
      <c r="X89" t="s">
        <v>1290</v>
      </c>
    </row>
    <row r="90" spans="1:24" x14ac:dyDescent="0.25">
      <c r="A90" t="s">
        <v>42</v>
      </c>
      <c r="B90" t="s">
        <v>1291</v>
      </c>
      <c r="C90" t="s">
        <v>277</v>
      </c>
      <c r="D90" t="s">
        <v>427</v>
      </c>
      <c r="E90" t="s">
        <v>1129</v>
      </c>
      <c r="F90">
        <v>-216</v>
      </c>
      <c r="G90" t="s">
        <v>982</v>
      </c>
      <c r="H90" t="s">
        <v>992</v>
      </c>
      <c r="I90" t="s">
        <v>992</v>
      </c>
      <c r="J90" t="s">
        <v>993</v>
      </c>
      <c r="K90" t="s">
        <v>992</v>
      </c>
      <c r="L90" t="s">
        <v>992</v>
      </c>
      <c r="M90" t="s">
        <v>992</v>
      </c>
      <c r="N90" t="s">
        <v>992</v>
      </c>
      <c r="O90" t="s">
        <v>992</v>
      </c>
      <c r="P90" t="s">
        <v>992</v>
      </c>
      <c r="Q90" t="b">
        <v>0</v>
      </c>
      <c r="R90" t="b">
        <v>1</v>
      </c>
      <c r="S90" t="s">
        <v>1286</v>
      </c>
      <c r="T90" t="s">
        <v>1287</v>
      </c>
      <c r="U90" t="s">
        <v>994</v>
      </c>
      <c r="V90" t="s">
        <v>1288</v>
      </c>
      <c r="W90" t="s">
        <v>1289</v>
      </c>
      <c r="X90" t="s">
        <v>1290</v>
      </c>
    </row>
    <row r="91" spans="1:24" x14ac:dyDescent="0.25">
      <c r="A91" t="s">
        <v>42</v>
      </c>
      <c r="B91" t="s">
        <v>1292</v>
      </c>
      <c r="C91" t="s">
        <v>279</v>
      </c>
      <c r="D91" t="s">
        <v>427</v>
      </c>
      <c r="E91" t="s">
        <v>990</v>
      </c>
      <c r="F91">
        <v>-258</v>
      </c>
      <c r="G91" t="s">
        <v>1023</v>
      </c>
      <c r="H91" t="s">
        <v>1293</v>
      </c>
      <c r="I91" t="s">
        <v>1294</v>
      </c>
      <c r="J91" t="s">
        <v>993</v>
      </c>
      <c r="K91" t="s">
        <v>1026</v>
      </c>
      <c r="L91" t="s">
        <v>1027</v>
      </c>
      <c r="M91" t="s">
        <v>1028</v>
      </c>
      <c r="N91" t="s">
        <v>1029</v>
      </c>
      <c r="O91" t="s">
        <v>1030</v>
      </c>
      <c r="P91" t="s">
        <v>1031</v>
      </c>
      <c r="Q91" t="b">
        <v>1</v>
      </c>
      <c r="R91" t="b">
        <v>0</v>
      </c>
      <c r="S91" t="s">
        <v>1032</v>
      </c>
      <c r="T91" t="s">
        <v>992</v>
      </c>
      <c r="U91" t="s">
        <v>1139</v>
      </c>
      <c r="V91" t="s">
        <v>995</v>
      </c>
      <c r="W91" t="s">
        <v>1034</v>
      </c>
      <c r="X91" t="s">
        <v>992</v>
      </c>
    </row>
    <row r="92" spans="1:24" x14ac:dyDescent="0.25">
      <c r="A92" t="s">
        <v>42</v>
      </c>
      <c r="B92" t="s">
        <v>1295</v>
      </c>
      <c r="C92" t="s">
        <v>279</v>
      </c>
      <c r="D92" t="s">
        <v>427</v>
      </c>
      <c r="E92" t="s">
        <v>999</v>
      </c>
      <c r="F92">
        <v>76</v>
      </c>
      <c r="G92" t="s">
        <v>1023</v>
      </c>
      <c r="H92" t="s">
        <v>1296</v>
      </c>
      <c r="I92" t="s">
        <v>1294</v>
      </c>
      <c r="J92" t="s">
        <v>993</v>
      </c>
      <c r="K92" t="s">
        <v>1038</v>
      </c>
      <c r="L92" t="s">
        <v>1039</v>
      </c>
      <c r="M92" t="s">
        <v>1028</v>
      </c>
      <c r="N92" t="s">
        <v>1040</v>
      </c>
      <c r="O92" t="s">
        <v>1041</v>
      </c>
      <c r="P92" t="s">
        <v>1042</v>
      </c>
      <c r="Q92" t="b">
        <v>1</v>
      </c>
      <c r="R92" t="b">
        <v>0</v>
      </c>
      <c r="S92" t="s">
        <v>1032</v>
      </c>
      <c r="T92" t="s">
        <v>992</v>
      </c>
      <c r="U92" t="s">
        <v>1139</v>
      </c>
      <c r="V92" t="s">
        <v>995</v>
      </c>
      <c r="W92" t="s">
        <v>1034</v>
      </c>
      <c r="X92" t="s">
        <v>992</v>
      </c>
    </row>
    <row r="93" spans="1:24" x14ac:dyDescent="0.25">
      <c r="A93" t="s">
        <v>42</v>
      </c>
      <c r="B93" t="s">
        <v>1297</v>
      </c>
      <c r="C93" t="s">
        <v>279</v>
      </c>
      <c r="D93" t="s">
        <v>427</v>
      </c>
      <c r="E93" t="s">
        <v>1001</v>
      </c>
      <c r="F93">
        <v>-247</v>
      </c>
      <c r="G93" t="s">
        <v>1023</v>
      </c>
      <c r="H93" t="s">
        <v>1298</v>
      </c>
      <c r="I93" t="s">
        <v>1294</v>
      </c>
      <c r="J93" t="s">
        <v>993</v>
      </c>
      <c r="K93" t="s">
        <v>1045</v>
      </c>
      <c r="L93" t="s">
        <v>1046</v>
      </c>
      <c r="M93" t="s">
        <v>1028</v>
      </c>
      <c r="N93" t="s">
        <v>1047</v>
      </c>
      <c r="O93" t="s">
        <v>1048</v>
      </c>
      <c r="P93" t="s">
        <v>1049</v>
      </c>
      <c r="Q93" t="b">
        <v>1</v>
      </c>
      <c r="R93" t="b">
        <v>0</v>
      </c>
      <c r="S93" t="s">
        <v>1032</v>
      </c>
      <c r="T93" t="s">
        <v>992</v>
      </c>
      <c r="U93" t="s">
        <v>1139</v>
      </c>
      <c r="V93" t="s">
        <v>995</v>
      </c>
      <c r="W93" t="s">
        <v>1034</v>
      </c>
      <c r="X93" t="s">
        <v>992</v>
      </c>
    </row>
    <row r="94" spans="1:24" x14ac:dyDescent="0.25">
      <c r="A94" t="s">
        <v>42</v>
      </c>
      <c r="B94" t="s">
        <v>1299</v>
      </c>
      <c r="C94" t="s">
        <v>279</v>
      </c>
      <c r="D94" t="s">
        <v>427</v>
      </c>
      <c r="E94" t="s">
        <v>1003</v>
      </c>
      <c r="F94">
        <v>47</v>
      </c>
      <c r="G94" t="s">
        <v>1023</v>
      </c>
      <c r="H94" t="s">
        <v>1300</v>
      </c>
      <c r="I94" t="s">
        <v>1301</v>
      </c>
      <c r="J94" t="s">
        <v>993</v>
      </c>
      <c r="K94" t="s">
        <v>1054</v>
      </c>
      <c r="L94" t="s">
        <v>1055</v>
      </c>
      <c r="M94" t="s">
        <v>1056</v>
      </c>
      <c r="N94" t="s">
        <v>1057</v>
      </c>
      <c r="O94" t="s">
        <v>1030</v>
      </c>
      <c r="P94" t="s">
        <v>1058</v>
      </c>
      <c r="Q94" t="b">
        <v>1</v>
      </c>
      <c r="R94" t="b">
        <v>0</v>
      </c>
      <c r="S94" t="s">
        <v>1032</v>
      </c>
      <c r="T94" t="s">
        <v>992</v>
      </c>
      <c r="U94" t="s">
        <v>1139</v>
      </c>
      <c r="V94" t="s">
        <v>1061</v>
      </c>
      <c r="W94" t="s">
        <v>1034</v>
      </c>
      <c r="X94" t="s">
        <v>1302</v>
      </c>
    </row>
    <row r="95" spans="1:24" x14ac:dyDescent="0.25">
      <c r="A95" t="s">
        <v>42</v>
      </c>
      <c r="B95" t="s">
        <v>1303</v>
      </c>
      <c r="C95" t="s">
        <v>279</v>
      </c>
      <c r="D95" t="s">
        <v>427</v>
      </c>
      <c r="E95" t="s">
        <v>1019</v>
      </c>
      <c r="F95">
        <v>-1245</v>
      </c>
      <c r="G95" t="s">
        <v>982</v>
      </c>
      <c r="H95" t="s">
        <v>1304</v>
      </c>
      <c r="I95" t="s">
        <v>992</v>
      </c>
      <c r="J95" t="s">
        <v>993</v>
      </c>
      <c r="K95" t="s">
        <v>992</v>
      </c>
      <c r="L95" t="s">
        <v>992</v>
      </c>
      <c r="M95" t="s">
        <v>992</v>
      </c>
      <c r="N95" t="s">
        <v>992</v>
      </c>
      <c r="O95" t="s">
        <v>992</v>
      </c>
      <c r="P95" t="s">
        <v>992</v>
      </c>
      <c r="Q95" t="b">
        <v>0</v>
      </c>
      <c r="R95" t="b">
        <v>1</v>
      </c>
      <c r="S95" t="s">
        <v>1286</v>
      </c>
      <c r="T95" t="s">
        <v>1287</v>
      </c>
      <c r="U95" t="s">
        <v>994</v>
      </c>
      <c r="V95" t="s">
        <v>1288</v>
      </c>
      <c r="W95" t="s">
        <v>1289</v>
      </c>
      <c r="X95" t="s">
        <v>1290</v>
      </c>
    </row>
    <row r="96" spans="1:24" x14ac:dyDescent="0.25">
      <c r="A96" t="s">
        <v>42</v>
      </c>
      <c r="B96" t="s">
        <v>1305</v>
      </c>
      <c r="C96" t="s">
        <v>281</v>
      </c>
      <c r="D96" t="s">
        <v>427</v>
      </c>
      <c r="E96" t="s">
        <v>990</v>
      </c>
      <c r="F96">
        <v>-5625</v>
      </c>
      <c r="G96" t="s">
        <v>1023</v>
      </c>
      <c r="H96" t="s">
        <v>1306</v>
      </c>
      <c r="I96" t="s">
        <v>1307</v>
      </c>
      <c r="J96" t="s">
        <v>993</v>
      </c>
      <c r="K96" t="s">
        <v>1026</v>
      </c>
      <c r="L96" t="s">
        <v>1027</v>
      </c>
      <c r="M96" t="s">
        <v>1028</v>
      </c>
      <c r="N96" t="s">
        <v>1029</v>
      </c>
      <c r="O96" t="s">
        <v>1030</v>
      </c>
      <c r="P96" t="s">
        <v>1031</v>
      </c>
      <c r="Q96" t="b">
        <v>1</v>
      </c>
      <c r="R96" t="b">
        <v>0</v>
      </c>
      <c r="S96" t="s">
        <v>1032</v>
      </c>
      <c r="T96" t="s">
        <v>992</v>
      </c>
      <c r="U96" t="s">
        <v>1139</v>
      </c>
      <c r="V96" t="s">
        <v>995</v>
      </c>
      <c r="W96" t="s">
        <v>1034</v>
      </c>
      <c r="X96" t="s">
        <v>1308</v>
      </c>
    </row>
    <row r="97" spans="1:24" x14ac:dyDescent="0.25">
      <c r="A97" t="s">
        <v>42</v>
      </c>
      <c r="B97" t="s">
        <v>1309</v>
      </c>
      <c r="C97" t="s">
        <v>281</v>
      </c>
      <c r="D97" t="s">
        <v>427</v>
      </c>
      <c r="E97" t="s">
        <v>999</v>
      </c>
      <c r="F97">
        <v>-4222</v>
      </c>
      <c r="G97" t="s">
        <v>1023</v>
      </c>
      <c r="H97" t="s">
        <v>1310</v>
      </c>
      <c r="I97" t="s">
        <v>1307</v>
      </c>
      <c r="J97" t="s">
        <v>993</v>
      </c>
      <c r="K97" t="s">
        <v>1038</v>
      </c>
      <c r="L97" t="s">
        <v>1039</v>
      </c>
      <c r="M97" t="s">
        <v>1028</v>
      </c>
      <c r="N97" t="s">
        <v>1040</v>
      </c>
      <c r="O97" t="s">
        <v>1041</v>
      </c>
      <c r="P97" t="s">
        <v>1042</v>
      </c>
      <c r="Q97" t="b">
        <v>1</v>
      </c>
      <c r="R97" t="b">
        <v>0</v>
      </c>
      <c r="S97" t="s">
        <v>1032</v>
      </c>
      <c r="T97" t="s">
        <v>992</v>
      </c>
      <c r="U97" t="s">
        <v>1139</v>
      </c>
      <c r="V97" t="s">
        <v>995</v>
      </c>
      <c r="W97" t="s">
        <v>1034</v>
      </c>
      <c r="X97" t="s">
        <v>1308</v>
      </c>
    </row>
    <row r="98" spans="1:24" x14ac:dyDescent="0.25">
      <c r="A98" t="s">
        <v>42</v>
      </c>
      <c r="B98" t="s">
        <v>1311</v>
      </c>
      <c r="C98" t="s">
        <v>281</v>
      </c>
      <c r="D98" t="s">
        <v>427</v>
      </c>
      <c r="E98" t="s">
        <v>1001</v>
      </c>
      <c r="F98">
        <v>-2852</v>
      </c>
      <c r="G98" t="s">
        <v>1023</v>
      </c>
      <c r="H98" t="s">
        <v>1312</v>
      </c>
      <c r="I98" t="s">
        <v>1307</v>
      </c>
      <c r="J98" t="s">
        <v>993</v>
      </c>
      <c r="K98" t="s">
        <v>1045</v>
      </c>
      <c r="L98" t="s">
        <v>1046</v>
      </c>
      <c r="M98" t="s">
        <v>1028</v>
      </c>
      <c r="N98" t="s">
        <v>1047</v>
      </c>
      <c r="O98" t="s">
        <v>1048</v>
      </c>
      <c r="P98" t="s">
        <v>1049</v>
      </c>
      <c r="Q98" t="b">
        <v>1</v>
      </c>
      <c r="R98" t="b">
        <v>0</v>
      </c>
      <c r="S98" t="s">
        <v>1032</v>
      </c>
      <c r="T98" t="s">
        <v>992</v>
      </c>
      <c r="U98" t="s">
        <v>1139</v>
      </c>
      <c r="V98" t="s">
        <v>995</v>
      </c>
      <c r="W98" t="s">
        <v>1034</v>
      </c>
      <c r="X98" t="s">
        <v>1308</v>
      </c>
    </row>
    <row r="99" spans="1:24" x14ac:dyDescent="0.25">
      <c r="A99" t="s">
        <v>42</v>
      </c>
      <c r="B99" t="s">
        <v>1313</v>
      </c>
      <c r="C99" t="s">
        <v>281</v>
      </c>
      <c r="D99" t="s">
        <v>427</v>
      </c>
      <c r="E99" t="s">
        <v>1003</v>
      </c>
      <c r="F99">
        <v>-4042</v>
      </c>
      <c r="G99" t="s">
        <v>1051</v>
      </c>
      <c r="H99" t="s">
        <v>1314</v>
      </c>
      <c r="I99" t="s">
        <v>1315</v>
      </c>
      <c r="J99" t="s">
        <v>993</v>
      </c>
      <c r="K99" t="s">
        <v>1054</v>
      </c>
      <c r="L99" t="s">
        <v>1055</v>
      </c>
      <c r="M99" t="s">
        <v>1056</v>
      </c>
      <c r="N99" t="s">
        <v>1057</v>
      </c>
      <c r="O99" t="s">
        <v>1030</v>
      </c>
      <c r="P99" t="s">
        <v>1058</v>
      </c>
      <c r="Q99" t="b">
        <v>1</v>
      </c>
      <c r="R99" t="b">
        <v>1</v>
      </c>
      <c r="S99" t="s">
        <v>1059</v>
      </c>
      <c r="T99" t="s">
        <v>992</v>
      </c>
      <c r="U99" t="s">
        <v>1060</v>
      </c>
      <c r="V99" t="s">
        <v>1061</v>
      </c>
      <c r="W99" t="s">
        <v>1034</v>
      </c>
      <c r="X99" t="s">
        <v>1062</v>
      </c>
    </row>
    <row r="100" spans="1:24" x14ac:dyDescent="0.25">
      <c r="A100" t="s">
        <v>42</v>
      </c>
      <c r="B100" t="s">
        <v>1316</v>
      </c>
      <c r="C100" t="s">
        <v>281</v>
      </c>
      <c r="D100" t="s">
        <v>427</v>
      </c>
      <c r="E100" t="s">
        <v>1005</v>
      </c>
      <c r="F100">
        <v>-6407</v>
      </c>
      <c r="G100" t="s">
        <v>1023</v>
      </c>
      <c r="H100" t="s">
        <v>1317</v>
      </c>
      <c r="I100" t="s">
        <v>1307</v>
      </c>
      <c r="J100" t="s">
        <v>993</v>
      </c>
      <c r="K100" t="s">
        <v>1065</v>
      </c>
      <c r="L100" t="s">
        <v>1066</v>
      </c>
      <c r="M100" t="s">
        <v>1028</v>
      </c>
      <c r="N100" t="s">
        <v>1067</v>
      </c>
      <c r="O100" t="s">
        <v>1068</v>
      </c>
      <c r="P100" t="s">
        <v>1069</v>
      </c>
      <c r="Q100" t="b">
        <v>1</v>
      </c>
      <c r="R100" t="b">
        <v>0</v>
      </c>
      <c r="S100" t="s">
        <v>1032</v>
      </c>
      <c r="T100" t="s">
        <v>992</v>
      </c>
      <c r="U100" t="s">
        <v>1139</v>
      </c>
      <c r="V100" t="s">
        <v>995</v>
      </c>
      <c r="W100" t="s">
        <v>1034</v>
      </c>
      <c r="X100" t="s">
        <v>1308</v>
      </c>
    </row>
    <row r="101" spans="1:24" x14ac:dyDescent="0.25">
      <c r="A101" t="s">
        <v>42</v>
      </c>
      <c r="B101" t="s">
        <v>1318</v>
      </c>
      <c r="C101" t="s">
        <v>281</v>
      </c>
      <c r="D101" t="s">
        <v>427</v>
      </c>
      <c r="E101" t="s">
        <v>1007</v>
      </c>
      <c r="F101">
        <v>-4422</v>
      </c>
      <c r="G101" t="s">
        <v>1023</v>
      </c>
      <c r="H101" t="s">
        <v>1319</v>
      </c>
      <c r="I101" t="s">
        <v>1307</v>
      </c>
      <c r="J101" t="s">
        <v>993</v>
      </c>
      <c r="K101" t="s">
        <v>1072</v>
      </c>
      <c r="L101" t="s">
        <v>1073</v>
      </c>
      <c r="M101" t="s">
        <v>1028</v>
      </c>
      <c r="N101" t="s">
        <v>1074</v>
      </c>
      <c r="O101" t="s">
        <v>1075</v>
      </c>
      <c r="P101" t="s">
        <v>1076</v>
      </c>
      <c r="Q101" t="b">
        <v>1</v>
      </c>
      <c r="R101" t="b">
        <v>0</v>
      </c>
      <c r="S101" t="s">
        <v>1032</v>
      </c>
      <c r="T101" t="s">
        <v>992</v>
      </c>
      <c r="U101" t="s">
        <v>1139</v>
      </c>
      <c r="V101" t="s">
        <v>995</v>
      </c>
      <c r="W101" t="s">
        <v>1034</v>
      </c>
      <c r="X101" t="s">
        <v>1308</v>
      </c>
    </row>
    <row r="102" spans="1:24" x14ac:dyDescent="0.25">
      <c r="A102" t="s">
        <v>42</v>
      </c>
      <c r="B102" t="s">
        <v>1320</v>
      </c>
      <c r="C102" t="s">
        <v>281</v>
      </c>
      <c r="D102" t="s">
        <v>427</v>
      </c>
      <c r="E102" t="s">
        <v>1009</v>
      </c>
      <c r="F102">
        <v>-4046</v>
      </c>
      <c r="G102" t="s">
        <v>1023</v>
      </c>
      <c r="H102" t="s">
        <v>1321</v>
      </c>
      <c r="I102" t="s">
        <v>1307</v>
      </c>
      <c r="J102" t="s">
        <v>993</v>
      </c>
      <c r="K102" t="s">
        <v>1079</v>
      </c>
      <c r="L102" t="s">
        <v>1080</v>
      </c>
      <c r="M102" t="s">
        <v>1028</v>
      </c>
      <c r="N102" t="s">
        <v>1081</v>
      </c>
      <c r="O102" t="s">
        <v>1082</v>
      </c>
      <c r="P102" t="s">
        <v>1083</v>
      </c>
      <c r="Q102" t="b">
        <v>1</v>
      </c>
      <c r="R102" t="b">
        <v>0</v>
      </c>
      <c r="S102" t="s">
        <v>1032</v>
      </c>
      <c r="T102" t="s">
        <v>992</v>
      </c>
      <c r="U102" t="s">
        <v>1139</v>
      </c>
      <c r="V102" t="s">
        <v>995</v>
      </c>
      <c r="W102" t="s">
        <v>1034</v>
      </c>
      <c r="X102" t="s">
        <v>1308</v>
      </c>
    </row>
    <row r="103" spans="1:24" x14ac:dyDescent="0.25">
      <c r="A103" t="s">
        <v>42</v>
      </c>
      <c r="B103" t="s">
        <v>1322</v>
      </c>
      <c r="C103" t="s">
        <v>281</v>
      </c>
      <c r="D103" t="s">
        <v>427</v>
      </c>
      <c r="E103" t="s">
        <v>1011</v>
      </c>
      <c r="F103">
        <v>-14874</v>
      </c>
      <c r="G103" t="s">
        <v>1023</v>
      </c>
      <c r="H103" t="s">
        <v>1323</v>
      </c>
      <c r="I103" t="s">
        <v>1315</v>
      </c>
      <c r="J103" t="s">
        <v>993</v>
      </c>
      <c r="K103" t="s">
        <v>1087</v>
      </c>
      <c r="L103" t="s">
        <v>1088</v>
      </c>
      <c r="M103" t="s">
        <v>1056</v>
      </c>
      <c r="N103" t="s">
        <v>1089</v>
      </c>
      <c r="O103" t="s">
        <v>1068</v>
      </c>
      <c r="P103" t="s">
        <v>1090</v>
      </c>
      <c r="Q103" t="b">
        <v>1</v>
      </c>
      <c r="R103" t="b">
        <v>0</v>
      </c>
      <c r="S103" t="s">
        <v>1032</v>
      </c>
      <c r="T103" t="s">
        <v>992</v>
      </c>
      <c r="U103" t="s">
        <v>1139</v>
      </c>
      <c r="V103" t="s">
        <v>1061</v>
      </c>
      <c r="W103" t="s">
        <v>1034</v>
      </c>
      <c r="X103" t="s">
        <v>1324</v>
      </c>
    </row>
    <row r="104" spans="1:24" x14ac:dyDescent="0.25">
      <c r="A104" t="s">
        <v>42</v>
      </c>
      <c r="B104" t="s">
        <v>1325</v>
      </c>
      <c r="C104" t="s">
        <v>281</v>
      </c>
      <c r="D104" t="s">
        <v>427</v>
      </c>
      <c r="E104" t="s">
        <v>1013</v>
      </c>
      <c r="F104">
        <v>-6254</v>
      </c>
      <c r="G104" t="s">
        <v>1023</v>
      </c>
      <c r="H104" t="s">
        <v>1326</v>
      </c>
      <c r="I104" t="s">
        <v>1307</v>
      </c>
      <c r="J104" t="s">
        <v>993</v>
      </c>
      <c r="K104" t="s">
        <v>1094</v>
      </c>
      <c r="L104" t="s">
        <v>1095</v>
      </c>
      <c r="M104" t="s">
        <v>1028</v>
      </c>
      <c r="N104" t="s">
        <v>1096</v>
      </c>
      <c r="O104" t="s">
        <v>1097</v>
      </c>
      <c r="P104" t="s">
        <v>1098</v>
      </c>
      <c r="Q104" t="b">
        <v>1</v>
      </c>
      <c r="R104" t="b">
        <v>0</v>
      </c>
      <c r="S104" t="s">
        <v>1032</v>
      </c>
      <c r="T104" t="s">
        <v>992</v>
      </c>
      <c r="U104" t="s">
        <v>1139</v>
      </c>
      <c r="V104" t="s">
        <v>995</v>
      </c>
      <c r="W104" t="s">
        <v>1034</v>
      </c>
      <c r="X104" t="s">
        <v>1308</v>
      </c>
    </row>
    <row r="105" spans="1:24" x14ac:dyDescent="0.25">
      <c r="A105" t="s">
        <v>42</v>
      </c>
      <c r="B105" t="s">
        <v>1327</v>
      </c>
      <c r="C105" t="s">
        <v>281</v>
      </c>
      <c r="D105" t="s">
        <v>427</v>
      </c>
      <c r="E105" t="s">
        <v>1015</v>
      </c>
      <c r="F105">
        <v>-4530</v>
      </c>
      <c r="G105" t="s">
        <v>1023</v>
      </c>
      <c r="H105" t="s">
        <v>1328</v>
      </c>
      <c r="I105" t="s">
        <v>1307</v>
      </c>
      <c r="J105" t="s">
        <v>993</v>
      </c>
      <c r="K105" t="s">
        <v>1102</v>
      </c>
      <c r="L105" t="s">
        <v>1103</v>
      </c>
      <c r="M105" t="s">
        <v>1028</v>
      </c>
      <c r="N105" t="s">
        <v>1104</v>
      </c>
      <c r="O105" t="s">
        <v>1105</v>
      </c>
      <c r="P105" t="s">
        <v>1106</v>
      </c>
      <c r="Q105" t="b">
        <v>1</v>
      </c>
      <c r="R105" t="b">
        <v>0</v>
      </c>
      <c r="S105" t="s">
        <v>1032</v>
      </c>
      <c r="T105" t="s">
        <v>992</v>
      </c>
      <c r="U105" t="s">
        <v>1139</v>
      </c>
      <c r="V105" t="s">
        <v>995</v>
      </c>
      <c r="W105" t="s">
        <v>1034</v>
      </c>
      <c r="X105" t="s">
        <v>1308</v>
      </c>
    </row>
    <row r="106" spans="1:24" x14ac:dyDescent="0.25">
      <c r="A106" t="s">
        <v>42</v>
      </c>
      <c r="B106" t="s">
        <v>1329</v>
      </c>
      <c r="C106" t="s">
        <v>281</v>
      </c>
      <c r="D106" t="s">
        <v>427</v>
      </c>
      <c r="E106" t="s">
        <v>1017</v>
      </c>
      <c r="F106">
        <v>-4597</v>
      </c>
      <c r="G106" t="s">
        <v>1023</v>
      </c>
      <c r="H106" t="s">
        <v>1330</v>
      </c>
      <c r="I106" t="s">
        <v>1307</v>
      </c>
      <c r="J106" t="s">
        <v>993</v>
      </c>
      <c r="K106" t="s">
        <v>1109</v>
      </c>
      <c r="L106" t="s">
        <v>1110</v>
      </c>
      <c r="M106" t="s">
        <v>1028</v>
      </c>
      <c r="N106" t="s">
        <v>1111</v>
      </c>
      <c r="O106" t="s">
        <v>1112</v>
      </c>
      <c r="P106" t="s">
        <v>1113</v>
      </c>
      <c r="Q106" t="b">
        <v>1</v>
      </c>
      <c r="R106" t="b">
        <v>0</v>
      </c>
      <c r="S106" t="s">
        <v>1032</v>
      </c>
      <c r="T106" t="s">
        <v>992</v>
      </c>
      <c r="U106" t="s">
        <v>1139</v>
      </c>
      <c r="V106" t="s">
        <v>995</v>
      </c>
      <c r="W106" t="s">
        <v>1034</v>
      </c>
      <c r="X106" t="s">
        <v>1308</v>
      </c>
    </row>
    <row r="107" spans="1:24" x14ac:dyDescent="0.25">
      <c r="A107" t="s">
        <v>42</v>
      </c>
      <c r="B107" t="s">
        <v>1331</v>
      </c>
      <c r="C107" t="s">
        <v>281</v>
      </c>
      <c r="D107" t="s">
        <v>427</v>
      </c>
      <c r="E107" t="s">
        <v>1019</v>
      </c>
      <c r="F107">
        <v>-5338</v>
      </c>
      <c r="G107" t="s">
        <v>1023</v>
      </c>
      <c r="H107" t="s">
        <v>1332</v>
      </c>
      <c r="I107" t="s">
        <v>1315</v>
      </c>
      <c r="J107" t="s">
        <v>993</v>
      </c>
      <c r="K107" t="s">
        <v>1116</v>
      </c>
      <c r="L107" t="s">
        <v>1117</v>
      </c>
      <c r="M107" t="s">
        <v>1056</v>
      </c>
      <c r="N107" t="s">
        <v>1118</v>
      </c>
      <c r="O107" t="s">
        <v>1097</v>
      </c>
      <c r="P107" t="s">
        <v>1119</v>
      </c>
      <c r="Q107" t="b">
        <v>1</v>
      </c>
      <c r="R107" t="b">
        <v>0</v>
      </c>
      <c r="S107" t="s">
        <v>1032</v>
      </c>
      <c r="T107" t="s">
        <v>992</v>
      </c>
      <c r="U107" t="s">
        <v>1139</v>
      </c>
      <c r="V107" t="s">
        <v>1061</v>
      </c>
      <c r="W107" t="s">
        <v>1034</v>
      </c>
      <c r="X107" t="s">
        <v>1333</v>
      </c>
    </row>
    <row r="108" spans="1:24" x14ac:dyDescent="0.25">
      <c r="A108" t="s">
        <v>42</v>
      </c>
      <c r="B108" t="s">
        <v>1334</v>
      </c>
      <c r="C108" t="s">
        <v>281</v>
      </c>
      <c r="D108" t="s">
        <v>427</v>
      </c>
      <c r="E108" t="s">
        <v>1021</v>
      </c>
      <c r="F108">
        <v>-8905</v>
      </c>
      <c r="G108" t="s">
        <v>1023</v>
      </c>
      <c r="H108" t="s">
        <v>1335</v>
      </c>
      <c r="I108" t="s">
        <v>1307</v>
      </c>
      <c r="J108" t="s">
        <v>993</v>
      </c>
      <c r="K108" t="s">
        <v>1123</v>
      </c>
      <c r="L108" t="s">
        <v>1124</v>
      </c>
      <c r="M108" t="s">
        <v>1028</v>
      </c>
      <c r="N108" t="s">
        <v>1125</v>
      </c>
      <c r="O108" t="s">
        <v>1126</v>
      </c>
      <c r="P108" t="s">
        <v>1127</v>
      </c>
      <c r="Q108" t="b">
        <v>1</v>
      </c>
      <c r="R108" t="b">
        <v>0</v>
      </c>
      <c r="S108" t="s">
        <v>1032</v>
      </c>
      <c r="T108" t="s">
        <v>992</v>
      </c>
      <c r="U108" t="s">
        <v>1139</v>
      </c>
      <c r="V108" t="s">
        <v>995</v>
      </c>
      <c r="W108" t="s">
        <v>1034</v>
      </c>
      <c r="X108" t="s">
        <v>1308</v>
      </c>
    </row>
    <row r="109" spans="1:24" x14ac:dyDescent="0.25">
      <c r="A109" t="s">
        <v>42</v>
      </c>
      <c r="B109" t="s">
        <v>1336</v>
      </c>
      <c r="C109" t="s">
        <v>281</v>
      </c>
      <c r="D109" t="s">
        <v>427</v>
      </c>
      <c r="E109" t="s">
        <v>1129</v>
      </c>
      <c r="F109">
        <v>-6255</v>
      </c>
      <c r="G109" t="s">
        <v>1051</v>
      </c>
      <c r="H109" t="s">
        <v>1337</v>
      </c>
      <c r="I109" t="s">
        <v>1307</v>
      </c>
      <c r="J109" t="s">
        <v>993</v>
      </c>
      <c r="K109" t="s">
        <v>1131</v>
      </c>
      <c r="L109" t="s">
        <v>1132</v>
      </c>
      <c r="M109" t="s">
        <v>1028</v>
      </c>
      <c r="N109" t="s">
        <v>1133</v>
      </c>
      <c r="O109" t="s">
        <v>1134</v>
      </c>
      <c r="P109" t="s">
        <v>1135</v>
      </c>
      <c r="Q109" t="b">
        <v>1</v>
      </c>
      <c r="R109" t="b">
        <v>1</v>
      </c>
      <c r="S109" t="s">
        <v>1099</v>
      </c>
      <c r="T109" t="s">
        <v>992</v>
      </c>
      <c r="U109" t="s">
        <v>1060</v>
      </c>
      <c r="V109" t="s">
        <v>995</v>
      </c>
      <c r="W109" t="s">
        <v>1034</v>
      </c>
      <c r="X109" t="s">
        <v>1062</v>
      </c>
    </row>
    <row r="110" spans="1:24" x14ac:dyDescent="0.25">
      <c r="A110" t="s">
        <v>42</v>
      </c>
      <c r="B110" t="s">
        <v>1338</v>
      </c>
      <c r="C110" t="s">
        <v>283</v>
      </c>
      <c r="D110" t="s">
        <v>992</v>
      </c>
      <c r="E110" t="s">
        <v>990</v>
      </c>
      <c r="F110">
        <v>0</v>
      </c>
      <c r="G110" t="s">
        <v>1085</v>
      </c>
      <c r="H110" t="s">
        <v>1339</v>
      </c>
      <c r="I110" t="s">
        <v>1340</v>
      </c>
      <c r="J110" t="s">
        <v>993</v>
      </c>
      <c r="K110" t="s">
        <v>992</v>
      </c>
      <c r="L110" t="s">
        <v>992</v>
      </c>
      <c r="M110" t="s">
        <v>992</v>
      </c>
      <c r="N110" t="s">
        <v>992</v>
      </c>
      <c r="O110" t="s">
        <v>992</v>
      </c>
      <c r="P110" t="s">
        <v>992</v>
      </c>
      <c r="Q110" t="b">
        <v>1</v>
      </c>
      <c r="R110" t="b">
        <v>0</v>
      </c>
      <c r="S110" t="s">
        <v>1032</v>
      </c>
      <c r="T110" t="s">
        <v>992</v>
      </c>
      <c r="U110" t="s">
        <v>1139</v>
      </c>
      <c r="V110" t="s">
        <v>1061</v>
      </c>
      <c r="W110" t="s">
        <v>1206</v>
      </c>
      <c r="X110" t="s">
        <v>1341</v>
      </c>
    </row>
    <row r="111" spans="1:24" x14ac:dyDescent="0.25">
      <c r="A111" t="s">
        <v>42</v>
      </c>
      <c r="B111" t="s">
        <v>1342</v>
      </c>
      <c r="C111" t="s">
        <v>283</v>
      </c>
      <c r="D111" t="s">
        <v>992</v>
      </c>
      <c r="E111" t="s">
        <v>999</v>
      </c>
      <c r="F111">
        <v>0</v>
      </c>
      <c r="G111" t="s">
        <v>1085</v>
      </c>
      <c r="H111" t="s">
        <v>1339</v>
      </c>
      <c r="I111" t="s">
        <v>1340</v>
      </c>
      <c r="J111" t="s">
        <v>993</v>
      </c>
      <c r="K111" t="s">
        <v>992</v>
      </c>
      <c r="L111" t="s">
        <v>992</v>
      </c>
      <c r="M111" t="s">
        <v>992</v>
      </c>
      <c r="N111" t="s">
        <v>992</v>
      </c>
      <c r="O111" t="s">
        <v>992</v>
      </c>
      <c r="P111" t="s">
        <v>992</v>
      </c>
      <c r="Q111" t="b">
        <v>1</v>
      </c>
      <c r="R111" t="b">
        <v>0</v>
      </c>
      <c r="S111" t="s">
        <v>1032</v>
      </c>
      <c r="T111" t="s">
        <v>992</v>
      </c>
      <c r="U111" t="s">
        <v>1139</v>
      </c>
      <c r="V111" t="s">
        <v>1061</v>
      </c>
      <c r="W111" t="s">
        <v>1206</v>
      </c>
      <c r="X111" t="s">
        <v>1343</v>
      </c>
    </row>
    <row r="112" spans="1:24" x14ac:dyDescent="0.25">
      <c r="A112" t="s">
        <v>42</v>
      </c>
      <c r="B112" t="s">
        <v>1344</v>
      </c>
      <c r="C112" t="s">
        <v>283</v>
      </c>
      <c r="D112" t="s">
        <v>992</v>
      </c>
      <c r="E112" t="s">
        <v>1001</v>
      </c>
      <c r="F112">
        <v>0</v>
      </c>
      <c r="G112" t="s">
        <v>1085</v>
      </c>
      <c r="H112" t="s">
        <v>1339</v>
      </c>
      <c r="I112" t="s">
        <v>1340</v>
      </c>
      <c r="J112" t="s">
        <v>993</v>
      </c>
      <c r="K112" t="s">
        <v>992</v>
      </c>
      <c r="L112" t="s">
        <v>992</v>
      </c>
      <c r="M112" t="s">
        <v>992</v>
      </c>
      <c r="N112" t="s">
        <v>992</v>
      </c>
      <c r="O112" t="s">
        <v>992</v>
      </c>
      <c r="P112" t="s">
        <v>992</v>
      </c>
      <c r="Q112" t="b">
        <v>1</v>
      </c>
      <c r="R112" t="b">
        <v>0</v>
      </c>
      <c r="S112" t="s">
        <v>1032</v>
      </c>
      <c r="T112" t="s">
        <v>992</v>
      </c>
      <c r="U112" t="s">
        <v>1139</v>
      </c>
      <c r="V112" t="s">
        <v>1061</v>
      </c>
      <c r="W112" t="s">
        <v>1206</v>
      </c>
      <c r="X112" t="s">
        <v>1345</v>
      </c>
    </row>
    <row r="113" spans="1:24" x14ac:dyDescent="0.25">
      <c r="A113" t="s">
        <v>42</v>
      </c>
      <c r="B113" t="s">
        <v>1346</v>
      </c>
      <c r="C113" t="s">
        <v>283</v>
      </c>
      <c r="D113" t="s">
        <v>992</v>
      </c>
      <c r="E113" t="s">
        <v>1003</v>
      </c>
      <c r="F113">
        <v>0</v>
      </c>
      <c r="G113" t="s">
        <v>1085</v>
      </c>
      <c r="H113" t="s">
        <v>1339</v>
      </c>
      <c r="I113" t="s">
        <v>1340</v>
      </c>
      <c r="J113" t="s">
        <v>993</v>
      </c>
      <c r="K113" t="s">
        <v>992</v>
      </c>
      <c r="L113" t="s">
        <v>992</v>
      </c>
      <c r="M113" t="s">
        <v>992</v>
      </c>
      <c r="N113" t="s">
        <v>992</v>
      </c>
      <c r="O113" t="s">
        <v>992</v>
      </c>
      <c r="P113" t="s">
        <v>992</v>
      </c>
      <c r="Q113" t="b">
        <v>1</v>
      </c>
      <c r="R113" t="b">
        <v>0</v>
      </c>
      <c r="S113" t="s">
        <v>1032</v>
      </c>
      <c r="T113" t="s">
        <v>992</v>
      </c>
      <c r="U113" t="s">
        <v>1139</v>
      </c>
      <c r="V113" t="s">
        <v>1061</v>
      </c>
      <c r="W113" t="s">
        <v>1206</v>
      </c>
      <c r="X113" t="s">
        <v>1347</v>
      </c>
    </row>
    <row r="114" spans="1:24" x14ac:dyDescent="0.25">
      <c r="A114" t="s">
        <v>42</v>
      </c>
      <c r="B114" t="s">
        <v>1348</v>
      </c>
      <c r="C114" t="s">
        <v>283</v>
      </c>
      <c r="D114" t="s">
        <v>992</v>
      </c>
      <c r="E114" t="s">
        <v>1005</v>
      </c>
      <c r="F114">
        <v>0</v>
      </c>
      <c r="G114" t="s">
        <v>1085</v>
      </c>
      <c r="H114" t="s">
        <v>1339</v>
      </c>
      <c r="I114" t="s">
        <v>1340</v>
      </c>
      <c r="J114" t="s">
        <v>993</v>
      </c>
      <c r="K114" t="s">
        <v>992</v>
      </c>
      <c r="L114" t="s">
        <v>992</v>
      </c>
      <c r="M114" t="s">
        <v>992</v>
      </c>
      <c r="N114" t="s">
        <v>992</v>
      </c>
      <c r="O114" t="s">
        <v>992</v>
      </c>
      <c r="P114" t="s">
        <v>992</v>
      </c>
      <c r="Q114" t="b">
        <v>1</v>
      </c>
      <c r="R114" t="b">
        <v>0</v>
      </c>
      <c r="S114" t="s">
        <v>1032</v>
      </c>
      <c r="T114" t="s">
        <v>992</v>
      </c>
      <c r="U114" t="s">
        <v>1139</v>
      </c>
      <c r="V114" t="s">
        <v>1061</v>
      </c>
      <c r="W114" t="s">
        <v>1206</v>
      </c>
      <c r="X114" t="s">
        <v>1349</v>
      </c>
    </row>
    <row r="115" spans="1:24" x14ac:dyDescent="0.25">
      <c r="A115" t="s">
        <v>42</v>
      </c>
      <c r="B115" t="s">
        <v>1350</v>
      </c>
      <c r="C115" t="s">
        <v>283</v>
      </c>
      <c r="D115" t="s">
        <v>992</v>
      </c>
      <c r="E115" t="s">
        <v>1007</v>
      </c>
      <c r="F115">
        <v>0</v>
      </c>
      <c r="G115" t="s">
        <v>1085</v>
      </c>
      <c r="H115" t="s">
        <v>1339</v>
      </c>
      <c r="I115" t="s">
        <v>1340</v>
      </c>
      <c r="J115" t="s">
        <v>993</v>
      </c>
      <c r="K115" t="s">
        <v>992</v>
      </c>
      <c r="L115" t="s">
        <v>992</v>
      </c>
      <c r="M115" t="s">
        <v>992</v>
      </c>
      <c r="N115" t="s">
        <v>992</v>
      </c>
      <c r="O115" t="s">
        <v>992</v>
      </c>
      <c r="P115" t="s">
        <v>992</v>
      </c>
      <c r="Q115" t="b">
        <v>1</v>
      </c>
      <c r="R115" t="b">
        <v>0</v>
      </c>
      <c r="S115" t="s">
        <v>1032</v>
      </c>
      <c r="T115" t="s">
        <v>992</v>
      </c>
      <c r="U115" t="s">
        <v>1139</v>
      </c>
      <c r="V115" t="s">
        <v>1061</v>
      </c>
      <c r="W115" t="s">
        <v>1206</v>
      </c>
      <c r="X115" t="s">
        <v>1351</v>
      </c>
    </row>
    <row r="116" spans="1:24" x14ac:dyDescent="0.25">
      <c r="A116" t="s">
        <v>42</v>
      </c>
      <c r="B116" t="s">
        <v>1352</v>
      </c>
      <c r="C116" t="s">
        <v>283</v>
      </c>
      <c r="D116" t="s">
        <v>992</v>
      </c>
      <c r="E116" t="s">
        <v>1009</v>
      </c>
      <c r="F116">
        <v>0</v>
      </c>
      <c r="G116" t="s">
        <v>1085</v>
      </c>
      <c r="H116" t="s">
        <v>1339</v>
      </c>
      <c r="I116" t="s">
        <v>1340</v>
      </c>
      <c r="J116" t="s">
        <v>993</v>
      </c>
      <c r="K116" t="s">
        <v>992</v>
      </c>
      <c r="L116" t="s">
        <v>992</v>
      </c>
      <c r="M116" t="s">
        <v>992</v>
      </c>
      <c r="N116" t="s">
        <v>992</v>
      </c>
      <c r="O116" t="s">
        <v>992</v>
      </c>
      <c r="P116" t="s">
        <v>992</v>
      </c>
      <c r="Q116" t="b">
        <v>1</v>
      </c>
      <c r="R116" t="b">
        <v>0</v>
      </c>
      <c r="S116" t="s">
        <v>1032</v>
      </c>
      <c r="T116" t="s">
        <v>992</v>
      </c>
      <c r="U116" t="s">
        <v>1139</v>
      </c>
      <c r="V116" t="s">
        <v>1061</v>
      </c>
      <c r="W116" t="s">
        <v>1206</v>
      </c>
      <c r="X116" t="s">
        <v>1353</v>
      </c>
    </row>
    <row r="117" spans="1:24" x14ac:dyDescent="0.25">
      <c r="A117" t="s">
        <v>42</v>
      </c>
      <c r="B117" t="s">
        <v>1354</v>
      </c>
      <c r="C117" t="s">
        <v>283</v>
      </c>
      <c r="D117" t="s">
        <v>992</v>
      </c>
      <c r="E117" t="s">
        <v>1011</v>
      </c>
      <c r="F117">
        <v>0</v>
      </c>
      <c r="G117" t="s">
        <v>1085</v>
      </c>
      <c r="H117" t="s">
        <v>1339</v>
      </c>
      <c r="I117" t="s">
        <v>1340</v>
      </c>
      <c r="J117" t="s">
        <v>993</v>
      </c>
      <c r="K117" t="s">
        <v>992</v>
      </c>
      <c r="L117" t="s">
        <v>992</v>
      </c>
      <c r="M117" t="s">
        <v>992</v>
      </c>
      <c r="N117" t="s">
        <v>992</v>
      </c>
      <c r="O117" t="s">
        <v>992</v>
      </c>
      <c r="P117" t="s">
        <v>992</v>
      </c>
      <c r="Q117" t="b">
        <v>1</v>
      </c>
      <c r="R117" t="b">
        <v>0</v>
      </c>
      <c r="S117" t="s">
        <v>1032</v>
      </c>
      <c r="T117" t="s">
        <v>992</v>
      </c>
      <c r="U117" t="s">
        <v>1139</v>
      </c>
      <c r="V117" t="s">
        <v>1061</v>
      </c>
      <c r="W117" t="s">
        <v>1206</v>
      </c>
      <c r="X117" t="s">
        <v>1355</v>
      </c>
    </row>
    <row r="118" spans="1:24" x14ac:dyDescent="0.25">
      <c r="A118" t="s">
        <v>42</v>
      </c>
      <c r="B118" t="s">
        <v>1356</v>
      </c>
      <c r="C118" t="s">
        <v>283</v>
      </c>
      <c r="D118" t="s">
        <v>992</v>
      </c>
      <c r="E118" t="s">
        <v>1013</v>
      </c>
      <c r="F118">
        <v>0</v>
      </c>
      <c r="G118" t="s">
        <v>1085</v>
      </c>
      <c r="H118" t="s">
        <v>1339</v>
      </c>
      <c r="I118" t="s">
        <v>1340</v>
      </c>
      <c r="J118" t="s">
        <v>993</v>
      </c>
      <c r="K118" t="s">
        <v>992</v>
      </c>
      <c r="L118" t="s">
        <v>992</v>
      </c>
      <c r="M118" t="s">
        <v>992</v>
      </c>
      <c r="N118" t="s">
        <v>992</v>
      </c>
      <c r="O118" t="s">
        <v>992</v>
      </c>
      <c r="P118" t="s">
        <v>992</v>
      </c>
      <c r="Q118" t="b">
        <v>1</v>
      </c>
      <c r="R118" t="b">
        <v>0</v>
      </c>
      <c r="S118" t="s">
        <v>1032</v>
      </c>
      <c r="T118" t="s">
        <v>992</v>
      </c>
      <c r="U118" t="s">
        <v>1139</v>
      </c>
      <c r="V118" t="s">
        <v>1061</v>
      </c>
      <c r="W118" t="s">
        <v>1206</v>
      </c>
      <c r="X118" t="s">
        <v>1357</v>
      </c>
    </row>
    <row r="119" spans="1:24" x14ac:dyDescent="0.25">
      <c r="A119" t="s">
        <v>42</v>
      </c>
      <c r="B119" t="s">
        <v>1358</v>
      </c>
      <c r="C119" t="s">
        <v>283</v>
      </c>
      <c r="D119" t="s">
        <v>992</v>
      </c>
      <c r="E119" t="s">
        <v>1015</v>
      </c>
      <c r="F119">
        <v>0</v>
      </c>
      <c r="G119" t="s">
        <v>1085</v>
      </c>
      <c r="H119" t="s">
        <v>1339</v>
      </c>
      <c r="I119" t="s">
        <v>1340</v>
      </c>
      <c r="J119" t="s">
        <v>993</v>
      </c>
      <c r="K119" t="s">
        <v>992</v>
      </c>
      <c r="L119" t="s">
        <v>992</v>
      </c>
      <c r="M119" t="s">
        <v>992</v>
      </c>
      <c r="N119" t="s">
        <v>992</v>
      </c>
      <c r="O119" t="s">
        <v>992</v>
      </c>
      <c r="P119" t="s">
        <v>992</v>
      </c>
      <c r="Q119" t="b">
        <v>1</v>
      </c>
      <c r="R119" t="b">
        <v>0</v>
      </c>
      <c r="S119" t="s">
        <v>1032</v>
      </c>
      <c r="T119" t="s">
        <v>992</v>
      </c>
      <c r="U119" t="s">
        <v>1139</v>
      </c>
      <c r="V119" t="s">
        <v>1061</v>
      </c>
      <c r="W119" t="s">
        <v>1206</v>
      </c>
      <c r="X119" t="s">
        <v>1359</v>
      </c>
    </row>
    <row r="120" spans="1:24" x14ac:dyDescent="0.25">
      <c r="A120" t="s">
        <v>42</v>
      </c>
      <c r="B120" t="s">
        <v>1360</v>
      </c>
      <c r="C120" t="s">
        <v>283</v>
      </c>
      <c r="D120" t="s">
        <v>992</v>
      </c>
      <c r="E120" t="s">
        <v>1017</v>
      </c>
      <c r="F120">
        <v>0</v>
      </c>
      <c r="G120" t="s">
        <v>1085</v>
      </c>
      <c r="H120" t="s">
        <v>1339</v>
      </c>
      <c r="I120" t="s">
        <v>1340</v>
      </c>
      <c r="J120" t="s">
        <v>993</v>
      </c>
      <c r="K120" t="s">
        <v>992</v>
      </c>
      <c r="L120" t="s">
        <v>992</v>
      </c>
      <c r="M120" t="s">
        <v>992</v>
      </c>
      <c r="N120" t="s">
        <v>992</v>
      </c>
      <c r="O120" t="s">
        <v>992</v>
      </c>
      <c r="P120" t="s">
        <v>992</v>
      </c>
      <c r="Q120" t="b">
        <v>1</v>
      </c>
      <c r="R120" t="b">
        <v>0</v>
      </c>
      <c r="S120" t="s">
        <v>1032</v>
      </c>
      <c r="T120" t="s">
        <v>992</v>
      </c>
      <c r="U120" t="s">
        <v>1139</v>
      </c>
      <c r="V120" t="s">
        <v>1061</v>
      </c>
      <c r="W120" t="s">
        <v>1206</v>
      </c>
      <c r="X120" t="s">
        <v>1361</v>
      </c>
    </row>
    <row r="121" spans="1:24" x14ac:dyDescent="0.25">
      <c r="A121" t="s">
        <v>42</v>
      </c>
      <c r="B121" t="s">
        <v>1362</v>
      </c>
      <c r="C121" t="s">
        <v>283</v>
      </c>
      <c r="D121" t="s">
        <v>992</v>
      </c>
      <c r="E121" t="s">
        <v>1019</v>
      </c>
      <c r="F121">
        <v>0</v>
      </c>
      <c r="G121" t="s">
        <v>1085</v>
      </c>
      <c r="H121" t="s">
        <v>1339</v>
      </c>
      <c r="I121" t="s">
        <v>1340</v>
      </c>
      <c r="J121" t="s">
        <v>993</v>
      </c>
      <c r="K121" t="s">
        <v>992</v>
      </c>
      <c r="L121" t="s">
        <v>992</v>
      </c>
      <c r="M121" t="s">
        <v>992</v>
      </c>
      <c r="N121" t="s">
        <v>992</v>
      </c>
      <c r="O121" t="s">
        <v>992</v>
      </c>
      <c r="P121" t="s">
        <v>992</v>
      </c>
      <c r="Q121" t="b">
        <v>1</v>
      </c>
      <c r="R121" t="b">
        <v>0</v>
      </c>
      <c r="S121" t="s">
        <v>1032</v>
      </c>
      <c r="T121" t="s">
        <v>992</v>
      </c>
      <c r="U121" t="s">
        <v>1139</v>
      </c>
      <c r="V121" t="s">
        <v>1061</v>
      </c>
      <c r="W121" t="s">
        <v>1206</v>
      </c>
      <c r="X121" t="s">
        <v>1363</v>
      </c>
    </row>
    <row r="122" spans="1:24" x14ac:dyDescent="0.25">
      <c r="A122" t="s">
        <v>42</v>
      </c>
      <c r="B122" t="s">
        <v>1364</v>
      </c>
      <c r="C122" t="s">
        <v>283</v>
      </c>
      <c r="D122" t="s">
        <v>992</v>
      </c>
      <c r="E122" t="s">
        <v>1021</v>
      </c>
      <c r="F122">
        <v>0</v>
      </c>
      <c r="G122" t="s">
        <v>1085</v>
      </c>
      <c r="H122" t="s">
        <v>1339</v>
      </c>
      <c r="I122" t="s">
        <v>1340</v>
      </c>
      <c r="J122" t="s">
        <v>993</v>
      </c>
      <c r="K122" t="s">
        <v>992</v>
      </c>
      <c r="L122" t="s">
        <v>992</v>
      </c>
      <c r="M122" t="s">
        <v>992</v>
      </c>
      <c r="N122" t="s">
        <v>992</v>
      </c>
      <c r="O122" t="s">
        <v>992</v>
      </c>
      <c r="P122" t="s">
        <v>992</v>
      </c>
      <c r="Q122" t="b">
        <v>1</v>
      </c>
      <c r="R122" t="b">
        <v>0</v>
      </c>
      <c r="S122" t="s">
        <v>1032</v>
      </c>
      <c r="T122" t="s">
        <v>992</v>
      </c>
      <c r="U122" t="s">
        <v>1139</v>
      </c>
      <c r="V122" t="s">
        <v>1061</v>
      </c>
      <c r="W122" t="s">
        <v>1206</v>
      </c>
      <c r="X122" t="s">
        <v>1365</v>
      </c>
    </row>
    <row r="123" spans="1:24" x14ac:dyDescent="0.25">
      <c r="A123" t="s">
        <v>42</v>
      </c>
      <c r="B123" t="s">
        <v>1366</v>
      </c>
      <c r="C123" t="s">
        <v>283</v>
      </c>
      <c r="D123" t="s">
        <v>992</v>
      </c>
      <c r="E123" t="s">
        <v>1129</v>
      </c>
      <c r="F123">
        <v>0</v>
      </c>
      <c r="G123" t="s">
        <v>1085</v>
      </c>
      <c r="H123" t="s">
        <v>1339</v>
      </c>
      <c r="I123" t="s">
        <v>1340</v>
      </c>
      <c r="J123" t="s">
        <v>993</v>
      </c>
      <c r="K123" t="s">
        <v>992</v>
      </c>
      <c r="L123" t="s">
        <v>992</v>
      </c>
      <c r="M123" t="s">
        <v>992</v>
      </c>
      <c r="N123" t="s">
        <v>992</v>
      </c>
      <c r="O123" t="s">
        <v>992</v>
      </c>
      <c r="P123" t="s">
        <v>992</v>
      </c>
      <c r="Q123" t="b">
        <v>1</v>
      </c>
      <c r="R123" t="b">
        <v>0</v>
      </c>
      <c r="S123" t="s">
        <v>1032</v>
      </c>
      <c r="T123" t="s">
        <v>992</v>
      </c>
      <c r="U123" t="s">
        <v>1139</v>
      </c>
      <c r="V123" t="s">
        <v>1061</v>
      </c>
      <c r="W123" t="s">
        <v>1206</v>
      </c>
      <c r="X123" t="s">
        <v>1367</v>
      </c>
    </row>
    <row r="124" spans="1:24" x14ac:dyDescent="0.25">
      <c r="A124" t="s">
        <v>42</v>
      </c>
      <c r="B124" t="s">
        <v>1368</v>
      </c>
      <c r="C124" t="s">
        <v>284</v>
      </c>
      <c r="D124" t="s">
        <v>992</v>
      </c>
      <c r="E124" t="s">
        <v>990</v>
      </c>
      <c r="F124">
        <v>0</v>
      </c>
      <c r="G124" t="s">
        <v>1085</v>
      </c>
      <c r="H124" t="s">
        <v>1369</v>
      </c>
      <c r="I124" t="s">
        <v>1370</v>
      </c>
      <c r="J124" t="s">
        <v>993</v>
      </c>
      <c r="K124" t="s">
        <v>992</v>
      </c>
      <c r="L124" t="s">
        <v>992</v>
      </c>
      <c r="M124" t="s">
        <v>992</v>
      </c>
      <c r="N124" t="s">
        <v>992</v>
      </c>
      <c r="O124" t="s">
        <v>992</v>
      </c>
      <c r="P124" t="s">
        <v>992</v>
      </c>
      <c r="Q124" t="b">
        <v>1</v>
      </c>
      <c r="R124" t="b">
        <v>0</v>
      </c>
      <c r="S124" t="s">
        <v>1032</v>
      </c>
      <c r="T124" t="s">
        <v>992</v>
      </c>
      <c r="U124" t="s">
        <v>1139</v>
      </c>
      <c r="V124" t="s">
        <v>1061</v>
      </c>
      <c r="W124" t="s">
        <v>1206</v>
      </c>
      <c r="X124" t="s">
        <v>1371</v>
      </c>
    </row>
    <row r="125" spans="1:24" x14ac:dyDescent="0.25">
      <c r="A125" t="s">
        <v>42</v>
      </c>
      <c r="B125" t="s">
        <v>1372</v>
      </c>
      <c r="C125" t="s">
        <v>284</v>
      </c>
      <c r="D125" t="s">
        <v>992</v>
      </c>
      <c r="E125" t="s">
        <v>999</v>
      </c>
      <c r="F125">
        <v>0</v>
      </c>
      <c r="G125" t="s">
        <v>1085</v>
      </c>
      <c r="H125" t="s">
        <v>1369</v>
      </c>
      <c r="I125" t="s">
        <v>1370</v>
      </c>
      <c r="J125" t="s">
        <v>993</v>
      </c>
      <c r="K125" t="s">
        <v>992</v>
      </c>
      <c r="L125" t="s">
        <v>992</v>
      </c>
      <c r="M125" t="s">
        <v>992</v>
      </c>
      <c r="N125" t="s">
        <v>992</v>
      </c>
      <c r="O125" t="s">
        <v>992</v>
      </c>
      <c r="P125" t="s">
        <v>992</v>
      </c>
      <c r="Q125" t="b">
        <v>1</v>
      </c>
      <c r="R125" t="b">
        <v>0</v>
      </c>
      <c r="S125" t="s">
        <v>1032</v>
      </c>
      <c r="T125" t="s">
        <v>992</v>
      </c>
      <c r="U125" t="s">
        <v>1139</v>
      </c>
      <c r="V125" t="s">
        <v>1061</v>
      </c>
      <c r="W125" t="s">
        <v>1206</v>
      </c>
      <c r="X125" t="s">
        <v>1373</v>
      </c>
    </row>
    <row r="126" spans="1:24" x14ac:dyDescent="0.25">
      <c r="A126" t="s">
        <v>42</v>
      </c>
      <c r="B126" t="s">
        <v>1374</v>
      </c>
      <c r="C126" t="s">
        <v>284</v>
      </c>
      <c r="E126" t="s">
        <v>1001</v>
      </c>
      <c r="F126">
        <v>0</v>
      </c>
      <c r="G126" t="s">
        <v>1051</v>
      </c>
      <c r="H126" t="s">
        <v>1369</v>
      </c>
      <c r="I126" t="s">
        <v>1370</v>
      </c>
      <c r="J126" t="s">
        <v>993</v>
      </c>
      <c r="K126" t="s">
        <v>992</v>
      </c>
      <c r="L126" t="s">
        <v>992</v>
      </c>
      <c r="M126" t="s">
        <v>992</v>
      </c>
      <c r="N126" t="s">
        <v>992</v>
      </c>
      <c r="O126" t="s">
        <v>992</v>
      </c>
      <c r="P126" t="s">
        <v>992</v>
      </c>
      <c r="Q126" t="b">
        <v>1</v>
      </c>
      <c r="R126" t="b">
        <v>0</v>
      </c>
      <c r="S126" t="s">
        <v>1375</v>
      </c>
      <c r="T126" t="s">
        <v>992</v>
      </c>
      <c r="U126" t="s">
        <v>1060</v>
      </c>
      <c r="V126" t="s">
        <v>1061</v>
      </c>
      <c r="W126" t="s">
        <v>1206</v>
      </c>
      <c r="X126" t="s">
        <v>1376</v>
      </c>
    </row>
    <row r="127" spans="1:24" x14ac:dyDescent="0.25">
      <c r="A127" t="s">
        <v>42</v>
      </c>
      <c r="B127" t="s">
        <v>1377</v>
      </c>
      <c r="C127" t="s">
        <v>284</v>
      </c>
      <c r="D127" t="s">
        <v>992</v>
      </c>
      <c r="E127" t="s">
        <v>1003</v>
      </c>
      <c r="F127">
        <v>0</v>
      </c>
      <c r="G127" t="s">
        <v>1085</v>
      </c>
      <c r="H127" t="s">
        <v>1369</v>
      </c>
      <c r="I127" t="s">
        <v>1370</v>
      </c>
      <c r="J127" t="s">
        <v>993</v>
      </c>
      <c r="K127" t="s">
        <v>992</v>
      </c>
      <c r="L127" t="s">
        <v>992</v>
      </c>
      <c r="M127" t="s">
        <v>992</v>
      </c>
      <c r="N127" t="s">
        <v>992</v>
      </c>
      <c r="O127" t="s">
        <v>992</v>
      </c>
      <c r="P127" t="s">
        <v>992</v>
      </c>
      <c r="Q127" t="b">
        <v>1</v>
      </c>
      <c r="R127" t="b">
        <v>0</v>
      </c>
      <c r="S127" t="s">
        <v>1032</v>
      </c>
      <c r="T127" t="s">
        <v>992</v>
      </c>
      <c r="U127" t="s">
        <v>1139</v>
      </c>
      <c r="V127" t="s">
        <v>1061</v>
      </c>
      <c r="W127" t="s">
        <v>1206</v>
      </c>
      <c r="X127" t="s">
        <v>1378</v>
      </c>
    </row>
    <row r="128" spans="1:24" x14ac:dyDescent="0.25">
      <c r="A128" t="s">
        <v>42</v>
      </c>
      <c r="B128" t="s">
        <v>1379</v>
      </c>
      <c r="C128" t="s">
        <v>284</v>
      </c>
      <c r="D128" t="s">
        <v>992</v>
      </c>
      <c r="E128" t="s">
        <v>1005</v>
      </c>
      <c r="F128">
        <v>0</v>
      </c>
      <c r="G128" t="s">
        <v>1085</v>
      </c>
      <c r="H128" t="s">
        <v>1369</v>
      </c>
      <c r="I128" t="s">
        <v>1370</v>
      </c>
      <c r="J128" t="s">
        <v>993</v>
      </c>
      <c r="K128" t="s">
        <v>992</v>
      </c>
      <c r="L128" t="s">
        <v>992</v>
      </c>
      <c r="M128" t="s">
        <v>992</v>
      </c>
      <c r="N128" t="s">
        <v>992</v>
      </c>
      <c r="O128" t="s">
        <v>992</v>
      </c>
      <c r="P128" t="s">
        <v>992</v>
      </c>
      <c r="Q128" t="b">
        <v>1</v>
      </c>
      <c r="R128" t="b">
        <v>0</v>
      </c>
      <c r="S128" t="s">
        <v>1032</v>
      </c>
      <c r="T128" t="s">
        <v>992</v>
      </c>
      <c r="U128" t="s">
        <v>1139</v>
      </c>
      <c r="V128" t="s">
        <v>1061</v>
      </c>
      <c r="W128" t="s">
        <v>1206</v>
      </c>
      <c r="X128" t="s">
        <v>1380</v>
      </c>
    </row>
    <row r="129" spans="1:24" x14ac:dyDescent="0.25">
      <c r="A129" t="s">
        <v>42</v>
      </c>
      <c r="B129" t="s">
        <v>1381</v>
      </c>
      <c r="C129" t="s">
        <v>284</v>
      </c>
      <c r="D129" t="s">
        <v>992</v>
      </c>
      <c r="E129" t="s">
        <v>1007</v>
      </c>
      <c r="F129">
        <v>0</v>
      </c>
      <c r="G129" t="s">
        <v>1085</v>
      </c>
      <c r="H129" t="s">
        <v>1369</v>
      </c>
      <c r="I129" t="s">
        <v>1370</v>
      </c>
      <c r="J129" t="s">
        <v>993</v>
      </c>
      <c r="K129" t="s">
        <v>992</v>
      </c>
      <c r="L129" t="s">
        <v>992</v>
      </c>
      <c r="M129" t="s">
        <v>992</v>
      </c>
      <c r="N129" t="s">
        <v>992</v>
      </c>
      <c r="O129" t="s">
        <v>992</v>
      </c>
      <c r="P129" t="s">
        <v>992</v>
      </c>
      <c r="Q129" t="b">
        <v>1</v>
      </c>
      <c r="R129" t="b">
        <v>0</v>
      </c>
      <c r="S129" t="s">
        <v>1032</v>
      </c>
      <c r="T129" t="s">
        <v>992</v>
      </c>
      <c r="U129" t="s">
        <v>1139</v>
      </c>
      <c r="V129" t="s">
        <v>1061</v>
      </c>
      <c r="W129" t="s">
        <v>1206</v>
      </c>
      <c r="X129" t="s">
        <v>1382</v>
      </c>
    </row>
    <row r="130" spans="1:24" x14ac:dyDescent="0.25">
      <c r="A130" t="s">
        <v>42</v>
      </c>
      <c r="B130" t="s">
        <v>1383</v>
      </c>
      <c r="C130" t="s">
        <v>284</v>
      </c>
      <c r="D130" t="s">
        <v>992</v>
      </c>
      <c r="E130" t="s">
        <v>1009</v>
      </c>
      <c r="F130">
        <v>0</v>
      </c>
      <c r="G130" t="s">
        <v>1085</v>
      </c>
      <c r="H130" t="s">
        <v>1369</v>
      </c>
      <c r="I130" t="s">
        <v>1370</v>
      </c>
      <c r="J130" t="s">
        <v>993</v>
      </c>
      <c r="K130" t="s">
        <v>992</v>
      </c>
      <c r="L130" t="s">
        <v>992</v>
      </c>
      <c r="M130" t="s">
        <v>992</v>
      </c>
      <c r="N130" t="s">
        <v>992</v>
      </c>
      <c r="O130" t="s">
        <v>992</v>
      </c>
      <c r="P130" t="s">
        <v>992</v>
      </c>
      <c r="Q130" t="b">
        <v>1</v>
      </c>
      <c r="R130" t="b">
        <v>0</v>
      </c>
      <c r="S130" t="s">
        <v>1032</v>
      </c>
      <c r="T130" t="s">
        <v>992</v>
      </c>
      <c r="U130" t="s">
        <v>1139</v>
      </c>
      <c r="V130" t="s">
        <v>1061</v>
      </c>
      <c r="W130" t="s">
        <v>1206</v>
      </c>
      <c r="X130" t="s">
        <v>1384</v>
      </c>
    </row>
    <row r="131" spans="1:24" x14ac:dyDescent="0.25">
      <c r="A131" t="s">
        <v>42</v>
      </c>
      <c r="B131" t="s">
        <v>1385</v>
      </c>
      <c r="C131" t="s">
        <v>284</v>
      </c>
      <c r="D131" t="s">
        <v>992</v>
      </c>
      <c r="E131" t="s">
        <v>1011</v>
      </c>
      <c r="F131">
        <v>0</v>
      </c>
      <c r="G131" t="s">
        <v>1085</v>
      </c>
      <c r="H131" t="s">
        <v>1369</v>
      </c>
      <c r="I131" t="s">
        <v>1370</v>
      </c>
      <c r="J131" t="s">
        <v>993</v>
      </c>
      <c r="K131" t="s">
        <v>992</v>
      </c>
      <c r="L131" t="s">
        <v>992</v>
      </c>
      <c r="M131" t="s">
        <v>992</v>
      </c>
      <c r="N131" t="s">
        <v>992</v>
      </c>
      <c r="O131" t="s">
        <v>992</v>
      </c>
      <c r="P131" t="s">
        <v>992</v>
      </c>
      <c r="Q131" t="b">
        <v>1</v>
      </c>
      <c r="R131" t="b">
        <v>0</v>
      </c>
      <c r="S131" t="s">
        <v>1032</v>
      </c>
      <c r="T131" t="s">
        <v>992</v>
      </c>
      <c r="U131" t="s">
        <v>1139</v>
      </c>
      <c r="V131" t="s">
        <v>1061</v>
      </c>
      <c r="W131" t="s">
        <v>1206</v>
      </c>
      <c r="X131" t="s">
        <v>1386</v>
      </c>
    </row>
    <row r="132" spans="1:24" x14ac:dyDescent="0.25">
      <c r="A132" t="s">
        <v>42</v>
      </c>
      <c r="B132" t="s">
        <v>1387</v>
      </c>
      <c r="C132" t="s">
        <v>284</v>
      </c>
      <c r="D132" t="s">
        <v>992</v>
      </c>
      <c r="E132" t="s">
        <v>1013</v>
      </c>
      <c r="F132">
        <v>0</v>
      </c>
      <c r="G132" t="s">
        <v>1085</v>
      </c>
      <c r="H132" t="s">
        <v>1369</v>
      </c>
      <c r="I132" t="s">
        <v>1370</v>
      </c>
      <c r="J132" t="s">
        <v>993</v>
      </c>
      <c r="K132" t="s">
        <v>992</v>
      </c>
      <c r="L132" t="s">
        <v>992</v>
      </c>
      <c r="M132" t="s">
        <v>992</v>
      </c>
      <c r="N132" t="s">
        <v>992</v>
      </c>
      <c r="O132" t="s">
        <v>992</v>
      </c>
      <c r="P132" t="s">
        <v>992</v>
      </c>
      <c r="Q132" t="b">
        <v>1</v>
      </c>
      <c r="R132" t="b">
        <v>0</v>
      </c>
      <c r="S132" t="s">
        <v>1032</v>
      </c>
      <c r="T132" t="s">
        <v>992</v>
      </c>
      <c r="U132" t="s">
        <v>1139</v>
      </c>
      <c r="V132" t="s">
        <v>1061</v>
      </c>
      <c r="W132" t="s">
        <v>1206</v>
      </c>
      <c r="X132" t="s">
        <v>1388</v>
      </c>
    </row>
    <row r="133" spans="1:24" x14ac:dyDescent="0.25">
      <c r="A133" t="s">
        <v>42</v>
      </c>
      <c r="B133" t="s">
        <v>1389</v>
      </c>
      <c r="C133" t="s">
        <v>284</v>
      </c>
      <c r="D133" t="s">
        <v>992</v>
      </c>
      <c r="E133" t="s">
        <v>1015</v>
      </c>
      <c r="F133">
        <v>0</v>
      </c>
      <c r="G133" t="s">
        <v>1085</v>
      </c>
      <c r="H133" t="s">
        <v>1369</v>
      </c>
      <c r="I133" t="s">
        <v>1370</v>
      </c>
      <c r="J133" t="s">
        <v>993</v>
      </c>
      <c r="K133" t="s">
        <v>992</v>
      </c>
      <c r="L133" t="s">
        <v>992</v>
      </c>
      <c r="M133" t="s">
        <v>992</v>
      </c>
      <c r="N133" t="s">
        <v>992</v>
      </c>
      <c r="O133" t="s">
        <v>992</v>
      </c>
      <c r="P133" t="s">
        <v>992</v>
      </c>
      <c r="Q133" t="b">
        <v>1</v>
      </c>
      <c r="R133" t="b">
        <v>0</v>
      </c>
      <c r="S133" t="s">
        <v>1032</v>
      </c>
      <c r="T133" t="s">
        <v>992</v>
      </c>
      <c r="U133" t="s">
        <v>1139</v>
      </c>
      <c r="V133" t="s">
        <v>1061</v>
      </c>
      <c r="W133" t="s">
        <v>1206</v>
      </c>
      <c r="X133" t="s">
        <v>1390</v>
      </c>
    </row>
    <row r="134" spans="1:24" x14ac:dyDescent="0.25">
      <c r="A134" t="s">
        <v>42</v>
      </c>
      <c r="B134" t="s">
        <v>1391</v>
      </c>
      <c r="C134" t="s">
        <v>284</v>
      </c>
      <c r="D134" t="s">
        <v>992</v>
      </c>
      <c r="E134" t="s">
        <v>1017</v>
      </c>
      <c r="F134">
        <v>0</v>
      </c>
      <c r="G134" t="s">
        <v>1085</v>
      </c>
      <c r="H134" t="s">
        <v>1369</v>
      </c>
      <c r="I134" t="s">
        <v>1370</v>
      </c>
      <c r="J134" t="s">
        <v>993</v>
      </c>
      <c r="K134" t="s">
        <v>992</v>
      </c>
      <c r="L134" t="s">
        <v>992</v>
      </c>
      <c r="M134" t="s">
        <v>992</v>
      </c>
      <c r="N134" t="s">
        <v>992</v>
      </c>
      <c r="O134" t="s">
        <v>992</v>
      </c>
      <c r="P134" t="s">
        <v>992</v>
      </c>
      <c r="Q134" t="b">
        <v>1</v>
      </c>
      <c r="R134" t="b">
        <v>0</v>
      </c>
      <c r="S134" t="s">
        <v>1032</v>
      </c>
      <c r="T134" t="s">
        <v>992</v>
      </c>
      <c r="U134" t="s">
        <v>1139</v>
      </c>
      <c r="V134" t="s">
        <v>1061</v>
      </c>
      <c r="W134" t="s">
        <v>1206</v>
      </c>
      <c r="X134" t="s">
        <v>1392</v>
      </c>
    </row>
    <row r="135" spans="1:24" x14ac:dyDescent="0.25">
      <c r="A135" t="s">
        <v>42</v>
      </c>
      <c r="B135" t="s">
        <v>1393</v>
      </c>
      <c r="C135" t="s">
        <v>284</v>
      </c>
      <c r="D135" t="s">
        <v>992</v>
      </c>
      <c r="E135" t="s">
        <v>1019</v>
      </c>
      <c r="F135">
        <v>0</v>
      </c>
      <c r="G135" t="s">
        <v>1085</v>
      </c>
      <c r="H135" t="s">
        <v>1369</v>
      </c>
      <c r="I135" t="s">
        <v>1370</v>
      </c>
      <c r="J135" t="s">
        <v>993</v>
      </c>
      <c r="K135" t="s">
        <v>992</v>
      </c>
      <c r="L135" t="s">
        <v>992</v>
      </c>
      <c r="M135" t="s">
        <v>992</v>
      </c>
      <c r="N135" t="s">
        <v>992</v>
      </c>
      <c r="O135" t="s">
        <v>992</v>
      </c>
      <c r="P135" t="s">
        <v>992</v>
      </c>
      <c r="Q135" t="b">
        <v>1</v>
      </c>
      <c r="R135" t="b">
        <v>0</v>
      </c>
      <c r="S135" t="s">
        <v>1032</v>
      </c>
      <c r="T135" t="s">
        <v>992</v>
      </c>
      <c r="U135" t="s">
        <v>1139</v>
      </c>
      <c r="V135" t="s">
        <v>1061</v>
      </c>
      <c r="W135" t="s">
        <v>1206</v>
      </c>
      <c r="X135" t="s">
        <v>1394</v>
      </c>
    </row>
    <row r="136" spans="1:24" x14ac:dyDescent="0.25">
      <c r="A136" t="s">
        <v>42</v>
      </c>
      <c r="B136" t="s">
        <v>1395</v>
      </c>
      <c r="C136" t="s">
        <v>284</v>
      </c>
      <c r="D136" t="s">
        <v>992</v>
      </c>
      <c r="E136" t="s">
        <v>1021</v>
      </c>
      <c r="F136">
        <v>0</v>
      </c>
      <c r="G136" t="s">
        <v>1085</v>
      </c>
      <c r="H136" t="s">
        <v>1369</v>
      </c>
      <c r="I136" t="s">
        <v>1370</v>
      </c>
      <c r="J136" t="s">
        <v>993</v>
      </c>
      <c r="K136" t="s">
        <v>992</v>
      </c>
      <c r="L136" t="s">
        <v>992</v>
      </c>
      <c r="M136" t="s">
        <v>992</v>
      </c>
      <c r="N136" t="s">
        <v>992</v>
      </c>
      <c r="O136" t="s">
        <v>992</v>
      </c>
      <c r="P136" t="s">
        <v>992</v>
      </c>
      <c r="Q136" t="b">
        <v>1</v>
      </c>
      <c r="R136" t="b">
        <v>0</v>
      </c>
      <c r="S136" t="s">
        <v>1032</v>
      </c>
      <c r="T136" t="s">
        <v>992</v>
      </c>
      <c r="U136" t="s">
        <v>1139</v>
      </c>
      <c r="V136" t="s">
        <v>1061</v>
      </c>
      <c r="W136" t="s">
        <v>1206</v>
      </c>
      <c r="X136" t="s">
        <v>1396</v>
      </c>
    </row>
    <row r="137" spans="1:24" x14ac:dyDescent="0.25">
      <c r="A137" t="s">
        <v>42</v>
      </c>
      <c r="B137" t="s">
        <v>1397</v>
      </c>
      <c r="C137" t="s">
        <v>284</v>
      </c>
      <c r="D137" t="s">
        <v>992</v>
      </c>
      <c r="E137" t="s">
        <v>1129</v>
      </c>
      <c r="F137">
        <v>0</v>
      </c>
      <c r="G137" t="s">
        <v>1085</v>
      </c>
      <c r="H137" t="s">
        <v>1369</v>
      </c>
      <c r="I137" t="s">
        <v>1370</v>
      </c>
      <c r="J137" t="s">
        <v>993</v>
      </c>
      <c r="K137" t="s">
        <v>992</v>
      </c>
      <c r="L137" t="s">
        <v>992</v>
      </c>
      <c r="M137" t="s">
        <v>992</v>
      </c>
      <c r="N137" t="s">
        <v>992</v>
      </c>
      <c r="O137" t="s">
        <v>992</v>
      </c>
      <c r="P137" t="s">
        <v>992</v>
      </c>
      <c r="Q137" t="b">
        <v>1</v>
      </c>
      <c r="R137" t="b">
        <v>0</v>
      </c>
      <c r="S137" t="s">
        <v>1032</v>
      </c>
      <c r="T137" t="s">
        <v>992</v>
      </c>
      <c r="U137" t="s">
        <v>1139</v>
      </c>
      <c r="V137" t="s">
        <v>1061</v>
      </c>
      <c r="W137" t="s">
        <v>1206</v>
      </c>
      <c r="X137" t="s">
        <v>1398</v>
      </c>
    </row>
    <row r="138" spans="1:24" x14ac:dyDescent="0.25">
      <c r="A138" t="s">
        <v>42</v>
      </c>
      <c r="B138" t="s">
        <v>1399</v>
      </c>
      <c r="C138" t="s">
        <v>285</v>
      </c>
      <c r="D138" t="s">
        <v>992</v>
      </c>
      <c r="E138" t="s">
        <v>990</v>
      </c>
      <c r="F138">
        <v>0</v>
      </c>
      <c r="G138" t="s">
        <v>1085</v>
      </c>
      <c r="H138" t="s">
        <v>1400</v>
      </c>
      <c r="I138" t="s">
        <v>1401</v>
      </c>
      <c r="J138" t="s">
        <v>993</v>
      </c>
      <c r="K138" t="s">
        <v>992</v>
      </c>
      <c r="L138" t="s">
        <v>992</v>
      </c>
      <c r="M138" t="s">
        <v>992</v>
      </c>
      <c r="N138" t="s">
        <v>992</v>
      </c>
      <c r="O138" t="s">
        <v>992</v>
      </c>
      <c r="P138" t="s">
        <v>992</v>
      </c>
      <c r="Q138" t="b">
        <v>1</v>
      </c>
      <c r="R138" t="b">
        <v>0</v>
      </c>
      <c r="S138" t="s">
        <v>1032</v>
      </c>
      <c r="T138" t="s">
        <v>992</v>
      </c>
      <c r="U138" t="s">
        <v>1139</v>
      </c>
      <c r="V138" t="s">
        <v>1061</v>
      </c>
      <c r="W138" t="s">
        <v>1206</v>
      </c>
      <c r="X138" t="s">
        <v>1402</v>
      </c>
    </row>
    <row r="139" spans="1:24" x14ac:dyDescent="0.25">
      <c r="A139" t="s">
        <v>42</v>
      </c>
      <c r="B139" t="s">
        <v>1403</v>
      </c>
      <c r="C139" t="s">
        <v>285</v>
      </c>
      <c r="D139" t="s">
        <v>992</v>
      </c>
      <c r="E139" t="s">
        <v>999</v>
      </c>
      <c r="F139">
        <v>0</v>
      </c>
      <c r="G139" t="s">
        <v>1085</v>
      </c>
      <c r="H139" t="s">
        <v>1400</v>
      </c>
      <c r="I139" t="s">
        <v>1401</v>
      </c>
      <c r="J139" t="s">
        <v>993</v>
      </c>
      <c r="K139" t="s">
        <v>992</v>
      </c>
      <c r="L139" t="s">
        <v>992</v>
      </c>
      <c r="M139" t="s">
        <v>992</v>
      </c>
      <c r="N139" t="s">
        <v>992</v>
      </c>
      <c r="O139" t="s">
        <v>992</v>
      </c>
      <c r="P139" t="s">
        <v>992</v>
      </c>
      <c r="Q139" t="b">
        <v>1</v>
      </c>
      <c r="R139" t="b">
        <v>0</v>
      </c>
      <c r="S139" t="s">
        <v>1032</v>
      </c>
      <c r="T139" t="s">
        <v>992</v>
      </c>
      <c r="U139" t="s">
        <v>1139</v>
      </c>
      <c r="V139" t="s">
        <v>1061</v>
      </c>
      <c r="W139" t="s">
        <v>1206</v>
      </c>
      <c r="X139" t="s">
        <v>1404</v>
      </c>
    </row>
    <row r="140" spans="1:24" x14ac:dyDescent="0.25">
      <c r="A140" t="s">
        <v>42</v>
      </c>
      <c r="B140" t="s">
        <v>1405</v>
      </c>
      <c r="C140" t="s">
        <v>285</v>
      </c>
      <c r="D140" t="s">
        <v>992</v>
      </c>
      <c r="E140" t="s">
        <v>1001</v>
      </c>
      <c r="F140">
        <v>0</v>
      </c>
      <c r="G140" t="s">
        <v>1085</v>
      </c>
      <c r="H140" t="s">
        <v>1400</v>
      </c>
      <c r="I140" t="s">
        <v>1401</v>
      </c>
      <c r="J140" t="s">
        <v>993</v>
      </c>
      <c r="K140" t="s">
        <v>992</v>
      </c>
      <c r="L140" t="s">
        <v>992</v>
      </c>
      <c r="M140" t="s">
        <v>992</v>
      </c>
      <c r="N140" t="s">
        <v>992</v>
      </c>
      <c r="O140" t="s">
        <v>992</v>
      </c>
      <c r="P140" t="s">
        <v>992</v>
      </c>
      <c r="Q140" t="b">
        <v>1</v>
      </c>
      <c r="R140" t="b">
        <v>0</v>
      </c>
      <c r="S140" t="s">
        <v>1032</v>
      </c>
      <c r="T140" t="s">
        <v>992</v>
      </c>
      <c r="U140" t="s">
        <v>1139</v>
      </c>
      <c r="V140" t="s">
        <v>1061</v>
      </c>
      <c r="W140" t="s">
        <v>1206</v>
      </c>
      <c r="X140" t="s">
        <v>1406</v>
      </c>
    </row>
    <row r="141" spans="1:24" x14ac:dyDescent="0.25">
      <c r="A141" t="s">
        <v>42</v>
      </c>
      <c r="B141" t="s">
        <v>1407</v>
      </c>
      <c r="C141" t="s">
        <v>285</v>
      </c>
      <c r="D141" t="s">
        <v>992</v>
      </c>
      <c r="E141" t="s">
        <v>1003</v>
      </c>
      <c r="F141">
        <v>0</v>
      </c>
      <c r="G141" t="s">
        <v>1085</v>
      </c>
      <c r="H141" t="s">
        <v>1400</v>
      </c>
      <c r="I141" t="s">
        <v>1401</v>
      </c>
      <c r="J141" t="s">
        <v>993</v>
      </c>
      <c r="K141" t="s">
        <v>992</v>
      </c>
      <c r="L141" t="s">
        <v>992</v>
      </c>
      <c r="M141" t="s">
        <v>992</v>
      </c>
      <c r="N141" t="s">
        <v>992</v>
      </c>
      <c r="O141" t="s">
        <v>992</v>
      </c>
      <c r="P141" t="s">
        <v>992</v>
      </c>
      <c r="Q141" t="b">
        <v>1</v>
      </c>
      <c r="R141" t="b">
        <v>0</v>
      </c>
      <c r="S141" t="s">
        <v>1032</v>
      </c>
      <c r="T141" t="s">
        <v>992</v>
      </c>
      <c r="U141" t="s">
        <v>1139</v>
      </c>
      <c r="V141" t="s">
        <v>1061</v>
      </c>
      <c r="W141" t="s">
        <v>1206</v>
      </c>
      <c r="X141" t="s">
        <v>1408</v>
      </c>
    </row>
    <row r="142" spans="1:24" x14ac:dyDescent="0.25">
      <c r="A142" t="s">
        <v>42</v>
      </c>
      <c r="B142" t="s">
        <v>1409</v>
      </c>
      <c r="C142" t="s">
        <v>285</v>
      </c>
      <c r="D142" t="s">
        <v>992</v>
      </c>
      <c r="E142" t="s">
        <v>1005</v>
      </c>
      <c r="F142">
        <v>0</v>
      </c>
      <c r="G142" t="s">
        <v>1085</v>
      </c>
      <c r="H142" t="s">
        <v>1400</v>
      </c>
      <c r="I142" t="s">
        <v>1401</v>
      </c>
      <c r="J142" t="s">
        <v>993</v>
      </c>
      <c r="K142" t="s">
        <v>992</v>
      </c>
      <c r="L142" t="s">
        <v>992</v>
      </c>
      <c r="M142" t="s">
        <v>992</v>
      </c>
      <c r="N142" t="s">
        <v>992</v>
      </c>
      <c r="O142" t="s">
        <v>992</v>
      </c>
      <c r="P142" t="s">
        <v>992</v>
      </c>
      <c r="Q142" t="b">
        <v>1</v>
      </c>
      <c r="R142" t="b">
        <v>0</v>
      </c>
      <c r="S142" t="s">
        <v>1032</v>
      </c>
      <c r="T142" t="s">
        <v>992</v>
      </c>
      <c r="U142" t="s">
        <v>1139</v>
      </c>
      <c r="V142" t="s">
        <v>1061</v>
      </c>
      <c r="W142" t="s">
        <v>1206</v>
      </c>
      <c r="X142" t="s">
        <v>1410</v>
      </c>
    </row>
    <row r="143" spans="1:24" x14ac:dyDescent="0.25">
      <c r="A143" t="s">
        <v>42</v>
      </c>
      <c r="B143" t="s">
        <v>1411</v>
      </c>
      <c r="C143" t="s">
        <v>285</v>
      </c>
      <c r="D143" t="s">
        <v>992</v>
      </c>
      <c r="E143" t="s">
        <v>1007</v>
      </c>
      <c r="F143">
        <v>0</v>
      </c>
      <c r="G143" t="s">
        <v>1085</v>
      </c>
      <c r="H143" t="s">
        <v>1400</v>
      </c>
      <c r="I143" t="s">
        <v>1401</v>
      </c>
      <c r="J143" t="s">
        <v>993</v>
      </c>
      <c r="K143" t="s">
        <v>992</v>
      </c>
      <c r="L143" t="s">
        <v>992</v>
      </c>
      <c r="M143" t="s">
        <v>992</v>
      </c>
      <c r="N143" t="s">
        <v>992</v>
      </c>
      <c r="O143" t="s">
        <v>992</v>
      </c>
      <c r="P143" t="s">
        <v>992</v>
      </c>
      <c r="Q143" t="b">
        <v>1</v>
      </c>
      <c r="R143" t="b">
        <v>0</v>
      </c>
      <c r="S143" t="s">
        <v>1032</v>
      </c>
      <c r="T143" t="s">
        <v>992</v>
      </c>
      <c r="U143" t="s">
        <v>1139</v>
      </c>
      <c r="V143" t="s">
        <v>1061</v>
      </c>
      <c r="W143" t="s">
        <v>1206</v>
      </c>
      <c r="X143" t="s">
        <v>1412</v>
      </c>
    </row>
    <row r="144" spans="1:24" x14ac:dyDescent="0.25">
      <c r="A144" t="s">
        <v>42</v>
      </c>
      <c r="B144" t="s">
        <v>1413</v>
      </c>
      <c r="C144" t="s">
        <v>285</v>
      </c>
      <c r="D144" t="s">
        <v>992</v>
      </c>
      <c r="E144" t="s">
        <v>1009</v>
      </c>
      <c r="F144">
        <v>0</v>
      </c>
      <c r="G144" t="s">
        <v>1085</v>
      </c>
      <c r="H144" t="s">
        <v>1400</v>
      </c>
      <c r="I144" t="s">
        <v>1401</v>
      </c>
      <c r="J144" t="s">
        <v>993</v>
      </c>
      <c r="K144" t="s">
        <v>992</v>
      </c>
      <c r="L144" t="s">
        <v>992</v>
      </c>
      <c r="M144" t="s">
        <v>992</v>
      </c>
      <c r="N144" t="s">
        <v>992</v>
      </c>
      <c r="O144" t="s">
        <v>992</v>
      </c>
      <c r="P144" t="s">
        <v>992</v>
      </c>
      <c r="Q144" t="b">
        <v>1</v>
      </c>
      <c r="R144" t="b">
        <v>0</v>
      </c>
      <c r="S144" t="s">
        <v>1032</v>
      </c>
      <c r="T144" t="s">
        <v>992</v>
      </c>
      <c r="U144" t="s">
        <v>1139</v>
      </c>
      <c r="V144" t="s">
        <v>1061</v>
      </c>
      <c r="W144" t="s">
        <v>1206</v>
      </c>
      <c r="X144" t="s">
        <v>1414</v>
      </c>
    </row>
    <row r="145" spans="1:24" x14ac:dyDescent="0.25">
      <c r="A145" t="s">
        <v>42</v>
      </c>
      <c r="B145" t="s">
        <v>1415</v>
      </c>
      <c r="C145" t="s">
        <v>285</v>
      </c>
      <c r="D145" t="s">
        <v>992</v>
      </c>
      <c r="E145" t="s">
        <v>1011</v>
      </c>
      <c r="F145">
        <v>0</v>
      </c>
      <c r="G145" t="s">
        <v>1085</v>
      </c>
      <c r="H145" t="s">
        <v>1400</v>
      </c>
      <c r="I145" t="s">
        <v>1401</v>
      </c>
      <c r="J145" t="s">
        <v>993</v>
      </c>
      <c r="K145" t="s">
        <v>992</v>
      </c>
      <c r="L145" t="s">
        <v>992</v>
      </c>
      <c r="M145" t="s">
        <v>992</v>
      </c>
      <c r="N145" t="s">
        <v>992</v>
      </c>
      <c r="O145" t="s">
        <v>992</v>
      </c>
      <c r="P145" t="s">
        <v>992</v>
      </c>
      <c r="Q145" t="b">
        <v>1</v>
      </c>
      <c r="R145" t="b">
        <v>0</v>
      </c>
      <c r="S145" t="s">
        <v>1032</v>
      </c>
      <c r="T145" t="s">
        <v>992</v>
      </c>
      <c r="U145" t="s">
        <v>1139</v>
      </c>
      <c r="V145" t="s">
        <v>1061</v>
      </c>
      <c r="W145" t="s">
        <v>1206</v>
      </c>
      <c r="X145" t="s">
        <v>1416</v>
      </c>
    </row>
    <row r="146" spans="1:24" x14ac:dyDescent="0.25">
      <c r="A146" t="s">
        <v>42</v>
      </c>
      <c r="B146" t="s">
        <v>1417</v>
      </c>
      <c r="C146" t="s">
        <v>285</v>
      </c>
      <c r="D146" t="s">
        <v>992</v>
      </c>
      <c r="E146" t="s">
        <v>1021</v>
      </c>
      <c r="F146">
        <v>0</v>
      </c>
      <c r="G146" t="s">
        <v>1085</v>
      </c>
      <c r="H146" t="s">
        <v>1400</v>
      </c>
      <c r="I146" t="s">
        <v>1401</v>
      </c>
      <c r="J146" t="s">
        <v>993</v>
      </c>
      <c r="K146" t="s">
        <v>992</v>
      </c>
      <c r="L146" t="s">
        <v>992</v>
      </c>
      <c r="M146" t="s">
        <v>992</v>
      </c>
      <c r="N146" t="s">
        <v>992</v>
      </c>
      <c r="O146" t="s">
        <v>992</v>
      </c>
      <c r="P146" t="s">
        <v>992</v>
      </c>
      <c r="Q146" t="b">
        <v>1</v>
      </c>
      <c r="R146" t="b">
        <v>0</v>
      </c>
      <c r="S146" t="s">
        <v>1032</v>
      </c>
      <c r="T146" t="s">
        <v>992</v>
      </c>
      <c r="U146" t="s">
        <v>1139</v>
      </c>
      <c r="V146" t="s">
        <v>1061</v>
      </c>
      <c r="W146" t="s">
        <v>1206</v>
      </c>
      <c r="X146" t="s">
        <v>1418</v>
      </c>
    </row>
    <row r="147" spans="1:24" x14ac:dyDescent="0.25">
      <c r="A147" t="s">
        <v>42</v>
      </c>
      <c r="B147" t="s">
        <v>1419</v>
      </c>
      <c r="C147" t="s">
        <v>285</v>
      </c>
      <c r="D147" t="s">
        <v>992</v>
      </c>
      <c r="E147" t="s">
        <v>1129</v>
      </c>
      <c r="F147">
        <v>0</v>
      </c>
      <c r="G147" t="s">
        <v>1085</v>
      </c>
      <c r="H147" t="s">
        <v>1400</v>
      </c>
      <c r="I147" t="s">
        <v>1401</v>
      </c>
      <c r="J147" t="s">
        <v>993</v>
      </c>
      <c r="K147" t="s">
        <v>992</v>
      </c>
      <c r="L147" t="s">
        <v>992</v>
      </c>
      <c r="M147" t="s">
        <v>992</v>
      </c>
      <c r="N147" t="s">
        <v>992</v>
      </c>
      <c r="O147" t="s">
        <v>992</v>
      </c>
      <c r="P147" t="s">
        <v>992</v>
      </c>
      <c r="Q147" t="b">
        <v>1</v>
      </c>
      <c r="R147" t="b">
        <v>0</v>
      </c>
      <c r="S147" t="s">
        <v>1032</v>
      </c>
      <c r="T147" t="s">
        <v>992</v>
      </c>
      <c r="U147" t="s">
        <v>1139</v>
      </c>
      <c r="V147" t="s">
        <v>1061</v>
      </c>
      <c r="W147" t="s">
        <v>1206</v>
      </c>
      <c r="X147" t="s">
        <v>1420</v>
      </c>
    </row>
    <row r="148" spans="1:24" x14ac:dyDescent="0.25">
      <c r="A148" t="s">
        <v>42</v>
      </c>
      <c r="B148" t="s">
        <v>1421</v>
      </c>
      <c r="C148" t="s">
        <v>330</v>
      </c>
      <c r="D148" t="s">
        <v>323</v>
      </c>
      <c r="E148" t="s">
        <v>990</v>
      </c>
      <c r="F148">
        <v>20535</v>
      </c>
      <c r="G148" t="s">
        <v>1051</v>
      </c>
      <c r="H148" t="s">
        <v>1422</v>
      </c>
      <c r="I148" t="s">
        <v>1423</v>
      </c>
      <c r="J148" t="s">
        <v>1424</v>
      </c>
      <c r="K148" t="s">
        <v>1026</v>
      </c>
      <c r="L148" t="s">
        <v>1027</v>
      </c>
      <c r="M148" t="s">
        <v>1028</v>
      </c>
      <c r="N148" t="s">
        <v>1029</v>
      </c>
      <c r="O148" t="s">
        <v>992</v>
      </c>
      <c r="P148" t="s">
        <v>1031</v>
      </c>
      <c r="Q148" t="b">
        <v>1</v>
      </c>
      <c r="R148" t="b">
        <v>0</v>
      </c>
      <c r="S148" t="s">
        <v>1375</v>
      </c>
      <c r="T148" t="s">
        <v>992</v>
      </c>
      <c r="U148" t="s">
        <v>1060</v>
      </c>
      <c r="V148" t="s">
        <v>995</v>
      </c>
      <c r="W148" t="s">
        <v>1034</v>
      </c>
      <c r="X148" t="s">
        <v>1425</v>
      </c>
    </row>
    <row r="149" spans="1:24" x14ac:dyDescent="0.25">
      <c r="A149" t="s">
        <v>42</v>
      </c>
      <c r="B149" t="s">
        <v>1426</v>
      </c>
      <c r="C149" t="s">
        <v>330</v>
      </c>
      <c r="D149" t="s">
        <v>323</v>
      </c>
      <c r="E149" t="s">
        <v>999</v>
      </c>
      <c r="F149">
        <v>24687</v>
      </c>
      <c r="G149" t="s">
        <v>1051</v>
      </c>
      <c r="H149" t="s">
        <v>1427</v>
      </c>
      <c r="I149" t="s">
        <v>1423</v>
      </c>
      <c r="J149" t="s">
        <v>1424</v>
      </c>
      <c r="K149" t="s">
        <v>1038</v>
      </c>
      <c r="L149" t="s">
        <v>1039</v>
      </c>
      <c r="M149" t="s">
        <v>1028</v>
      </c>
      <c r="N149" t="s">
        <v>1040</v>
      </c>
      <c r="O149" t="s">
        <v>992</v>
      </c>
      <c r="P149" t="s">
        <v>1042</v>
      </c>
      <c r="Q149" t="b">
        <v>1</v>
      </c>
      <c r="R149" t="b">
        <v>0</v>
      </c>
      <c r="S149" t="s">
        <v>1375</v>
      </c>
      <c r="T149" t="s">
        <v>992</v>
      </c>
      <c r="U149" t="s">
        <v>1060</v>
      </c>
      <c r="V149" t="s">
        <v>995</v>
      </c>
      <c r="W149" t="s">
        <v>1034</v>
      </c>
      <c r="X149" t="s">
        <v>1425</v>
      </c>
    </row>
    <row r="150" spans="1:24" x14ac:dyDescent="0.25">
      <c r="A150" t="s">
        <v>42</v>
      </c>
      <c r="B150" t="s">
        <v>1428</v>
      </c>
      <c r="C150" t="s">
        <v>330</v>
      </c>
      <c r="D150" t="s">
        <v>323</v>
      </c>
      <c r="E150" t="s">
        <v>1001</v>
      </c>
      <c r="F150">
        <v>28408</v>
      </c>
      <c r="G150" t="s">
        <v>1051</v>
      </c>
      <c r="H150" t="s">
        <v>1429</v>
      </c>
      <c r="I150" t="s">
        <v>1423</v>
      </c>
      <c r="J150" t="s">
        <v>1424</v>
      </c>
      <c r="K150" t="s">
        <v>1045</v>
      </c>
      <c r="L150" t="s">
        <v>1046</v>
      </c>
      <c r="M150" t="s">
        <v>1028</v>
      </c>
      <c r="N150" t="s">
        <v>1047</v>
      </c>
      <c r="O150" t="s">
        <v>992</v>
      </c>
      <c r="P150" t="s">
        <v>1049</v>
      </c>
      <c r="Q150" t="b">
        <v>1</v>
      </c>
      <c r="R150" t="b">
        <v>0</v>
      </c>
      <c r="S150" t="s">
        <v>1375</v>
      </c>
      <c r="T150" t="s">
        <v>992</v>
      </c>
      <c r="U150" t="s">
        <v>1060</v>
      </c>
      <c r="V150" t="s">
        <v>995</v>
      </c>
      <c r="W150" t="s">
        <v>1034</v>
      </c>
      <c r="X150" t="s">
        <v>1425</v>
      </c>
    </row>
    <row r="151" spans="1:24" x14ac:dyDescent="0.25">
      <c r="A151" t="s">
        <v>42</v>
      </c>
      <c r="B151" t="s">
        <v>1430</v>
      </c>
      <c r="C151" t="s">
        <v>330</v>
      </c>
      <c r="D151" t="s">
        <v>323</v>
      </c>
      <c r="E151" t="s">
        <v>1003</v>
      </c>
      <c r="F151">
        <v>29965</v>
      </c>
      <c r="G151" t="s">
        <v>1051</v>
      </c>
      <c r="H151" t="s">
        <v>1431</v>
      </c>
      <c r="I151" t="s">
        <v>1423</v>
      </c>
      <c r="J151" t="s">
        <v>1424</v>
      </c>
      <c r="K151" t="s">
        <v>1087</v>
      </c>
      <c r="L151" t="s">
        <v>1088</v>
      </c>
      <c r="M151" t="s">
        <v>1056</v>
      </c>
      <c r="N151" t="s">
        <v>1089</v>
      </c>
      <c r="O151" t="s">
        <v>992</v>
      </c>
      <c r="P151" t="s">
        <v>1058</v>
      </c>
      <c r="Q151" t="b">
        <v>1</v>
      </c>
      <c r="R151" t="b">
        <v>0</v>
      </c>
      <c r="S151" t="s">
        <v>1375</v>
      </c>
      <c r="T151" t="s">
        <v>992</v>
      </c>
      <c r="U151" t="s">
        <v>1060</v>
      </c>
      <c r="V151" t="s">
        <v>995</v>
      </c>
      <c r="W151" t="s">
        <v>1034</v>
      </c>
      <c r="X151" t="s">
        <v>1425</v>
      </c>
    </row>
    <row r="152" spans="1:24" x14ac:dyDescent="0.25">
      <c r="A152" t="s">
        <v>42</v>
      </c>
      <c r="B152" t="s">
        <v>1432</v>
      </c>
      <c r="C152" t="s">
        <v>330</v>
      </c>
      <c r="D152" t="s">
        <v>323</v>
      </c>
      <c r="E152" t="s">
        <v>1005</v>
      </c>
      <c r="F152">
        <v>40760</v>
      </c>
      <c r="G152" t="s">
        <v>1051</v>
      </c>
      <c r="H152" t="s">
        <v>1433</v>
      </c>
      <c r="I152" t="s">
        <v>1423</v>
      </c>
      <c r="J152" t="s">
        <v>1424</v>
      </c>
      <c r="K152" t="s">
        <v>1065</v>
      </c>
      <c r="L152" t="s">
        <v>1066</v>
      </c>
      <c r="M152" t="s">
        <v>1028</v>
      </c>
      <c r="N152" t="s">
        <v>1067</v>
      </c>
      <c r="O152" t="s">
        <v>992</v>
      </c>
      <c r="P152" t="s">
        <v>1069</v>
      </c>
      <c r="Q152" t="b">
        <v>1</v>
      </c>
      <c r="R152" t="b">
        <v>0</v>
      </c>
      <c r="S152" t="s">
        <v>1375</v>
      </c>
      <c r="T152" t="s">
        <v>992</v>
      </c>
      <c r="U152" t="s">
        <v>1060</v>
      </c>
      <c r="V152" t="s">
        <v>995</v>
      </c>
      <c r="W152" t="s">
        <v>1034</v>
      </c>
      <c r="X152" t="s">
        <v>1425</v>
      </c>
    </row>
    <row r="153" spans="1:24" x14ac:dyDescent="0.25">
      <c r="A153" t="s">
        <v>42</v>
      </c>
      <c r="B153" t="s">
        <v>1434</v>
      </c>
      <c r="C153" t="s">
        <v>330</v>
      </c>
      <c r="D153" t="s">
        <v>323</v>
      </c>
      <c r="E153" t="s">
        <v>1007</v>
      </c>
      <c r="F153">
        <v>32695</v>
      </c>
      <c r="G153" t="s">
        <v>1051</v>
      </c>
      <c r="H153" t="s">
        <v>1435</v>
      </c>
      <c r="I153" t="s">
        <v>1423</v>
      </c>
      <c r="J153" t="s">
        <v>1424</v>
      </c>
      <c r="K153" t="s">
        <v>1072</v>
      </c>
      <c r="L153" t="s">
        <v>1073</v>
      </c>
      <c r="M153" t="s">
        <v>1028</v>
      </c>
      <c r="N153" t="s">
        <v>1074</v>
      </c>
      <c r="O153" t="s">
        <v>992</v>
      </c>
      <c r="P153" t="s">
        <v>1076</v>
      </c>
      <c r="Q153" t="b">
        <v>1</v>
      </c>
      <c r="R153" t="b">
        <v>0</v>
      </c>
      <c r="S153" t="s">
        <v>1375</v>
      </c>
      <c r="T153" t="s">
        <v>992</v>
      </c>
      <c r="U153" t="s">
        <v>1060</v>
      </c>
      <c r="V153" t="s">
        <v>995</v>
      </c>
      <c r="W153" t="s">
        <v>1034</v>
      </c>
      <c r="X153" t="s">
        <v>1425</v>
      </c>
    </row>
    <row r="154" spans="1:24" x14ac:dyDescent="0.25">
      <c r="A154" t="s">
        <v>42</v>
      </c>
      <c r="B154" t="s">
        <v>1436</v>
      </c>
      <c r="C154" t="s">
        <v>330</v>
      </c>
      <c r="D154" t="s">
        <v>323</v>
      </c>
      <c r="E154" t="s">
        <v>1009</v>
      </c>
      <c r="F154">
        <v>25565</v>
      </c>
      <c r="G154" t="s">
        <v>1051</v>
      </c>
      <c r="H154" t="s">
        <v>1437</v>
      </c>
      <c r="I154" t="s">
        <v>1423</v>
      </c>
      <c r="J154" t="s">
        <v>1424</v>
      </c>
      <c r="K154" t="s">
        <v>1079</v>
      </c>
      <c r="L154" t="s">
        <v>1080</v>
      </c>
      <c r="M154" t="s">
        <v>1028</v>
      </c>
      <c r="N154" t="s">
        <v>1081</v>
      </c>
      <c r="O154" t="s">
        <v>992</v>
      </c>
      <c r="P154" t="s">
        <v>1083</v>
      </c>
      <c r="Q154" t="b">
        <v>1</v>
      </c>
      <c r="R154" t="b">
        <v>0</v>
      </c>
      <c r="S154" t="s">
        <v>1375</v>
      </c>
      <c r="T154" t="s">
        <v>992</v>
      </c>
      <c r="U154" t="s">
        <v>1060</v>
      </c>
      <c r="V154" t="s">
        <v>995</v>
      </c>
      <c r="W154" t="s">
        <v>1034</v>
      </c>
      <c r="X154" t="s">
        <v>1425</v>
      </c>
    </row>
    <row r="155" spans="1:24" x14ac:dyDescent="0.25">
      <c r="A155" t="s">
        <v>42</v>
      </c>
      <c r="B155" t="s">
        <v>1438</v>
      </c>
      <c r="C155" t="s">
        <v>330</v>
      </c>
      <c r="D155" t="s">
        <v>323</v>
      </c>
      <c r="E155" t="s">
        <v>1011</v>
      </c>
      <c r="F155">
        <v>29943</v>
      </c>
      <c r="G155" t="s">
        <v>1051</v>
      </c>
      <c r="H155" t="s">
        <v>1439</v>
      </c>
      <c r="I155" t="s">
        <v>1423</v>
      </c>
      <c r="J155" t="s">
        <v>1424</v>
      </c>
      <c r="K155" t="s">
        <v>1116</v>
      </c>
      <c r="L155" t="s">
        <v>1117</v>
      </c>
      <c r="M155" t="s">
        <v>1056</v>
      </c>
      <c r="N155" t="s">
        <v>1118</v>
      </c>
      <c r="O155" t="s">
        <v>992</v>
      </c>
      <c r="P155" t="s">
        <v>1090</v>
      </c>
      <c r="Q155" t="b">
        <v>1</v>
      </c>
      <c r="R155" t="b">
        <v>0</v>
      </c>
      <c r="S155" t="s">
        <v>1375</v>
      </c>
      <c r="T155" t="s">
        <v>992</v>
      </c>
      <c r="U155" t="s">
        <v>1060</v>
      </c>
      <c r="V155" t="s">
        <v>995</v>
      </c>
      <c r="W155" t="s">
        <v>1034</v>
      </c>
      <c r="X155" t="s">
        <v>1425</v>
      </c>
    </row>
    <row r="156" spans="1:24" x14ac:dyDescent="0.25">
      <c r="A156" t="s">
        <v>42</v>
      </c>
      <c r="B156" t="s">
        <v>1440</v>
      </c>
      <c r="C156" t="s">
        <v>330</v>
      </c>
      <c r="D156" t="s">
        <v>323</v>
      </c>
      <c r="E156" t="s">
        <v>1013</v>
      </c>
      <c r="F156">
        <v>30299</v>
      </c>
      <c r="G156" t="s">
        <v>1085</v>
      </c>
      <c r="H156" t="s">
        <v>1441</v>
      </c>
      <c r="I156" t="s">
        <v>1423</v>
      </c>
      <c r="J156" t="s">
        <v>1424</v>
      </c>
      <c r="K156" t="s">
        <v>1094</v>
      </c>
      <c r="L156" t="s">
        <v>1095</v>
      </c>
      <c r="M156" t="s">
        <v>1028</v>
      </c>
      <c r="N156" t="s">
        <v>1096</v>
      </c>
      <c r="O156" t="s">
        <v>992</v>
      </c>
      <c r="P156" t="s">
        <v>1098</v>
      </c>
      <c r="Q156" t="b">
        <v>1</v>
      </c>
      <c r="R156" t="b">
        <v>0</v>
      </c>
      <c r="S156" t="s">
        <v>1032</v>
      </c>
      <c r="T156" t="s">
        <v>992</v>
      </c>
      <c r="U156" t="s">
        <v>1139</v>
      </c>
      <c r="V156" t="s">
        <v>995</v>
      </c>
      <c r="W156" t="s">
        <v>1034</v>
      </c>
      <c r="X156" t="s">
        <v>1442</v>
      </c>
    </row>
    <row r="157" spans="1:24" x14ac:dyDescent="0.25">
      <c r="A157" t="s">
        <v>42</v>
      </c>
      <c r="B157" t="s">
        <v>1443</v>
      </c>
      <c r="C157" t="s">
        <v>330</v>
      </c>
      <c r="D157" t="s">
        <v>323</v>
      </c>
      <c r="E157" t="s">
        <v>1015</v>
      </c>
      <c r="F157">
        <v>28162</v>
      </c>
      <c r="G157" t="s">
        <v>1085</v>
      </c>
      <c r="H157" t="s">
        <v>1444</v>
      </c>
      <c r="I157" t="s">
        <v>1423</v>
      </c>
      <c r="J157" t="s">
        <v>1424</v>
      </c>
      <c r="K157" t="s">
        <v>1102</v>
      </c>
      <c r="L157" t="s">
        <v>1103</v>
      </c>
      <c r="M157" t="s">
        <v>1028</v>
      </c>
      <c r="N157" t="s">
        <v>1104</v>
      </c>
      <c r="O157" t="s">
        <v>992</v>
      </c>
      <c r="P157" t="s">
        <v>1106</v>
      </c>
      <c r="Q157" t="b">
        <v>1</v>
      </c>
      <c r="R157" t="b">
        <v>0</v>
      </c>
      <c r="S157" t="s">
        <v>1032</v>
      </c>
      <c r="T157" t="s">
        <v>992</v>
      </c>
      <c r="U157" t="s">
        <v>1139</v>
      </c>
      <c r="V157" t="s">
        <v>995</v>
      </c>
      <c r="W157" t="s">
        <v>1034</v>
      </c>
      <c r="X157" t="s">
        <v>1445</v>
      </c>
    </row>
    <row r="158" spans="1:24" x14ac:dyDescent="0.25">
      <c r="A158" t="s">
        <v>42</v>
      </c>
      <c r="B158" t="s">
        <v>1446</v>
      </c>
      <c r="C158" t="s">
        <v>330</v>
      </c>
      <c r="D158" t="s">
        <v>323</v>
      </c>
      <c r="E158" t="s">
        <v>1017</v>
      </c>
      <c r="F158">
        <v>36269</v>
      </c>
      <c r="G158" t="s">
        <v>1085</v>
      </c>
      <c r="H158" t="s">
        <v>1447</v>
      </c>
      <c r="I158" t="s">
        <v>1423</v>
      </c>
      <c r="J158" t="s">
        <v>1424</v>
      </c>
      <c r="K158" t="s">
        <v>1109</v>
      </c>
      <c r="L158" t="s">
        <v>1110</v>
      </c>
      <c r="M158" t="s">
        <v>1028</v>
      </c>
      <c r="N158" t="s">
        <v>1111</v>
      </c>
      <c r="O158" t="s">
        <v>992</v>
      </c>
      <c r="P158" t="s">
        <v>1113</v>
      </c>
      <c r="Q158" t="b">
        <v>1</v>
      </c>
      <c r="R158" t="b">
        <v>0</v>
      </c>
      <c r="S158" t="s">
        <v>1032</v>
      </c>
      <c r="T158" t="s">
        <v>992</v>
      </c>
      <c r="U158" t="s">
        <v>1139</v>
      </c>
      <c r="V158" t="s">
        <v>995</v>
      </c>
      <c r="W158" t="s">
        <v>1034</v>
      </c>
      <c r="X158" t="s">
        <v>1448</v>
      </c>
    </row>
    <row r="159" spans="1:24" x14ac:dyDescent="0.25">
      <c r="A159" t="s">
        <v>42</v>
      </c>
      <c r="B159" t="s">
        <v>1449</v>
      </c>
      <c r="C159" t="s">
        <v>330</v>
      </c>
      <c r="D159" t="s">
        <v>323</v>
      </c>
      <c r="E159" t="s">
        <v>1019</v>
      </c>
      <c r="F159">
        <v>35934</v>
      </c>
      <c r="G159" t="s">
        <v>1085</v>
      </c>
      <c r="H159" t="s">
        <v>1450</v>
      </c>
      <c r="I159" t="s">
        <v>1423</v>
      </c>
      <c r="J159" t="s">
        <v>1424</v>
      </c>
      <c r="K159" t="s">
        <v>1131</v>
      </c>
      <c r="L159" t="s">
        <v>1132</v>
      </c>
      <c r="M159" t="s">
        <v>1028</v>
      </c>
      <c r="N159" t="s">
        <v>1133</v>
      </c>
      <c r="O159" t="s">
        <v>992</v>
      </c>
      <c r="P159" t="s">
        <v>1119</v>
      </c>
      <c r="Q159" t="b">
        <v>1</v>
      </c>
      <c r="R159" t="b">
        <v>0</v>
      </c>
      <c r="S159" t="s">
        <v>1032</v>
      </c>
      <c r="T159" t="s">
        <v>992</v>
      </c>
      <c r="U159" t="s">
        <v>1139</v>
      </c>
      <c r="V159" t="s">
        <v>995</v>
      </c>
      <c r="W159" t="s">
        <v>1034</v>
      </c>
      <c r="X159" t="s">
        <v>1451</v>
      </c>
    </row>
    <row r="160" spans="1:24" x14ac:dyDescent="0.25">
      <c r="A160" t="s">
        <v>42</v>
      </c>
      <c r="B160" t="s">
        <v>1452</v>
      </c>
      <c r="C160" t="s">
        <v>330</v>
      </c>
      <c r="D160" t="s">
        <v>323</v>
      </c>
      <c r="E160" t="s">
        <v>1021</v>
      </c>
      <c r="F160">
        <v>45317</v>
      </c>
      <c r="G160" t="s">
        <v>1051</v>
      </c>
      <c r="H160" t="s">
        <v>1453</v>
      </c>
      <c r="I160" t="s">
        <v>1423</v>
      </c>
      <c r="J160" t="s">
        <v>1424</v>
      </c>
      <c r="K160" t="s">
        <v>1123</v>
      </c>
      <c r="L160" t="s">
        <v>1124</v>
      </c>
      <c r="M160" t="s">
        <v>1028</v>
      </c>
      <c r="N160" t="s">
        <v>1125</v>
      </c>
      <c r="O160" t="s">
        <v>992</v>
      </c>
      <c r="P160" t="s">
        <v>1127</v>
      </c>
      <c r="Q160" t="b">
        <v>1</v>
      </c>
      <c r="R160" t="b">
        <v>0</v>
      </c>
      <c r="S160" t="s">
        <v>1375</v>
      </c>
      <c r="T160" t="s">
        <v>992</v>
      </c>
      <c r="U160" t="s">
        <v>1060</v>
      </c>
      <c r="V160" t="s">
        <v>995</v>
      </c>
      <c r="W160" t="s">
        <v>1034</v>
      </c>
      <c r="X160" t="s">
        <v>1425</v>
      </c>
    </row>
    <row r="161" spans="1:24" x14ac:dyDescent="0.25">
      <c r="A161" t="s">
        <v>42</v>
      </c>
      <c r="B161" t="s">
        <v>1454</v>
      </c>
      <c r="C161" t="s">
        <v>330</v>
      </c>
      <c r="D161" t="s">
        <v>323</v>
      </c>
      <c r="E161" t="s">
        <v>1129</v>
      </c>
      <c r="F161">
        <v>45572</v>
      </c>
      <c r="G161" t="s">
        <v>1051</v>
      </c>
      <c r="H161" t="s">
        <v>1455</v>
      </c>
      <c r="I161" t="s">
        <v>1423</v>
      </c>
      <c r="J161" t="s">
        <v>1424</v>
      </c>
      <c r="K161" t="s">
        <v>1131</v>
      </c>
      <c r="L161" t="s">
        <v>1132</v>
      </c>
      <c r="M161" t="s">
        <v>1028</v>
      </c>
      <c r="N161" t="s">
        <v>1133</v>
      </c>
      <c r="O161" t="s">
        <v>992</v>
      </c>
      <c r="P161" t="s">
        <v>1135</v>
      </c>
      <c r="Q161" t="b">
        <v>1</v>
      </c>
      <c r="R161" t="b">
        <v>0</v>
      </c>
      <c r="S161" t="s">
        <v>1375</v>
      </c>
      <c r="T161" t="s">
        <v>992</v>
      </c>
      <c r="U161" t="s">
        <v>1060</v>
      </c>
      <c r="V161" t="s">
        <v>995</v>
      </c>
      <c r="W161" t="s">
        <v>1034</v>
      </c>
      <c r="X161" t="s">
        <v>1425</v>
      </c>
    </row>
    <row r="162" spans="1:24" x14ac:dyDescent="0.25">
      <c r="A162" t="s">
        <v>42</v>
      </c>
      <c r="B162" t="s">
        <v>1456</v>
      </c>
      <c r="C162" t="s">
        <v>331</v>
      </c>
      <c r="D162" t="s">
        <v>323</v>
      </c>
      <c r="E162" t="s">
        <v>990</v>
      </c>
      <c r="F162">
        <v>23752</v>
      </c>
      <c r="G162" t="s">
        <v>1085</v>
      </c>
      <c r="H162" t="s">
        <v>1457</v>
      </c>
      <c r="I162" t="s">
        <v>1458</v>
      </c>
      <c r="J162" t="s">
        <v>1424</v>
      </c>
      <c r="K162" t="s">
        <v>1026</v>
      </c>
      <c r="L162" t="s">
        <v>1027</v>
      </c>
      <c r="M162" t="s">
        <v>1028</v>
      </c>
      <c r="N162" t="s">
        <v>1029</v>
      </c>
      <c r="O162" t="s">
        <v>992</v>
      </c>
      <c r="P162" t="s">
        <v>1031</v>
      </c>
      <c r="Q162" t="b">
        <v>1</v>
      </c>
      <c r="R162" t="b">
        <v>0</v>
      </c>
      <c r="S162" t="s">
        <v>1032</v>
      </c>
      <c r="T162" t="s">
        <v>992</v>
      </c>
      <c r="U162" t="s">
        <v>1139</v>
      </c>
      <c r="V162" t="s">
        <v>995</v>
      </c>
      <c r="W162" t="s">
        <v>1034</v>
      </c>
      <c r="X162" t="s">
        <v>1459</v>
      </c>
    </row>
    <row r="163" spans="1:24" x14ac:dyDescent="0.25">
      <c r="A163" t="s">
        <v>42</v>
      </c>
      <c r="B163" t="s">
        <v>1460</v>
      </c>
      <c r="C163" t="s">
        <v>331</v>
      </c>
      <c r="D163" t="s">
        <v>323</v>
      </c>
      <c r="E163" t="s">
        <v>999</v>
      </c>
      <c r="F163">
        <v>17936</v>
      </c>
      <c r="G163" t="s">
        <v>1085</v>
      </c>
      <c r="H163" t="s">
        <v>1461</v>
      </c>
      <c r="I163" t="s">
        <v>1458</v>
      </c>
      <c r="J163" t="s">
        <v>1424</v>
      </c>
      <c r="K163" t="s">
        <v>1038</v>
      </c>
      <c r="L163" t="s">
        <v>1039</v>
      </c>
      <c r="M163" t="s">
        <v>1028</v>
      </c>
      <c r="N163" t="s">
        <v>1040</v>
      </c>
      <c r="O163" t="s">
        <v>992</v>
      </c>
      <c r="P163" t="s">
        <v>1042</v>
      </c>
      <c r="Q163" t="b">
        <v>1</v>
      </c>
      <c r="R163" t="b">
        <v>0</v>
      </c>
      <c r="S163" t="s">
        <v>1032</v>
      </c>
      <c r="T163" t="s">
        <v>992</v>
      </c>
      <c r="U163" t="s">
        <v>1139</v>
      </c>
      <c r="V163" t="s">
        <v>995</v>
      </c>
      <c r="W163" t="s">
        <v>1034</v>
      </c>
      <c r="X163" t="s">
        <v>1462</v>
      </c>
    </row>
    <row r="164" spans="1:24" x14ac:dyDescent="0.25">
      <c r="A164" t="s">
        <v>42</v>
      </c>
      <c r="B164" t="s">
        <v>1463</v>
      </c>
      <c r="C164" t="s">
        <v>331</v>
      </c>
      <c r="D164" t="s">
        <v>323</v>
      </c>
      <c r="E164" t="s">
        <v>1001</v>
      </c>
      <c r="F164">
        <v>19549</v>
      </c>
      <c r="G164" t="s">
        <v>1085</v>
      </c>
      <c r="H164" t="s">
        <v>1464</v>
      </c>
      <c r="I164" t="s">
        <v>1458</v>
      </c>
      <c r="J164" t="s">
        <v>1424</v>
      </c>
      <c r="K164" t="s">
        <v>1045</v>
      </c>
      <c r="L164" t="s">
        <v>1046</v>
      </c>
      <c r="M164" t="s">
        <v>1028</v>
      </c>
      <c r="N164" t="s">
        <v>1047</v>
      </c>
      <c r="O164" t="s">
        <v>992</v>
      </c>
      <c r="P164" t="s">
        <v>1049</v>
      </c>
      <c r="Q164" t="b">
        <v>1</v>
      </c>
      <c r="R164" t="b">
        <v>0</v>
      </c>
      <c r="S164" t="s">
        <v>1032</v>
      </c>
      <c r="T164" t="s">
        <v>992</v>
      </c>
      <c r="U164" t="s">
        <v>1139</v>
      </c>
      <c r="V164" t="s">
        <v>995</v>
      </c>
      <c r="W164" t="s">
        <v>1034</v>
      </c>
      <c r="X164" t="s">
        <v>1465</v>
      </c>
    </row>
    <row r="165" spans="1:24" x14ac:dyDescent="0.25">
      <c r="A165" t="s">
        <v>42</v>
      </c>
      <c r="B165" t="s">
        <v>1466</v>
      </c>
      <c r="C165" t="s">
        <v>331</v>
      </c>
      <c r="D165" t="s">
        <v>323</v>
      </c>
      <c r="E165" t="s">
        <v>1003</v>
      </c>
      <c r="F165">
        <v>29508</v>
      </c>
      <c r="G165" t="s">
        <v>1085</v>
      </c>
      <c r="H165" t="s">
        <v>1467</v>
      </c>
      <c r="I165" t="s">
        <v>1458</v>
      </c>
      <c r="J165" t="s">
        <v>1424</v>
      </c>
      <c r="K165" t="s">
        <v>1087</v>
      </c>
      <c r="L165" t="s">
        <v>1088</v>
      </c>
      <c r="M165" t="s">
        <v>1056</v>
      </c>
      <c r="N165" t="s">
        <v>1089</v>
      </c>
      <c r="O165" t="s">
        <v>992</v>
      </c>
      <c r="P165" t="s">
        <v>1058</v>
      </c>
      <c r="Q165" t="b">
        <v>1</v>
      </c>
      <c r="R165" t="b">
        <v>0</v>
      </c>
      <c r="S165" t="s">
        <v>1032</v>
      </c>
      <c r="T165" t="s">
        <v>992</v>
      </c>
      <c r="U165" t="s">
        <v>1139</v>
      </c>
      <c r="V165" t="s">
        <v>995</v>
      </c>
      <c r="W165" t="s">
        <v>1034</v>
      </c>
      <c r="X165" t="s">
        <v>1468</v>
      </c>
    </row>
    <row r="166" spans="1:24" x14ac:dyDescent="0.25">
      <c r="A166" t="s">
        <v>42</v>
      </c>
      <c r="B166" t="s">
        <v>1469</v>
      </c>
      <c r="C166" t="s">
        <v>331</v>
      </c>
      <c r="D166" t="s">
        <v>323</v>
      </c>
      <c r="E166" t="s">
        <v>1005</v>
      </c>
      <c r="F166">
        <v>23194</v>
      </c>
      <c r="G166" t="s">
        <v>1085</v>
      </c>
      <c r="H166" t="s">
        <v>1470</v>
      </c>
      <c r="I166" t="s">
        <v>1458</v>
      </c>
      <c r="J166" t="s">
        <v>1424</v>
      </c>
      <c r="K166" t="s">
        <v>1065</v>
      </c>
      <c r="L166" t="s">
        <v>1066</v>
      </c>
      <c r="M166" t="s">
        <v>1028</v>
      </c>
      <c r="N166" t="s">
        <v>1067</v>
      </c>
      <c r="O166" t="s">
        <v>992</v>
      </c>
      <c r="P166" t="s">
        <v>1069</v>
      </c>
      <c r="Q166" t="b">
        <v>1</v>
      </c>
      <c r="R166" t="b">
        <v>0</v>
      </c>
      <c r="S166" t="s">
        <v>1032</v>
      </c>
      <c r="T166" t="s">
        <v>992</v>
      </c>
      <c r="U166" t="s">
        <v>1139</v>
      </c>
      <c r="V166" t="s">
        <v>995</v>
      </c>
      <c r="W166" t="s">
        <v>1034</v>
      </c>
      <c r="X166" t="s">
        <v>1471</v>
      </c>
    </row>
    <row r="167" spans="1:24" x14ac:dyDescent="0.25">
      <c r="A167" t="s">
        <v>42</v>
      </c>
      <c r="B167" t="s">
        <v>1472</v>
      </c>
      <c r="C167" t="s">
        <v>331</v>
      </c>
      <c r="D167" t="s">
        <v>323</v>
      </c>
      <c r="E167" t="s">
        <v>1007</v>
      </c>
      <c r="F167">
        <v>21837</v>
      </c>
      <c r="G167" t="s">
        <v>1085</v>
      </c>
      <c r="H167" t="s">
        <v>1473</v>
      </c>
      <c r="I167" t="s">
        <v>1458</v>
      </c>
      <c r="J167" t="s">
        <v>1424</v>
      </c>
      <c r="K167" t="s">
        <v>1072</v>
      </c>
      <c r="L167" t="s">
        <v>1073</v>
      </c>
      <c r="M167" t="s">
        <v>1028</v>
      </c>
      <c r="N167" t="s">
        <v>1074</v>
      </c>
      <c r="O167" t="s">
        <v>992</v>
      </c>
      <c r="P167" t="s">
        <v>1076</v>
      </c>
      <c r="Q167" t="b">
        <v>1</v>
      </c>
      <c r="R167" t="b">
        <v>0</v>
      </c>
      <c r="S167" t="s">
        <v>1032</v>
      </c>
      <c r="T167" t="s">
        <v>992</v>
      </c>
      <c r="U167" t="s">
        <v>1139</v>
      </c>
      <c r="V167" t="s">
        <v>995</v>
      </c>
      <c r="W167" t="s">
        <v>1034</v>
      </c>
      <c r="X167" t="s">
        <v>1474</v>
      </c>
    </row>
    <row r="168" spans="1:24" x14ac:dyDescent="0.25">
      <c r="A168" t="s">
        <v>42</v>
      </c>
      <c r="B168" t="s">
        <v>1475</v>
      </c>
      <c r="C168" t="s">
        <v>331</v>
      </c>
      <c r="D168" t="s">
        <v>323</v>
      </c>
      <c r="E168" t="s">
        <v>1009</v>
      </c>
      <c r="F168">
        <v>22795</v>
      </c>
      <c r="G168" t="s">
        <v>1085</v>
      </c>
      <c r="H168" t="s">
        <v>1476</v>
      </c>
      <c r="I168" t="s">
        <v>1458</v>
      </c>
      <c r="J168" t="s">
        <v>1424</v>
      </c>
      <c r="K168" t="s">
        <v>1079</v>
      </c>
      <c r="L168" t="s">
        <v>1080</v>
      </c>
      <c r="M168" t="s">
        <v>1028</v>
      </c>
      <c r="N168" t="s">
        <v>1081</v>
      </c>
      <c r="O168" t="s">
        <v>992</v>
      </c>
      <c r="P168" t="s">
        <v>1083</v>
      </c>
      <c r="Q168" t="b">
        <v>1</v>
      </c>
      <c r="R168" t="b">
        <v>0</v>
      </c>
      <c r="S168" t="s">
        <v>1032</v>
      </c>
      <c r="T168" t="s">
        <v>992</v>
      </c>
      <c r="U168" t="s">
        <v>1139</v>
      </c>
      <c r="V168" t="s">
        <v>995</v>
      </c>
      <c r="W168" t="s">
        <v>1034</v>
      </c>
      <c r="X168" t="s">
        <v>1477</v>
      </c>
    </row>
    <row r="169" spans="1:24" x14ac:dyDescent="0.25">
      <c r="A169" t="s">
        <v>42</v>
      </c>
      <c r="B169" t="s">
        <v>1478</v>
      </c>
      <c r="C169" t="s">
        <v>331</v>
      </c>
      <c r="D169" t="s">
        <v>323</v>
      </c>
      <c r="E169" t="s">
        <v>1011</v>
      </c>
      <c r="F169">
        <v>33410</v>
      </c>
      <c r="G169" t="s">
        <v>1085</v>
      </c>
      <c r="H169" t="s">
        <v>1479</v>
      </c>
      <c r="I169" t="s">
        <v>1458</v>
      </c>
      <c r="J169" t="s">
        <v>1424</v>
      </c>
      <c r="K169" t="s">
        <v>1116</v>
      </c>
      <c r="L169" t="s">
        <v>1117</v>
      </c>
      <c r="M169" t="s">
        <v>1056</v>
      </c>
      <c r="N169" t="s">
        <v>1118</v>
      </c>
      <c r="O169" t="s">
        <v>992</v>
      </c>
      <c r="P169" t="s">
        <v>1090</v>
      </c>
      <c r="Q169" t="b">
        <v>1</v>
      </c>
      <c r="R169" t="b">
        <v>0</v>
      </c>
      <c r="S169" t="s">
        <v>1032</v>
      </c>
      <c r="T169" t="s">
        <v>992</v>
      </c>
      <c r="U169" t="s">
        <v>1139</v>
      </c>
      <c r="V169" t="s">
        <v>995</v>
      </c>
      <c r="W169" t="s">
        <v>1034</v>
      </c>
      <c r="X169" t="s">
        <v>1480</v>
      </c>
    </row>
    <row r="170" spans="1:24" x14ac:dyDescent="0.25">
      <c r="A170" t="s">
        <v>42</v>
      </c>
      <c r="B170" t="s">
        <v>1481</v>
      </c>
      <c r="C170" t="s">
        <v>331</v>
      </c>
      <c r="D170" t="s">
        <v>323</v>
      </c>
      <c r="E170" t="s">
        <v>1013</v>
      </c>
      <c r="F170">
        <v>29639</v>
      </c>
      <c r="G170" t="s">
        <v>1085</v>
      </c>
      <c r="H170" t="s">
        <v>1482</v>
      </c>
      <c r="I170" t="s">
        <v>1458</v>
      </c>
      <c r="J170" t="s">
        <v>1424</v>
      </c>
      <c r="K170" t="s">
        <v>1094</v>
      </c>
      <c r="L170" t="s">
        <v>1095</v>
      </c>
      <c r="M170" t="s">
        <v>1028</v>
      </c>
      <c r="N170" t="s">
        <v>1096</v>
      </c>
      <c r="O170" t="s">
        <v>992</v>
      </c>
      <c r="P170" t="s">
        <v>1098</v>
      </c>
      <c r="Q170" t="b">
        <v>1</v>
      </c>
      <c r="R170" t="b">
        <v>0</v>
      </c>
      <c r="S170" t="s">
        <v>1032</v>
      </c>
      <c r="T170" t="s">
        <v>992</v>
      </c>
      <c r="U170" t="s">
        <v>1139</v>
      </c>
      <c r="V170" t="s">
        <v>995</v>
      </c>
      <c r="W170" t="s">
        <v>1034</v>
      </c>
      <c r="X170" t="s">
        <v>1483</v>
      </c>
    </row>
    <row r="171" spans="1:24" x14ac:dyDescent="0.25">
      <c r="A171" t="s">
        <v>42</v>
      </c>
      <c r="B171" t="s">
        <v>1484</v>
      </c>
      <c r="C171" t="s">
        <v>331</v>
      </c>
      <c r="D171" t="s">
        <v>323</v>
      </c>
      <c r="E171" t="s">
        <v>1015</v>
      </c>
      <c r="F171">
        <v>26136</v>
      </c>
      <c r="G171" t="s">
        <v>1085</v>
      </c>
      <c r="H171" t="s">
        <v>1485</v>
      </c>
      <c r="I171" t="s">
        <v>1458</v>
      </c>
      <c r="J171" t="s">
        <v>1424</v>
      </c>
      <c r="K171" t="s">
        <v>1102</v>
      </c>
      <c r="L171" t="s">
        <v>1103</v>
      </c>
      <c r="M171" t="s">
        <v>1028</v>
      </c>
      <c r="N171" t="s">
        <v>1104</v>
      </c>
      <c r="O171" t="s">
        <v>992</v>
      </c>
      <c r="P171" t="s">
        <v>1106</v>
      </c>
      <c r="Q171" t="b">
        <v>1</v>
      </c>
      <c r="R171" t="b">
        <v>0</v>
      </c>
      <c r="S171" t="s">
        <v>1032</v>
      </c>
      <c r="T171" t="s">
        <v>992</v>
      </c>
      <c r="U171" t="s">
        <v>1139</v>
      </c>
      <c r="V171" t="s">
        <v>995</v>
      </c>
      <c r="W171" t="s">
        <v>1034</v>
      </c>
      <c r="X171" t="s">
        <v>1486</v>
      </c>
    </row>
    <row r="172" spans="1:24" x14ac:dyDescent="0.25">
      <c r="A172" t="s">
        <v>42</v>
      </c>
      <c r="B172" t="s">
        <v>1487</v>
      </c>
      <c r="C172" t="s">
        <v>331</v>
      </c>
      <c r="D172" t="s">
        <v>323</v>
      </c>
      <c r="E172" t="s">
        <v>1017</v>
      </c>
      <c r="F172">
        <v>27557</v>
      </c>
      <c r="G172" t="s">
        <v>1085</v>
      </c>
      <c r="H172" t="s">
        <v>1488</v>
      </c>
      <c r="I172" t="s">
        <v>1458</v>
      </c>
      <c r="J172" t="s">
        <v>1424</v>
      </c>
      <c r="K172" t="s">
        <v>1109</v>
      </c>
      <c r="L172" t="s">
        <v>1110</v>
      </c>
      <c r="M172" t="s">
        <v>1028</v>
      </c>
      <c r="N172" t="s">
        <v>1111</v>
      </c>
      <c r="O172" t="s">
        <v>992</v>
      </c>
      <c r="P172" t="s">
        <v>1113</v>
      </c>
      <c r="Q172" t="b">
        <v>1</v>
      </c>
      <c r="R172" t="b">
        <v>0</v>
      </c>
      <c r="S172" t="s">
        <v>1032</v>
      </c>
      <c r="T172" t="s">
        <v>992</v>
      </c>
      <c r="U172" t="s">
        <v>1139</v>
      </c>
      <c r="V172" t="s">
        <v>995</v>
      </c>
      <c r="W172" t="s">
        <v>1034</v>
      </c>
      <c r="X172" t="s">
        <v>1489</v>
      </c>
    </row>
    <row r="173" spans="1:24" x14ac:dyDescent="0.25">
      <c r="A173" t="s">
        <v>42</v>
      </c>
      <c r="B173" t="s">
        <v>1490</v>
      </c>
      <c r="C173" t="s">
        <v>331</v>
      </c>
      <c r="D173" t="s">
        <v>323</v>
      </c>
      <c r="E173" t="s">
        <v>1019</v>
      </c>
      <c r="F173">
        <v>39777</v>
      </c>
      <c r="G173" t="s">
        <v>1085</v>
      </c>
      <c r="H173" t="s">
        <v>1491</v>
      </c>
      <c r="I173" t="s">
        <v>1458</v>
      </c>
      <c r="J173" t="s">
        <v>1424</v>
      </c>
      <c r="K173" t="s">
        <v>1131</v>
      </c>
      <c r="L173" t="s">
        <v>1132</v>
      </c>
      <c r="M173" t="s">
        <v>1028</v>
      </c>
      <c r="N173" t="s">
        <v>1133</v>
      </c>
      <c r="O173" t="s">
        <v>992</v>
      </c>
      <c r="P173" t="s">
        <v>1119</v>
      </c>
      <c r="Q173" t="b">
        <v>1</v>
      </c>
      <c r="R173" t="b">
        <v>0</v>
      </c>
      <c r="S173" t="s">
        <v>1032</v>
      </c>
      <c r="T173" t="s">
        <v>992</v>
      </c>
      <c r="U173" t="s">
        <v>1139</v>
      </c>
      <c r="V173" t="s">
        <v>995</v>
      </c>
      <c r="W173" t="s">
        <v>1034</v>
      </c>
      <c r="X173" t="s">
        <v>1492</v>
      </c>
    </row>
    <row r="174" spans="1:24" x14ac:dyDescent="0.25">
      <c r="A174" t="s">
        <v>42</v>
      </c>
      <c r="B174" t="s">
        <v>1493</v>
      </c>
      <c r="C174" t="s">
        <v>331</v>
      </c>
      <c r="D174" t="s">
        <v>323</v>
      </c>
      <c r="E174" t="s">
        <v>1021</v>
      </c>
      <c r="F174">
        <v>39921</v>
      </c>
      <c r="G174" t="s">
        <v>1085</v>
      </c>
      <c r="H174" t="s">
        <v>1494</v>
      </c>
      <c r="I174" t="s">
        <v>1458</v>
      </c>
      <c r="J174" t="s">
        <v>1424</v>
      </c>
      <c r="K174" t="s">
        <v>1123</v>
      </c>
      <c r="L174" t="s">
        <v>1124</v>
      </c>
      <c r="M174" t="s">
        <v>1028</v>
      </c>
      <c r="N174" t="s">
        <v>1125</v>
      </c>
      <c r="O174" t="s">
        <v>992</v>
      </c>
      <c r="P174" t="s">
        <v>1127</v>
      </c>
      <c r="Q174" t="b">
        <v>1</v>
      </c>
      <c r="R174" t="b">
        <v>0</v>
      </c>
      <c r="S174" t="s">
        <v>1032</v>
      </c>
      <c r="T174" t="s">
        <v>992</v>
      </c>
      <c r="U174" t="s">
        <v>1139</v>
      </c>
      <c r="V174" t="s">
        <v>995</v>
      </c>
      <c r="W174" t="s">
        <v>1034</v>
      </c>
      <c r="X174" t="s">
        <v>1495</v>
      </c>
    </row>
    <row r="175" spans="1:24" x14ac:dyDescent="0.25">
      <c r="A175" t="s">
        <v>42</v>
      </c>
      <c r="B175" t="s">
        <v>1496</v>
      </c>
      <c r="C175" t="s">
        <v>331</v>
      </c>
      <c r="D175" t="s">
        <v>323</v>
      </c>
      <c r="E175" t="s">
        <v>1129</v>
      </c>
      <c r="F175">
        <v>30339</v>
      </c>
      <c r="G175" t="s">
        <v>1085</v>
      </c>
      <c r="H175" t="s">
        <v>1497</v>
      </c>
      <c r="I175" t="s">
        <v>1458</v>
      </c>
      <c r="J175" t="s">
        <v>1424</v>
      </c>
      <c r="K175" t="s">
        <v>1131</v>
      </c>
      <c r="L175" t="s">
        <v>1132</v>
      </c>
      <c r="M175" t="s">
        <v>1028</v>
      </c>
      <c r="N175" t="s">
        <v>1133</v>
      </c>
      <c r="O175" t="s">
        <v>992</v>
      </c>
      <c r="P175" t="s">
        <v>1135</v>
      </c>
      <c r="Q175" t="b">
        <v>1</v>
      </c>
      <c r="R175" t="b">
        <v>0</v>
      </c>
      <c r="S175" t="s">
        <v>1032</v>
      </c>
      <c r="T175" t="s">
        <v>992</v>
      </c>
      <c r="U175" t="s">
        <v>1139</v>
      </c>
      <c r="V175" t="s">
        <v>995</v>
      </c>
      <c r="W175" t="s">
        <v>1034</v>
      </c>
      <c r="X175" t="s">
        <v>1498</v>
      </c>
    </row>
    <row r="176" spans="1:24" x14ac:dyDescent="0.25">
      <c r="A176" t="s">
        <v>42</v>
      </c>
      <c r="B176" t="s">
        <v>1499</v>
      </c>
      <c r="C176" t="s">
        <v>332</v>
      </c>
      <c r="D176" t="s">
        <v>323</v>
      </c>
      <c r="E176" t="s">
        <v>990</v>
      </c>
      <c r="F176">
        <v>6820</v>
      </c>
      <c r="G176" t="s">
        <v>1023</v>
      </c>
      <c r="H176" t="s">
        <v>1500</v>
      </c>
      <c r="I176" t="s">
        <v>1501</v>
      </c>
      <c r="J176" t="s">
        <v>1424</v>
      </c>
      <c r="K176" t="s">
        <v>1026</v>
      </c>
      <c r="L176" t="s">
        <v>1027</v>
      </c>
      <c r="M176" t="s">
        <v>1028</v>
      </c>
      <c r="N176" t="s">
        <v>1029</v>
      </c>
      <c r="O176" t="s">
        <v>992</v>
      </c>
      <c r="P176" t="s">
        <v>1031</v>
      </c>
      <c r="Q176" t="b">
        <v>1</v>
      </c>
      <c r="R176" t="b">
        <v>0</v>
      </c>
      <c r="S176" t="s">
        <v>1032</v>
      </c>
      <c r="T176" t="s">
        <v>992</v>
      </c>
      <c r="U176" t="s">
        <v>1139</v>
      </c>
      <c r="V176" t="s">
        <v>995</v>
      </c>
      <c r="W176" t="s">
        <v>1034</v>
      </c>
      <c r="X176" t="s">
        <v>992</v>
      </c>
    </row>
    <row r="177" spans="1:24" x14ac:dyDescent="0.25">
      <c r="A177" t="s">
        <v>42</v>
      </c>
      <c r="B177" t="s">
        <v>1502</v>
      </c>
      <c r="C177" t="s">
        <v>332</v>
      </c>
      <c r="D177" t="s">
        <v>323</v>
      </c>
      <c r="E177" t="s">
        <v>999</v>
      </c>
      <c r="F177">
        <v>7482</v>
      </c>
      <c r="G177" t="s">
        <v>1023</v>
      </c>
      <c r="H177" t="s">
        <v>1503</v>
      </c>
      <c r="I177" t="s">
        <v>1501</v>
      </c>
      <c r="J177" t="s">
        <v>1424</v>
      </c>
      <c r="K177" t="s">
        <v>1038</v>
      </c>
      <c r="L177" t="s">
        <v>1039</v>
      </c>
      <c r="M177" t="s">
        <v>1028</v>
      </c>
      <c r="N177" t="s">
        <v>1040</v>
      </c>
      <c r="O177" t="s">
        <v>992</v>
      </c>
      <c r="P177" t="s">
        <v>1042</v>
      </c>
      <c r="Q177" t="b">
        <v>1</v>
      </c>
      <c r="R177" t="b">
        <v>0</v>
      </c>
      <c r="S177" t="s">
        <v>1032</v>
      </c>
      <c r="T177" t="s">
        <v>992</v>
      </c>
      <c r="U177" t="s">
        <v>1139</v>
      </c>
      <c r="V177" t="s">
        <v>995</v>
      </c>
      <c r="W177" t="s">
        <v>1034</v>
      </c>
      <c r="X177" t="s">
        <v>992</v>
      </c>
    </row>
    <row r="178" spans="1:24" x14ac:dyDescent="0.25">
      <c r="A178" t="s">
        <v>42</v>
      </c>
      <c r="B178" t="s">
        <v>1504</v>
      </c>
      <c r="C178" t="s">
        <v>332</v>
      </c>
      <c r="D178" t="s">
        <v>323</v>
      </c>
      <c r="E178" t="s">
        <v>1001</v>
      </c>
      <c r="F178">
        <v>7351</v>
      </c>
      <c r="G178" t="s">
        <v>1023</v>
      </c>
      <c r="H178" t="s">
        <v>1505</v>
      </c>
      <c r="I178" t="s">
        <v>1501</v>
      </c>
      <c r="J178" t="s">
        <v>1424</v>
      </c>
      <c r="K178" t="s">
        <v>1045</v>
      </c>
      <c r="L178" t="s">
        <v>1046</v>
      </c>
      <c r="M178" t="s">
        <v>1028</v>
      </c>
      <c r="N178" t="s">
        <v>1047</v>
      </c>
      <c r="O178" t="s">
        <v>992</v>
      </c>
      <c r="P178" t="s">
        <v>1049</v>
      </c>
      <c r="Q178" t="b">
        <v>1</v>
      </c>
      <c r="R178" t="b">
        <v>0</v>
      </c>
      <c r="S178" t="s">
        <v>1032</v>
      </c>
      <c r="T178" t="s">
        <v>992</v>
      </c>
      <c r="U178" t="s">
        <v>1139</v>
      </c>
      <c r="V178" t="s">
        <v>995</v>
      </c>
      <c r="W178" t="s">
        <v>1034</v>
      </c>
      <c r="X178" t="s">
        <v>992</v>
      </c>
    </row>
    <row r="179" spans="1:24" x14ac:dyDescent="0.25">
      <c r="A179" t="s">
        <v>42</v>
      </c>
      <c r="B179" t="s">
        <v>1506</v>
      </c>
      <c r="C179" t="s">
        <v>332</v>
      </c>
      <c r="D179" t="s">
        <v>323</v>
      </c>
      <c r="E179" t="s">
        <v>1003</v>
      </c>
      <c r="F179">
        <v>6331</v>
      </c>
      <c r="G179" t="s">
        <v>1023</v>
      </c>
      <c r="H179" t="s">
        <v>1507</v>
      </c>
      <c r="I179" t="s">
        <v>1501</v>
      </c>
      <c r="J179" t="s">
        <v>1424</v>
      </c>
      <c r="K179" t="s">
        <v>1087</v>
      </c>
      <c r="L179" t="s">
        <v>1088</v>
      </c>
      <c r="M179" t="s">
        <v>1056</v>
      </c>
      <c r="N179" t="s">
        <v>1089</v>
      </c>
      <c r="O179" t="s">
        <v>992</v>
      </c>
      <c r="P179" t="s">
        <v>1058</v>
      </c>
      <c r="Q179" t="b">
        <v>1</v>
      </c>
      <c r="R179" t="b">
        <v>0</v>
      </c>
      <c r="S179" t="s">
        <v>1032</v>
      </c>
      <c r="T179" t="s">
        <v>992</v>
      </c>
      <c r="U179" t="s">
        <v>1139</v>
      </c>
      <c r="V179" t="s">
        <v>995</v>
      </c>
      <c r="W179" t="s">
        <v>1034</v>
      </c>
      <c r="X179" t="s">
        <v>992</v>
      </c>
    </row>
    <row r="180" spans="1:24" x14ac:dyDescent="0.25">
      <c r="A180" t="s">
        <v>42</v>
      </c>
      <c r="B180" t="s">
        <v>1508</v>
      </c>
      <c r="C180" t="s">
        <v>332</v>
      </c>
      <c r="D180" t="s">
        <v>323</v>
      </c>
      <c r="E180" t="s">
        <v>1005</v>
      </c>
      <c r="F180">
        <v>6511</v>
      </c>
      <c r="G180" t="s">
        <v>1023</v>
      </c>
      <c r="H180" t="s">
        <v>1509</v>
      </c>
      <c r="I180" t="s">
        <v>1501</v>
      </c>
      <c r="J180" t="s">
        <v>1424</v>
      </c>
      <c r="K180" t="s">
        <v>1065</v>
      </c>
      <c r="L180" t="s">
        <v>1066</v>
      </c>
      <c r="M180" t="s">
        <v>1028</v>
      </c>
      <c r="N180" t="s">
        <v>1067</v>
      </c>
      <c r="O180" t="s">
        <v>992</v>
      </c>
      <c r="P180" t="s">
        <v>1069</v>
      </c>
      <c r="Q180" t="b">
        <v>1</v>
      </c>
      <c r="R180" t="b">
        <v>0</v>
      </c>
      <c r="S180" t="s">
        <v>1032</v>
      </c>
      <c r="T180" t="s">
        <v>992</v>
      </c>
      <c r="U180" t="s">
        <v>1139</v>
      </c>
      <c r="V180" t="s">
        <v>995</v>
      </c>
      <c r="W180" t="s">
        <v>1034</v>
      </c>
      <c r="X180" t="s">
        <v>992</v>
      </c>
    </row>
    <row r="181" spans="1:24" x14ac:dyDescent="0.25">
      <c r="A181" t="s">
        <v>42</v>
      </c>
      <c r="B181" t="s">
        <v>1510</v>
      </c>
      <c r="C181" t="s">
        <v>332</v>
      </c>
      <c r="D181" t="s">
        <v>323</v>
      </c>
      <c r="E181" t="s">
        <v>1007</v>
      </c>
      <c r="F181">
        <v>6232</v>
      </c>
      <c r="G181" t="s">
        <v>1023</v>
      </c>
      <c r="H181" t="s">
        <v>1511</v>
      </c>
      <c r="I181" t="s">
        <v>1501</v>
      </c>
      <c r="J181" t="s">
        <v>1424</v>
      </c>
      <c r="K181" t="s">
        <v>1072</v>
      </c>
      <c r="L181" t="s">
        <v>1073</v>
      </c>
      <c r="M181" t="s">
        <v>1028</v>
      </c>
      <c r="N181" t="s">
        <v>1074</v>
      </c>
      <c r="O181" t="s">
        <v>992</v>
      </c>
      <c r="P181" t="s">
        <v>1076</v>
      </c>
      <c r="Q181" t="b">
        <v>1</v>
      </c>
      <c r="R181" t="b">
        <v>0</v>
      </c>
      <c r="S181" t="s">
        <v>1032</v>
      </c>
      <c r="T181" t="s">
        <v>992</v>
      </c>
      <c r="U181" t="s">
        <v>1139</v>
      </c>
      <c r="V181" t="s">
        <v>995</v>
      </c>
      <c r="W181" t="s">
        <v>1034</v>
      </c>
      <c r="X181" t="s">
        <v>992</v>
      </c>
    </row>
    <row r="182" spans="1:24" x14ac:dyDescent="0.25">
      <c r="A182" t="s">
        <v>42</v>
      </c>
      <c r="B182" t="s">
        <v>1512</v>
      </c>
      <c r="C182" t="s">
        <v>332</v>
      </c>
      <c r="D182" t="s">
        <v>323</v>
      </c>
      <c r="E182" t="s">
        <v>1009</v>
      </c>
      <c r="F182">
        <v>6165</v>
      </c>
      <c r="G182" t="s">
        <v>1023</v>
      </c>
      <c r="H182" t="s">
        <v>1513</v>
      </c>
      <c r="I182" t="s">
        <v>1501</v>
      </c>
      <c r="J182" t="s">
        <v>1424</v>
      </c>
      <c r="K182" t="s">
        <v>1079</v>
      </c>
      <c r="L182" t="s">
        <v>1080</v>
      </c>
      <c r="M182" t="s">
        <v>1028</v>
      </c>
      <c r="N182" t="s">
        <v>1081</v>
      </c>
      <c r="O182" t="s">
        <v>992</v>
      </c>
      <c r="P182" t="s">
        <v>1083</v>
      </c>
      <c r="Q182" t="b">
        <v>1</v>
      </c>
      <c r="R182" t="b">
        <v>0</v>
      </c>
      <c r="S182" t="s">
        <v>1032</v>
      </c>
      <c r="T182" t="s">
        <v>992</v>
      </c>
      <c r="U182" t="s">
        <v>1139</v>
      </c>
      <c r="V182" t="s">
        <v>995</v>
      </c>
      <c r="W182" t="s">
        <v>1034</v>
      </c>
      <c r="X182" t="s">
        <v>992</v>
      </c>
    </row>
    <row r="183" spans="1:24" x14ac:dyDescent="0.25">
      <c r="A183" t="s">
        <v>42</v>
      </c>
      <c r="B183" t="s">
        <v>1514</v>
      </c>
      <c r="C183" t="s">
        <v>332</v>
      </c>
      <c r="D183" t="s">
        <v>323</v>
      </c>
      <c r="E183" t="s">
        <v>1011</v>
      </c>
      <c r="F183">
        <v>7286</v>
      </c>
      <c r="G183" t="s">
        <v>1023</v>
      </c>
      <c r="H183" t="s">
        <v>1515</v>
      </c>
      <c r="I183" t="s">
        <v>1501</v>
      </c>
      <c r="J183" t="s">
        <v>1424</v>
      </c>
      <c r="K183" t="s">
        <v>1116</v>
      </c>
      <c r="L183" t="s">
        <v>1117</v>
      </c>
      <c r="M183" t="s">
        <v>1056</v>
      </c>
      <c r="N183" t="s">
        <v>1118</v>
      </c>
      <c r="O183" t="s">
        <v>992</v>
      </c>
      <c r="P183" t="s">
        <v>1090</v>
      </c>
      <c r="Q183" t="b">
        <v>1</v>
      </c>
      <c r="R183" t="b">
        <v>0</v>
      </c>
      <c r="S183" t="s">
        <v>1032</v>
      </c>
      <c r="T183" t="s">
        <v>992</v>
      </c>
      <c r="U183" t="s">
        <v>1139</v>
      </c>
      <c r="V183" t="s">
        <v>995</v>
      </c>
      <c r="W183" t="s">
        <v>1034</v>
      </c>
      <c r="X183" t="s">
        <v>992</v>
      </c>
    </row>
    <row r="184" spans="1:24" x14ac:dyDescent="0.25">
      <c r="A184" t="s">
        <v>42</v>
      </c>
      <c r="B184" t="s">
        <v>1516</v>
      </c>
      <c r="C184" t="s">
        <v>332</v>
      </c>
      <c r="D184" t="s">
        <v>323</v>
      </c>
      <c r="E184" t="s">
        <v>1013</v>
      </c>
      <c r="F184">
        <v>6911</v>
      </c>
      <c r="G184" t="s">
        <v>1023</v>
      </c>
      <c r="H184" t="s">
        <v>1517</v>
      </c>
      <c r="I184" t="s">
        <v>1501</v>
      </c>
      <c r="J184" t="s">
        <v>1424</v>
      </c>
      <c r="K184" t="s">
        <v>1094</v>
      </c>
      <c r="L184" t="s">
        <v>1095</v>
      </c>
      <c r="M184" t="s">
        <v>1028</v>
      </c>
      <c r="N184" t="s">
        <v>1096</v>
      </c>
      <c r="O184" t="s">
        <v>992</v>
      </c>
      <c r="P184" t="s">
        <v>1098</v>
      </c>
      <c r="Q184" t="b">
        <v>1</v>
      </c>
      <c r="R184" t="b">
        <v>0</v>
      </c>
      <c r="S184" t="s">
        <v>1032</v>
      </c>
      <c r="T184" t="s">
        <v>992</v>
      </c>
      <c r="U184" t="s">
        <v>1139</v>
      </c>
      <c r="V184" t="s">
        <v>995</v>
      </c>
      <c r="W184" t="s">
        <v>1034</v>
      </c>
      <c r="X184" t="s">
        <v>992</v>
      </c>
    </row>
    <row r="185" spans="1:24" x14ac:dyDescent="0.25">
      <c r="A185" t="s">
        <v>42</v>
      </c>
      <c r="B185" t="s">
        <v>1518</v>
      </c>
      <c r="C185" t="s">
        <v>332</v>
      </c>
      <c r="D185" t="s">
        <v>323</v>
      </c>
      <c r="E185" t="s">
        <v>1015</v>
      </c>
      <c r="F185">
        <v>6269</v>
      </c>
      <c r="G185" t="s">
        <v>1023</v>
      </c>
      <c r="H185" t="s">
        <v>1519</v>
      </c>
      <c r="I185" t="s">
        <v>1501</v>
      </c>
      <c r="J185" t="s">
        <v>1424</v>
      </c>
      <c r="K185" t="s">
        <v>1102</v>
      </c>
      <c r="L185" t="s">
        <v>1103</v>
      </c>
      <c r="M185" t="s">
        <v>1028</v>
      </c>
      <c r="N185" t="s">
        <v>1104</v>
      </c>
      <c r="O185" t="s">
        <v>992</v>
      </c>
      <c r="P185" t="s">
        <v>1106</v>
      </c>
      <c r="Q185" t="b">
        <v>1</v>
      </c>
      <c r="R185" t="b">
        <v>0</v>
      </c>
      <c r="S185" t="s">
        <v>1032</v>
      </c>
      <c r="T185" t="s">
        <v>992</v>
      </c>
      <c r="U185" t="s">
        <v>1139</v>
      </c>
      <c r="V185" t="s">
        <v>995</v>
      </c>
      <c r="W185" t="s">
        <v>1034</v>
      </c>
      <c r="X185" t="s">
        <v>992</v>
      </c>
    </row>
    <row r="186" spans="1:24" x14ac:dyDescent="0.25">
      <c r="A186" t="s">
        <v>42</v>
      </c>
      <c r="B186" t="s">
        <v>1520</v>
      </c>
      <c r="C186" t="s">
        <v>332</v>
      </c>
      <c r="D186" t="s">
        <v>323</v>
      </c>
      <c r="E186" t="s">
        <v>1017</v>
      </c>
      <c r="F186">
        <v>5925</v>
      </c>
      <c r="G186" t="s">
        <v>1023</v>
      </c>
      <c r="H186" t="s">
        <v>1521</v>
      </c>
      <c r="I186" t="s">
        <v>1501</v>
      </c>
      <c r="J186" t="s">
        <v>1424</v>
      </c>
      <c r="K186" t="s">
        <v>1109</v>
      </c>
      <c r="L186" t="s">
        <v>1110</v>
      </c>
      <c r="M186" t="s">
        <v>1028</v>
      </c>
      <c r="N186" t="s">
        <v>1111</v>
      </c>
      <c r="O186" t="s">
        <v>992</v>
      </c>
      <c r="P186" t="s">
        <v>1113</v>
      </c>
      <c r="Q186" t="b">
        <v>1</v>
      </c>
      <c r="R186" t="b">
        <v>0</v>
      </c>
      <c r="S186" t="s">
        <v>1032</v>
      </c>
      <c r="T186" t="s">
        <v>992</v>
      </c>
      <c r="U186" t="s">
        <v>1139</v>
      </c>
      <c r="V186" t="s">
        <v>995</v>
      </c>
      <c r="W186" t="s">
        <v>1034</v>
      </c>
      <c r="X186" t="s">
        <v>992</v>
      </c>
    </row>
    <row r="187" spans="1:24" x14ac:dyDescent="0.25">
      <c r="A187" t="s">
        <v>42</v>
      </c>
      <c r="B187" t="s">
        <v>1522</v>
      </c>
      <c r="C187" t="s">
        <v>332</v>
      </c>
      <c r="D187" t="s">
        <v>323</v>
      </c>
      <c r="E187" t="s">
        <v>1019</v>
      </c>
      <c r="F187">
        <v>5718</v>
      </c>
      <c r="G187" t="s">
        <v>1023</v>
      </c>
      <c r="H187" t="s">
        <v>1523</v>
      </c>
      <c r="I187" t="s">
        <v>1501</v>
      </c>
      <c r="J187" t="s">
        <v>1424</v>
      </c>
      <c r="K187" t="s">
        <v>1131</v>
      </c>
      <c r="L187" t="s">
        <v>1132</v>
      </c>
      <c r="M187" t="s">
        <v>1028</v>
      </c>
      <c r="N187" t="s">
        <v>1133</v>
      </c>
      <c r="O187" t="s">
        <v>992</v>
      </c>
      <c r="P187" t="s">
        <v>1119</v>
      </c>
      <c r="Q187" t="b">
        <v>1</v>
      </c>
      <c r="R187" t="b">
        <v>0</v>
      </c>
      <c r="S187" t="s">
        <v>1032</v>
      </c>
      <c r="T187" t="s">
        <v>992</v>
      </c>
      <c r="U187" t="s">
        <v>1139</v>
      </c>
      <c r="V187" t="s">
        <v>995</v>
      </c>
      <c r="W187" t="s">
        <v>1034</v>
      </c>
      <c r="X187" t="s">
        <v>992</v>
      </c>
    </row>
    <row r="188" spans="1:24" x14ac:dyDescent="0.25">
      <c r="A188" t="s">
        <v>42</v>
      </c>
      <c r="B188" t="s">
        <v>1524</v>
      </c>
      <c r="C188" t="s">
        <v>332</v>
      </c>
      <c r="D188" t="s">
        <v>323</v>
      </c>
      <c r="E188" t="s">
        <v>1021</v>
      </c>
      <c r="F188">
        <v>5875</v>
      </c>
      <c r="G188" t="s">
        <v>1023</v>
      </c>
      <c r="H188" t="s">
        <v>1525</v>
      </c>
      <c r="I188" t="s">
        <v>1501</v>
      </c>
      <c r="J188" t="s">
        <v>1424</v>
      </c>
      <c r="K188" t="s">
        <v>1123</v>
      </c>
      <c r="L188" t="s">
        <v>1124</v>
      </c>
      <c r="M188" t="s">
        <v>1028</v>
      </c>
      <c r="N188" t="s">
        <v>1125</v>
      </c>
      <c r="O188" t="s">
        <v>992</v>
      </c>
      <c r="P188" t="s">
        <v>1127</v>
      </c>
      <c r="Q188" t="b">
        <v>1</v>
      </c>
      <c r="R188" t="b">
        <v>0</v>
      </c>
      <c r="S188" t="s">
        <v>1032</v>
      </c>
      <c r="T188" t="s">
        <v>992</v>
      </c>
      <c r="U188" t="s">
        <v>1139</v>
      </c>
      <c r="V188" t="s">
        <v>995</v>
      </c>
      <c r="W188" t="s">
        <v>1034</v>
      </c>
      <c r="X188" t="s">
        <v>992</v>
      </c>
    </row>
    <row r="189" spans="1:24" x14ac:dyDescent="0.25">
      <c r="A189" t="s">
        <v>42</v>
      </c>
      <c r="B189" t="s">
        <v>1526</v>
      </c>
      <c r="C189" t="s">
        <v>332</v>
      </c>
      <c r="D189" t="s">
        <v>323</v>
      </c>
      <c r="E189" t="s">
        <v>1129</v>
      </c>
      <c r="F189">
        <v>6747</v>
      </c>
      <c r="G189" t="s">
        <v>1023</v>
      </c>
      <c r="H189" t="s">
        <v>1527</v>
      </c>
      <c r="I189" t="s">
        <v>1501</v>
      </c>
      <c r="J189" t="s">
        <v>1424</v>
      </c>
      <c r="K189" t="s">
        <v>1131</v>
      </c>
      <c r="L189" t="s">
        <v>1132</v>
      </c>
      <c r="M189" t="s">
        <v>1028</v>
      </c>
      <c r="N189" t="s">
        <v>1133</v>
      </c>
      <c r="O189" t="s">
        <v>992</v>
      </c>
      <c r="P189" t="s">
        <v>1135</v>
      </c>
      <c r="Q189" t="b">
        <v>1</v>
      </c>
      <c r="R189" t="b">
        <v>0</v>
      </c>
      <c r="S189" t="s">
        <v>1032</v>
      </c>
      <c r="T189" t="s">
        <v>992</v>
      </c>
      <c r="U189" t="s">
        <v>1139</v>
      </c>
      <c r="V189" t="s">
        <v>995</v>
      </c>
      <c r="W189" t="s">
        <v>1034</v>
      </c>
      <c r="X189" t="s">
        <v>992</v>
      </c>
    </row>
    <row r="190" spans="1:24" x14ac:dyDescent="0.25">
      <c r="A190" t="s">
        <v>42</v>
      </c>
      <c r="B190" t="s">
        <v>1528</v>
      </c>
      <c r="C190" t="s">
        <v>333</v>
      </c>
      <c r="D190" t="s">
        <v>323</v>
      </c>
      <c r="E190" t="s">
        <v>990</v>
      </c>
      <c r="F190">
        <v>77670</v>
      </c>
      <c r="G190" t="s">
        <v>1085</v>
      </c>
      <c r="H190" t="s">
        <v>1529</v>
      </c>
      <c r="I190" t="s">
        <v>1530</v>
      </c>
      <c r="J190" t="s">
        <v>1424</v>
      </c>
      <c r="K190" t="s">
        <v>1026</v>
      </c>
      <c r="L190" t="s">
        <v>1027</v>
      </c>
      <c r="M190" t="s">
        <v>1028</v>
      </c>
      <c r="N190" t="s">
        <v>1029</v>
      </c>
      <c r="O190" t="s">
        <v>992</v>
      </c>
      <c r="P190" t="s">
        <v>1031</v>
      </c>
      <c r="Q190" t="b">
        <v>1</v>
      </c>
      <c r="R190" t="b">
        <v>0</v>
      </c>
      <c r="S190" t="s">
        <v>1032</v>
      </c>
      <c r="T190" t="s">
        <v>992</v>
      </c>
      <c r="U190" t="s">
        <v>1139</v>
      </c>
      <c r="V190" t="s">
        <v>995</v>
      </c>
      <c r="W190" t="s">
        <v>1034</v>
      </c>
      <c r="X190" t="s">
        <v>1531</v>
      </c>
    </row>
    <row r="191" spans="1:24" x14ac:dyDescent="0.25">
      <c r="A191" t="s">
        <v>42</v>
      </c>
      <c r="B191" t="s">
        <v>1532</v>
      </c>
      <c r="C191" t="s">
        <v>333</v>
      </c>
      <c r="D191" t="s">
        <v>323</v>
      </c>
      <c r="E191" t="s">
        <v>999</v>
      </c>
      <c r="F191">
        <v>62808</v>
      </c>
      <c r="G191" t="s">
        <v>1085</v>
      </c>
      <c r="H191" t="s">
        <v>1533</v>
      </c>
      <c r="I191" t="s">
        <v>1530</v>
      </c>
      <c r="J191" t="s">
        <v>1424</v>
      </c>
      <c r="K191" t="s">
        <v>1038</v>
      </c>
      <c r="L191" t="s">
        <v>1039</v>
      </c>
      <c r="M191" t="s">
        <v>1028</v>
      </c>
      <c r="N191" t="s">
        <v>1040</v>
      </c>
      <c r="O191" t="s">
        <v>992</v>
      </c>
      <c r="P191" t="s">
        <v>1042</v>
      </c>
      <c r="Q191" t="b">
        <v>1</v>
      </c>
      <c r="R191" t="b">
        <v>0</v>
      </c>
      <c r="S191" t="s">
        <v>1032</v>
      </c>
      <c r="T191" t="s">
        <v>992</v>
      </c>
      <c r="U191" t="s">
        <v>1139</v>
      </c>
      <c r="V191" t="s">
        <v>995</v>
      </c>
      <c r="W191" t="s">
        <v>1034</v>
      </c>
      <c r="X191" t="s">
        <v>1534</v>
      </c>
    </row>
    <row r="192" spans="1:24" x14ac:dyDescent="0.25">
      <c r="A192" t="s">
        <v>42</v>
      </c>
      <c r="B192" t="s">
        <v>1535</v>
      </c>
      <c r="C192" t="s">
        <v>333</v>
      </c>
      <c r="D192" t="s">
        <v>323</v>
      </c>
      <c r="E192" t="s">
        <v>1001</v>
      </c>
      <c r="F192">
        <v>67351</v>
      </c>
      <c r="G192" t="s">
        <v>1085</v>
      </c>
      <c r="H192" t="s">
        <v>1536</v>
      </c>
      <c r="I192" t="s">
        <v>1530</v>
      </c>
      <c r="J192" t="s">
        <v>1424</v>
      </c>
      <c r="K192" t="s">
        <v>1045</v>
      </c>
      <c r="L192" t="s">
        <v>1046</v>
      </c>
      <c r="M192" t="s">
        <v>1028</v>
      </c>
      <c r="N192" t="s">
        <v>1047</v>
      </c>
      <c r="O192" t="s">
        <v>992</v>
      </c>
      <c r="P192" t="s">
        <v>1049</v>
      </c>
      <c r="Q192" t="b">
        <v>1</v>
      </c>
      <c r="R192" t="b">
        <v>0</v>
      </c>
      <c r="S192" t="s">
        <v>1032</v>
      </c>
      <c r="T192" t="s">
        <v>992</v>
      </c>
      <c r="U192" t="s">
        <v>1139</v>
      </c>
      <c r="V192" t="s">
        <v>995</v>
      </c>
      <c r="W192" t="s">
        <v>1034</v>
      </c>
      <c r="X192" t="s">
        <v>1537</v>
      </c>
    </row>
    <row r="193" spans="1:24" x14ac:dyDescent="0.25">
      <c r="A193" t="s">
        <v>42</v>
      </c>
      <c r="B193" t="s">
        <v>1538</v>
      </c>
      <c r="C193" t="s">
        <v>333</v>
      </c>
      <c r="D193" t="s">
        <v>323</v>
      </c>
      <c r="E193" t="s">
        <v>1003</v>
      </c>
      <c r="F193">
        <v>77762</v>
      </c>
      <c r="G193" t="s">
        <v>1085</v>
      </c>
      <c r="H193" t="s">
        <v>1539</v>
      </c>
      <c r="I193" t="s">
        <v>1530</v>
      </c>
      <c r="J193" t="s">
        <v>1424</v>
      </c>
      <c r="K193" t="s">
        <v>1087</v>
      </c>
      <c r="L193" t="s">
        <v>1088</v>
      </c>
      <c r="M193" t="s">
        <v>1056</v>
      </c>
      <c r="N193" t="s">
        <v>1089</v>
      </c>
      <c r="O193" t="s">
        <v>992</v>
      </c>
      <c r="P193" t="s">
        <v>1058</v>
      </c>
      <c r="Q193" t="b">
        <v>1</v>
      </c>
      <c r="R193" t="b">
        <v>0</v>
      </c>
      <c r="S193" t="s">
        <v>1032</v>
      </c>
      <c r="T193" t="s">
        <v>992</v>
      </c>
      <c r="U193" t="s">
        <v>1139</v>
      </c>
      <c r="V193" t="s">
        <v>995</v>
      </c>
      <c r="W193" t="s">
        <v>1034</v>
      </c>
      <c r="X193" t="s">
        <v>1540</v>
      </c>
    </row>
    <row r="194" spans="1:24" x14ac:dyDescent="0.25">
      <c r="A194" t="s">
        <v>42</v>
      </c>
      <c r="B194" t="s">
        <v>1541</v>
      </c>
      <c r="C194" t="s">
        <v>333</v>
      </c>
      <c r="D194" t="s">
        <v>323</v>
      </c>
      <c r="E194" t="s">
        <v>1005</v>
      </c>
      <c r="F194">
        <v>73227</v>
      </c>
      <c r="G194" t="s">
        <v>1085</v>
      </c>
      <c r="H194" t="s">
        <v>1542</v>
      </c>
      <c r="I194" t="s">
        <v>1530</v>
      </c>
      <c r="J194" t="s">
        <v>1424</v>
      </c>
      <c r="K194" t="s">
        <v>1065</v>
      </c>
      <c r="L194" t="s">
        <v>1066</v>
      </c>
      <c r="M194" t="s">
        <v>1028</v>
      </c>
      <c r="N194" t="s">
        <v>1067</v>
      </c>
      <c r="O194" t="s">
        <v>992</v>
      </c>
      <c r="P194" t="s">
        <v>1069</v>
      </c>
      <c r="Q194" t="b">
        <v>1</v>
      </c>
      <c r="R194" t="b">
        <v>0</v>
      </c>
      <c r="S194" t="s">
        <v>1032</v>
      </c>
      <c r="T194" t="s">
        <v>992</v>
      </c>
      <c r="U194" t="s">
        <v>1139</v>
      </c>
      <c r="V194" t="s">
        <v>995</v>
      </c>
      <c r="W194" t="s">
        <v>1034</v>
      </c>
      <c r="X194" t="s">
        <v>1543</v>
      </c>
    </row>
    <row r="195" spans="1:24" x14ac:dyDescent="0.25">
      <c r="A195" t="s">
        <v>42</v>
      </c>
      <c r="B195" t="s">
        <v>1544</v>
      </c>
      <c r="C195" t="s">
        <v>333</v>
      </c>
      <c r="D195" t="s">
        <v>323</v>
      </c>
      <c r="E195" t="s">
        <v>1007</v>
      </c>
      <c r="F195">
        <v>67652</v>
      </c>
      <c r="G195" t="s">
        <v>1085</v>
      </c>
      <c r="H195" t="s">
        <v>1545</v>
      </c>
      <c r="I195" t="s">
        <v>1530</v>
      </c>
      <c r="J195" t="s">
        <v>1424</v>
      </c>
      <c r="K195" t="s">
        <v>1072</v>
      </c>
      <c r="L195" t="s">
        <v>1073</v>
      </c>
      <c r="M195" t="s">
        <v>1028</v>
      </c>
      <c r="N195" t="s">
        <v>1074</v>
      </c>
      <c r="O195" t="s">
        <v>992</v>
      </c>
      <c r="P195" t="s">
        <v>1076</v>
      </c>
      <c r="Q195" t="b">
        <v>1</v>
      </c>
      <c r="R195" t="b">
        <v>0</v>
      </c>
      <c r="S195" t="s">
        <v>1032</v>
      </c>
      <c r="T195" t="s">
        <v>992</v>
      </c>
      <c r="U195" t="s">
        <v>1139</v>
      </c>
      <c r="V195" t="s">
        <v>995</v>
      </c>
      <c r="W195" t="s">
        <v>1034</v>
      </c>
      <c r="X195" t="s">
        <v>1546</v>
      </c>
    </row>
    <row r="196" spans="1:24" x14ac:dyDescent="0.25">
      <c r="A196" t="s">
        <v>42</v>
      </c>
      <c r="B196" t="s">
        <v>1547</v>
      </c>
      <c r="C196" t="s">
        <v>333</v>
      </c>
      <c r="D196" t="s">
        <v>323</v>
      </c>
      <c r="E196" t="s">
        <v>1009</v>
      </c>
      <c r="F196">
        <v>70910</v>
      </c>
      <c r="G196" t="s">
        <v>1085</v>
      </c>
      <c r="H196" t="s">
        <v>1548</v>
      </c>
      <c r="I196" t="s">
        <v>1530</v>
      </c>
      <c r="J196" t="s">
        <v>1424</v>
      </c>
      <c r="K196" t="s">
        <v>1079</v>
      </c>
      <c r="L196" t="s">
        <v>1080</v>
      </c>
      <c r="M196" t="s">
        <v>1028</v>
      </c>
      <c r="N196" t="s">
        <v>1081</v>
      </c>
      <c r="O196" t="s">
        <v>992</v>
      </c>
      <c r="P196" t="s">
        <v>1083</v>
      </c>
      <c r="Q196" t="b">
        <v>1</v>
      </c>
      <c r="R196" t="b">
        <v>0</v>
      </c>
      <c r="S196" t="s">
        <v>1032</v>
      </c>
      <c r="T196" t="s">
        <v>992</v>
      </c>
      <c r="U196" t="s">
        <v>1139</v>
      </c>
      <c r="V196" t="s">
        <v>995</v>
      </c>
      <c r="W196" t="s">
        <v>1034</v>
      </c>
      <c r="X196" t="s">
        <v>1549</v>
      </c>
    </row>
    <row r="197" spans="1:24" x14ac:dyDescent="0.25">
      <c r="A197" t="s">
        <v>42</v>
      </c>
      <c r="B197" t="s">
        <v>1550</v>
      </c>
      <c r="C197" t="s">
        <v>333</v>
      </c>
      <c r="D197" t="s">
        <v>323</v>
      </c>
      <c r="E197" t="s">
        <v>1011</v>
      </c>
      <c r="F197">
        <v>82348</v>
      </c>
      <c r="G197" t="s">
        <v>1085</v>
      </c>
      <c r="H197" t="s">
        <v>1551</v>
      </c>
      <c r="I197" t="s">
        <v>1530</v>
      </c>
      <c r="J197" t="s">
        <v>1424</v>
      </c>
      <c r="K197" t="s">
        <v>1116</v>
      </c>
      <c r="L197" t="s">
        <v>1117</v>
      </c>
      <c r="M197" t="s">
        <v>1056</v>
      </c>
      <c r="N197" t="s">
        <v>1118</v>
      </c>
      <c r="O197" t="s">
        <v>992</v>
      </c>
      <c r="P197" t="s">
        <v>1090</v>
      </c>
      <c r="Q197" t="b">
        <v>1</v>
      </c>
      <c r="R197" t="b">
        <v>0</v>
      </c>
      <c r="S197" t="s">
        <v>1032</v>
      </c>
      <c r="T197" t="s">
        <v>992</v>
      </c>
      <c r="U197" t="s">
        <v>1139</v>
      </c>
      <c r="V197" t="s">
        <v>995</v>
      </c>
      <c r="W197" t="s">
        <v>1034</v>
      </c>
      <c r="X197" t="s">
        <v>1552</v>
      </c>
    </row>
    <row r="198" spans="1:24" x14ac:dyDescent="0.25">
      <c r="A198" t="s">
        <v>42</v>
      </c>
      <c r="B198" t="s">
        <v>1553</v>
      </c>
      <c r="C198" t="s">
        <v>333</v>
      </c>
      <c r="D198" t="s">
        <v>323</v>
      </c>
      <c r="E198" t="s">
        <v>1013</v>
      </c>
      <c r="F198">
        <v>66391</v>
      </c>
      <c r="G198" t="s">
        <v>1085</v>
      </c>
      <c r="H198" t="s">
        <v>1554</v>
      </c>
      <c r="I198" t="s">
        <v>1530</v>
      </c>
      <c r="J198" t="s">
        <v>1424</v>
      </c>
      <c r="K198" t="s">
        <v>1094</v>
      </c>
      <c r="L198" t="s">
        <v>1095</v>
      </c>
      <c r="M198" t="s">
        <v>1028</v>
      </c>
      <c r="N198" t="s">
        <v>1096</v>
      </c>
      <c r="O198" t="s">
        <v>992</v>
      </c>
      <c r="P198" t="s">
        <v>1098</v>
      </c>
      <c r="Q198" t="b">
        <v>1</v>
      </c>
      <c r="R198" t="b">
        <v>0</v>
      </c>
      <c r="S198" t="s">
        <v>1032</v>
      </c>
      <c r="T198" t="s">
        <v>992</v>
      </c>
      <c r="U198" t="s">
        <v>1139</v>
      </c>
      <c r="V198" t="s">
        <v>995</v>
      </c>
      <c r="W198" t="s">
        <v>1034</v>
      </c>
      <c r="X198" t="s">
        <v>1555</v>
      </c>
    </row>
    <row r="199" spans="1:24" x14ac:dyDescent="0.25">
      <c r="A199" t="s">
        <v>42</v>
      </c>
      <c r="B199" t="s">
        <v>1556</v>
      </c>
      <c r="C199" t="s">
        <v>333</v>
      </c>
      <c r="D199" t="s">
        <v>323</v>
      </c>
      <c r="E199" t="s">
        <v>1015</v>
      </c>
      <c r="F199">
        <v>58107</v>
      </c>
      <c r="G199" t="s">
        <v>1085</v>
      </c>
      <c r="H199" t="s">
        <v>1557</v>
      </c>
      <c r="I199" t="s">
        <v>1530</v>
      </c>
      <c r="J199" t="s">
        <v>1424</v>
      </c>
      <c r="K199" t="s">
        <v>1102</v>
      </c>
      <c r="L199" t="s">
        <v>1103</v>
      </c>
      <c r="M199" t="s">
        <v>1028</v>
      </c>
      <c r="N199" t="s">
        <v>1104</v>
      </c>
      <c r="O199" t="s">
        <v>992</v>
      </c>
      <c r="P199" t="s">
        <v>1106</v>
      </c>
      <c r="Q199" t="b">
        <v>1</v>
      </c>
      <c r="R199" t="b">
        <v>0</v>
      </c>
      <c r="S199" t="s">
        <v>1032</v>
      </c>
      <c r="T199" t="s">
        <v>992</v>
      </c>
      <c r="U199" t="s">
        <v>1139</v>
      </c>
      <c r="V199" t="s">
        <v>995</v>
      </c>
      <c r="W199" t="s">
        <v>1034</v>
      </c>
      <c r="X199" t="s">
        <v>1558</v>
      </c>
    </row>
    <row r="200" spans="1:24" x14ac:dyDescent="0.25">
      <c r="A200" t="s">
        <v>42</v>
      </c>
      <c r="B200" t="s">
        <v>1559</v>
      </c>
      <c r="C200" t="s">
        <v>333</v>
      </c>
      <c r="D200" t="s">
        <v>323</v>
      </c>
      <c r="E200" t="s">
        <v>1017</v>
      </c>
      <c r="F200">
        <v>52740</v>
      </c>
      <c r="G200" t="s">
        <v>1085</v>
      </c>
      <c r="H200" t="s">
        <v>1560</v>
      </c>
      <c r="I200" t="s">
        <v>1530</v>
      </c>
      <c r="J200" t="s">
        <v>1424</v>
      </c>
      <c r="K200" t="s">
        <v>1109</v>
      </c>
      <c r="L200" t="s">
        <v>1110</v>
      </c>
      <c r="M200" t="s">
        <v>1028</v>
      </c>
      <c r="N200" t="s">
        <v>1111</v>
      </c>
      <c r="O200" t="s">
        <v>992</v>
      </c>
      <c r="P200" t="s">
        <v>1113</v>
      </c>
      <c r="Q200" t="b">
        <v>1</v>
      </c>
      <c r="R200" t="b">
        <v>0</v>
      </c>
      <c r="S200" t="s">
        <v>1032</v>
      </c>
      <c r="T200" t="s">
        <v>992</v>
      </c>
      <c r="U200" t="s">
        <v>1139</v>
      </c>
      <c r="V200" t="s">
        <v>995</v>
      </c>
      <c r="W200" t="s">
        <v>1034</v>
      </c>
      <c r="X200" t="s">
        <v>1561</v>
      </c>
    </row>
    <row r="201" spans="1:24" x14ac:dyDescent="0.25">
      <c r="A201" t="s">
        <v>42</v>
      </c>
      <c r="B201" t="s">
        <v>1562</v>
      </c>
      <c r="C201" t="s">
        <v>333</v>
      </c>
      <c r="D201" t="s">
        <v>323</v>
      </c>
      <c r="E201" t="s">
        <v>1019</v>
      </c>
      <c r="F201">
        <v>66528</v>
      </c>
      <c r="G201" t="s">
        <v>1085</v>
      </c>
      <c r="H201" t="s">
        <v>1563</v>
      </c>
      <c r="I201" t="s">
        <v>1530</v>
      </c>
      <c r="J201" t="s">
        <v>1424</v>
      </c>
      <c r="K201" t="s">
        <v>1131</v>
      </c>
      <c r="L201" t="s">
        <v>1132</v>
      </c>
      <c r="M201" t="s">
        <v>1028</v>
      </c>
      <c r="N201" t="s">
        <v>1133</v>
      </c>
      <c r="O201" t="s">
        <v>992</v>
      </c>
      <c r="P201" t="s">
        <v>1119</v>
      </c>
      <c r="Q201" t="b">
        <v>1</v>
      </c>
      <c r="R201" t="b">
        <v>0</v>
      </c>
      <c r="S201" t="s">
        <v>1032</v>
      </c>
      <c r="T201" t="s">
        <v>992</v>
      </c>
      <c r="U201" t="s">
        <v>1139</v>
      </c>
      <c r="V201" t="s">
        <v>995</v>
      </c>
      <c r="W201" t="s">
        <v>1034</v>
      </c>
      <c r="X201" t="s">
        <v>1564</v>
      </c>
    </row>
    <row r="202" spans="1:24" x14ac:dyDescent="0.25">
      <c r="A202" t="s">
        <v>42</v>
      </c>
      <c r="B202" t="s">
        <v>1565</v>
      </c>
      <c r="C202" t="s">
        <v>333</v>
      </c>
      <c r="D202" t="s">
        <v>323</v>
      </c>
      <c r="E202" t="s">
        <v>1021</v>
      </c>
      <c r="F202">
        <v>66991</v>
      </c>
      <c r="G202" t="s">
        <v>1085</v>
      </c>
      <c r="H202" t="s">
        <v>1566</v>
      </c>
      <c r="I202" t="s">
        <v>1530</v>
      </c>
      <c r="J202" t="s">
        <v>1424</v>
      </c>
      <c r="K202" t="s">
        <v>1123</v>
      </c>
      <c r="L202" t="s">
        <v>1124</v>
      </c>
      <c r="M202" t="s">
        <v>1028</v>
      </c>
      <c r="N202" t="s">
        <v>1125</v>
      </c>
      <c r="O202" t="s">
        <v>992</v>
      </c>
      <c r="P202" t="s">
        <v>1127</v>
      </c>
      <c r="Q202" t="b">
        <v>1</v>
      </c>
      <c r="R202" t="b">
        <v>0</v>
      </c>
      <c r="S202" t="s">
        <v>1032</v>
      </c>
      <c r="T202" t="s">
        <v>992</v>
      </c>
      <c r="U202" t="s">
        <v>1139</v>
      </c>
      <c r="V202" t="s">
        <v>995</v>
      </c>
      <c r="W202" t="s">
        <v>1034</v>
      </c>
      <c r="X202" t="s">
        <v>1567</v>
      </c>
    </row>
    <row r="203" spans="1:24" x14ac:dyDescent="0.25">
      <c r="A203" t="s">
        <v>42</v>
      </c>
      <c r="B203" t="s">
        <v>1568</v>
      </c>
      <c r="C203" t="s">
        <v>333</v>
      </c>
      <c r="D203" t="s">
        <v>323</v>
      </c>
      <c r="E203" t="s">
        <v>1129</v>
      </c>
      <c r="F203">
        <v>61456</v>
      </c>
      <c r="G203" t="s">
        <v>1085</v>
      </c>
      <c r="H203" t="s">
        <v>1569</v>
      </c>
      <c r="I203" t="s">
        <v>1530</v>
      </c>
      <c r="J203" t="s">
        <v>1424</v>
      </c>
      <c r="K203" t="s">
        <v>1131</v>
      </c>
      <c r="L203" t="s">
        <v>1132</v>
      </c>
      <c r="M203" t="s">
        <v>1028</v>
      </c>
      <c r="N203" t="s">
        <v>1133</v>
      </c>
      <c r="O203" t="s">
        <v>992</v>
      </c>
      <c r="P203" t="s">
        <v>1135</v>
      </c>
      <c r="Q203" t="b">
        <v>1</v>
      </c>
      <c r="R203" t="b">
        <v>0</v>
      </c>
      <c r="S203" t="s">
        <v>1032</v>
      </c>
      <c r="T203" t="s">
        <v>992</v>
      </c>
      <c r="U203" t="s">
        <v>1139</v>
      </c>
      <c r="V203" t="s">
        <v>995</v>
      </c>
      <c r="W203" t="s">
        <v>1034</v>
      </c>
      <c r="X203" t="s">
        <v>1570</v>
      </c>
    </row>
    <row r="204" spans="1:24" x14ac:dyDescent="0.25">
      <c r="A204" t="s">
        <v>42</v>
      </c>
      <c r="B204" t="s">
        <v>1571</v>
      </c>
      <c r="C204" t="s">
        <v>335</v>
      </c>
      <c r="D204" t="s">
        <v>323</v>
      </c>
      <c r="E204" t="s">
        <v>990</v>
      </c>
      <c r="F204">
        <v>42951</v>
      </c>
      <c r="G204" t="s">
        <v>1085</v>
      </c>
      <c r="H204" t="s">
        <v>1572</v>
      </c>
      <c r="I204" t="s">
        <v>1573</v>
      </c>
      <c r="J204" t="s">
        <v>1424</v>
      </c>
      <c r="K204" t="s">
        <v>1026</v>
      </c>
      <c r="L204" t="s">
        <v>1027</v>
      </c>
      <c r="M204" t="s">
        <v>1028</v>
      </c>
      <c r="N204" t="s">
        <v>1029</v>
      </c>
      <c r="O204" t="s">
        <v>992</v>
      </c>
      <c r="P204" t="s">
        <v>1031</v>
      </c>
      <c r="Q204" t="b">
        <v>1</v>
      </c>
      <c r="R204" t="b">
        <v>0</v>
      </c>
      <c r="S204" t="s">
        <v>1032</v>
      </c>
      <c r="T204" t="s">
        <v>992</v>
      </c>
      <c r="U204" t="s">
        <v>1139</v>
      </c>
      <c r="V204" t="s">
        <v>995</v>
      </c>
      <c r="W204" t="s">
        <v>1034</v>
      </c>
      <c r="X204" t="s">
        <v>1574</v>
      </c>
    </row>
    <row r="205" spans="1:24" x14ac:dyDescent="0.25">
      <c r="A205" t="s">
        <v>42</v>
      </c>
      <c r="B205" t="s">
        <v>1575</v>
      </c>
      <c r="C205" t="s">
        <v>335</v>
      </c>
      <c r="D205" t="s">
        <v>323</v>
      </c>
      <c r="E205" t="s">
        <v>999</v>
      </c>
      <c r="F205">
        <v>43398</v>
      </c>
      <c r="G205" t="s">
        <v>1085</v>
      </c>
      <c r="H205" t="s">
        <v>1576</v>
      </c>
      <c r="I205" t="s">
        <v>1573</v>
      </c>
      <c r="J205" t="s">
        <v>1424</v>
      </c>
      <c r="K205" t="s">
        <v>1038</v>
      </c>
      <c r="L205" t="s">
        <v>1039</v>
      </c>
      <c r="M205" t="s">
        <v>1028</v>
      </c>
      <c r="N205" t="s">
        <v>1040</v>
      </c>
      <c r="O205" t="s">
        <v>992</v>
      </c>
      <c r="P205" t="s">
        <v>1042</v>
      </c>
      <c r="Q205" t="b">
        <v>1</v>
      </c>
      <c r="R205" t="b">
        <v>0</v>
      </c>
      <c r="S205" t="s">
        <v>1032</v>
      </c>
      <c r="T205" t="s">
        <v>992</v>
      </c>
      <c r="U205" t="s">
        <v>1139</v>
      </c>
      <c r="V205" t="s">
        <v>995</v>
      </c>
      <c r="W205" t="s">
        <v>1034</v>
      </c>
      <c r="X205" t="s">
        <v>1577</v>
      </c>
    </row>
    <row r="206" spans="1:24" x14ac:dyDescent="0.25">
      <c r="A206" t="s">
        <v>42</v>
      </c>
      <c r="B206" t="s">
        <v>1578</v>
      </c>
      <c r="C206" t="s">
        <v>335</v>
      </c>
      <c r="D206" t="s">
        <v>323</v>
      </c>
      <c r="E206" t="s">
        <v>1001</v>
      </c>
      <c r="F206">
        <v>43550</v>
      </c>
      <c r="G206" t="s">
        <v>1085</v>
      </c>
      <c r="H206" t="s">
        <v>1579</v>
      </c>
      <c r="I206" t="s">
        <v>1573</v>
      </c>
      <c r="J206" t="s">
        <v>1424</v>
      </c>
      <c r="K206" t="s">
        <v>1045</v>
      </c>
      <c r="L206" t="s">
        <v>1046</v>
      </c>
      <c r="M206" t="s">
        <v>1028</v>
      </c>
      <c r="N206" t="s">
        <v>1047</v>
      </c>
      <c r="O206" t="s">
        <v>992</v>
      </c>
      <c r="P206" t="s">
        <v>1049</v>
      </c>
      <c r="Q206" t="b">
        <v>1</v>
      </c>
      <c r="R206" t="b">
        <v>0</v>
      </c>
      <c r="S206" t="s">
        <v>1032</v>
      </c>
      <c r="T206" t="s">
        <v>992</v>
      </c>
      <c r="U206" t="s">
        <v>1139</v>
      </c>
      <c r="V206" t="s">
        <v>995</v>
      </c>
      <c r="W206" t="s">
        <v>1034</v>
      </c>
      <c r="X206" t="s">
        <v>1580</v>
      </c>
    </row>
    <row r="207" spans="1:24" x14ac:dyDescent="0.25">
      <c r="A207" t="s">
        <v>42</v>
      </c>
      <c r="B207" t="s">
        <v>1581</v>
      </c>
      <c r="C207" t="s">
        <v>335</v>
      </c>
      <c r="D207" t="s">
        <v>323</v>
      </c>
      <c r="E207" t="s">
        <v>1003</v>
      </c>
      <c r="F207">
        <v>43715</v>
      </c>
      <c r="G207" t="s">
        <v>1085</v>
      </c>
      <c r="H207" t="s">
        <v>1582</v>
      </c>
      <c r="I207" t="s">
        <v>1573</v>
      </c>
      <c r="J207" t="s">
        <v>1424</v>
      </c>
      <c r="K207" t="s">
        <v>1087</v>
      </c>
      <c r="L207" t="s">
        <v>1088</v>
      </c>
      <c r="M207" t="s">
        <v>1056</v>
      </c>
      <c r="N207" t="s">
        <v>1089</v>
      </c>
      <c r="O207" t="s">
        <v>992</v>
      </c>
      <c r="P207" t="s">
        <v>1058</v>
      </c>
      <c r="Q207" t="b">
        <v>1</v>
      </c>
      <c r="R207" t="b">
        <v>0</v>
      </c>
      <c r="S207" t="s">
        <v>1032</v>
      </c>
      <c r="T207" t="s">
        <v>992</v>
      </c>
      <c r="U207" t="s">
        <v>1139</v>
      </c>
      <c r="V207" t="s">
        <v>995</v>
      </c>
      <c r="W207" t="s">
        <v>1034</v>
      </c>
      <c r="X207" t="s">
        <v>1583</v>
      </c>
    </row>
    <row r="208" spans="1:24" x14ac:dyDescent="0.25">
      <c r="A208" t="s">
        <v>42</v>
      </c>
      <c r="B208" t="s">
        <v>1584</v>
      </c>
      <c r="C208" t="s">
        <v>335</v>
      </c>
      <c r="D208" t="s">
        <v>323</v>
      </c>
      <c r="E208" t="s">
        <v>1005</v>
      </c>
      <c r="F208">
        <v>43666</v>
      </c>
      <c r="G208" t="s">
        <v>1085</v>
      </c>
      <c r="H208" t="s">
        <v>1585</v>
      </c>
      <c r="I208" t="s">
        <v>1573</v>
      </c>
      <c r="J208" t="s">
        <v>1424</v>
      </c>
      <c r="K208" t="s">
        <v>1065</v>
      </c>
      <c r="L208" t="s">
        <v>1066</v>
      </c>
      <c r="M208" t="s">
        <v>1028</v>
      </c>
      <c r="N208" t="s">
        <v>1067</v>
      </c>
      <c r="O208" t="s">
        <v>992</v>
      </c>
      <c r="P208" t="s">
        <v>1069</v>
      </c>
      <c r="Q208" t="b">
        <v>1</v>
      </c>
      <c r="R208" t="b">
        <v>0</v>
      </c>
      <c r="S208" t="s">
        <v>1032</v>
      </c>
      <c r="T208" t="s">
        <v>992</v>
      </c>
      <c r="U208" t="s">
        <v>1139</v>
      </c>
      <c r="V208" t="s">
        <v>995</v>
      </c>
      <c r="W208" t="s">
        <v>1034</v>
      </c>
      <c r="X208" t="s">
        <v>1586</v>
      </c>
    </row>
    <row r="209" spans="1:24" x14ac:dyDescent="0.25">
      <c r="A209" t="s">
        <v>42</v>
      </c>
      <c r="B209" t="s">
        <v>1587</v>
      </c>
      <c r="C209" t="s">
        <v>335</v>
      </c>
      <c r="D209" t="s">
        <v>323</v>
      </c>
      <c r="E209" t="s">
        <v>1007</v>
      </c>
      <c r="F209">
        <v>43546</v>
      </c>
      <c r="G209" t="s">
        <v>1085</v>
      </c>
      <c r="H209" t="s">
        <v>1588</v>
      </c>
      <c r="I209" t="s">
        <v>1573</v>
      </c>
      <c r="J209" t="s">
        <v>1424</v>
      </c>
      <c r="K209" t="s">
        <v>1072</v>
      </c>
      <c r="L209" t="s">
        <v>1073</v>
      </c>
      <c r="M209" t="s">
        <v>1028</v>
      </c>
      <c r="N209" t="s">
        <v>1074</v>
      </c>
      <c r="O209" t="s">
        <v>992</v>
      </c>
      <c r="P209" t="s">
        <v>1076</v>
      </c>
      <c r="Q209" t="b">
        <v>1</v>
      </c>
      <c r="R209" t="b">
        <v>0</v>
      </c>
      <c r="S209" t="s">
        <v>1032</v>
      </c>
      <c r="T209" t="s">
        <v>992</v>
      </c>
      <c r="U209" t="s">
        <v>1139</v>
      </c>
      <c r="V209" t="s">
        <v>995</v>
      </c>
      <c r="W209" t="s">
        <v>1034</v>
      </c>
      <c r="X209" t="s">
        <v>1589</v>
      </c>
    </row>
    <row r="210" spans="1:24" x14ac:dyDescent="0.25">
      <c r="A210" t="s">
        <v>42</v>
      </c>
      <c r="B210" t="s">
        <v>1590</v>
      </c>
      <c r="C210" t="s">
        <v>335</v>
      </c>
      <c r="D210" t="s">
        <v>323</v>
      </c>
      <c r="E210" t="s">
        <v>1009</v>
      </c>
      <c r="F210">
        <v>44502</v>
      </c>
      <c r="G210" t="s">
        <v>1085</v>
      </c>
      <c r="H210" t="s">
        <v>1591</v>
      </c>
      <c r="I210" t="s">
        <v>1573</v>
      </c>
      <c r="J210" t="s">
        <v>1424</v>
      </c>
      <c r="K210" t="s">
        <v>1079</v>
      </c>
      <c r="L210" t="s">
        <v>1080</v>
      </c>
      <c r="M210" t="s">
        <v>1028</v>
      </c>
      <c r="N210" t="s">
        <v>1081</v>
      </c>
      <c r="O210" t="s">
        <v>992</v>
      </c>
      <c r="P210" t="s">
        <v>1083</v>
      </c>
      <c r="Q210" t="b">
        <v>1</v>
      </c>
      <c r="R210" t="b">
        <v>0</v>
      </c>
      <c r="S210" t="s">
        <v>1032</v>
      </c>
      <c r="T210" t="s">
        <v>992</v>
      </c>
      <c r="U210" t="s">
        <v>1139</v>
      </c>
      <c r="V210" t="s">
        <v>995</v>
      </c>
      <c r="W210" t="s">
        <v>1034</v>
      </c>
      <c r="X210" t="s">
        <v>1592</v>
      </c>
    </row>
    <row r="211" spans="1:24" x14ac:dyDescent="0.25">
      <c r="A211" t="s">
        <v>42</v>
      </c>
      <c r="B211" t="s">
        <v>1593</v>
      </c>
      <c r="C211" t="s">
        <v>335</v>
      </c>
      <c r="D211" t="s">
        <v>323</v>
      </c>
      <c r="E211" t="s">
        <v>1011</v>
      </c>
      <c r="F211">
        <v>45680</v>
      </c>
      <c r="G211" t="s">
        <v>1085</v>
      </c>
      <c r="H211" t="s">
        <v>1594</v>
      </c>
      <c r="I211" t="s">
        <v>1573</v>
      </c>
      <c r="J211" t="s">
        <v>1424</v>
      </c>
      <c r="K211" t="s">
        <v>1116</v>
      </c>
      <c r="L211" t="s">
        <v>1117</v>
      </c>
      <c r="M211" t="s">
        <v>1056</v>
      </c>
      <c r="N211" t="s">
        <v>1118</v>
      </c>
      <c r="O211" t="s">
        <v>992</v>
      </c>
      <c r="P211" t="s">
        <v>1090</v>
      </c>
      <c r="Q211" t="b">
        <v>1</v>
      </c>
      <c r="R211" t="b">
        <v>0</v>
      </c>
      <c r="S211" t="s">
        <v>1032</v>
      </c>
      <c r="T211" t="s">
        <v>992</v>
      </c>
      <c r="U211" t="s">
        <v>1139</v>
      </c>
      <c r="V211" t="s">
        <v>995</v>
      </c>
      <c r="W211" t="s">
        <v>1034</v>
      </c>
      <c r="X211" t="s">
        <v>1595</v>
      </c>
    </row>
    <row r="212" spans="1:24" x14ac:dyDescent="0.25">
      <c r="A212" t="s">
        <v>42</v>
      </c>
      <c r="B212" t="s">
        <v>1596</v>
      </c>
      <c r="C212" t="s">
        <v>335</v>
      </c>
      <c r="D212" t="s">
        <v>323</v>
      </c>
      <c r="E212" t="s">
        <v>1013</v>
      </c>
      <c r="F212">
        <v>46069</v>
      </c>
      <c r="G212" t="s">
        <v>1085</v>
      </c>
      <c r="H212" t="s">
        <v>1597</v>
      </c>
      <c r="I212" t="s">
        <v>1573</v>
      </c>
      <c r="J212" t="s">
        <v>1424</v>
      </c>
      <c r="K212" t="s">
        <v>1094</v>
      </c>
      <c r="L212" t="s">
        <v>1095</v>
      </c>
      <c r="M212" t="s">
        <v>1028</v>
      </c>
      <c r="N212" t="s">
        <v>1096</v>
      </c>
      <c r="O212" t="s">
        <v>992</v>
      </c>
      <c r="P212" t="s">
        <v>1098</v>
      </c>
      <c r="Q212" t="b">
        <v>1</v>
      </c>
      <c r="R212" t="b">
        <v>0</v>
      </c>
      <c r="S212" t="s">
        <v>1032</v>
      </c>
      <c r="T212" t="s">
        <v>992</v>
      </c>
      <c r="U212" t="s">
        <v>1139</v>
      </c>
      <c r="V212" t="s">
        <v>995</v>
      </c>
      <c r="W212" t="s">
        <v>1034</v>
      </c>
      <c r="X212" t="s">
        <v>1598</v>
      </c>
    </row>
    <row r="213" spans="1:24" x14ac:dyDescent="0.25">
      <c r="A213" t="s">
        <v>42</v>
      </c>
      <c r="B213" t="s">
        <v>1599</v>
      </c>
      <c r="C213" t="s">
        <v>335</v>
      </c>
      <c r="D213" t="s">
        <v>323</v>
      </c>
      <c r="E213" t="s">
        <v>1015</v>
      </c>
      <c r="F213">
        <v>46876</v>
      </c>
      <c r="G213" t="s">
        <v>1085</v>
      </c>
      <c r="H213" t="s">
        <v>1600</v>
      </c>
      <c r="I213" t="s">
        <v>1573</v>
      </c>
      <c r="J213" t="s">
        <v>1424</v>
      </c>
      <c r="K213" t="s">
        <v>1102</v>
      </c>
      <c r="L213" t="s">
        <v>1103</v>
      </c>
      <c r="M213" t="s">
        <v>1028</v>
      </c>
      <c r="N213" t="s">
        <v>1104</v>
      </c>
      <c r="O213" t="s">
        <v>992</v>
      </c>
      <c r="P213" t="s">
        <v>1106</v>
      </c>
      <c r="Q213" t="b">
        <v>1</v>
      </c>
      <c r="R213" t="b">
        <v>0</v>
      </c>
      <c r="S213" t="s">
        <v>1032</v>
      </c>
      <c r="T213" t="s">
        <v>992</v>
      </c>
      <c r="U213" t="s">
        <v>1139</v>
      </c>
      <c r="V213" t="s">
        <v>995</v>
      </c>
      <c r="W213" t="s">
        <v>1034</v>
      </c>
      <c r="X213" t="s">
        <v>1601</v>
      </c>
    </row>
    <row r="214" spans="1:24" x14ac:dyDescent="0.25">
      <c r="A214" t="s">
        <v>42</v>
      </c>
      <c r="B214" t="s">
        <v>1602</v>
      </c>
      <c r="C214" t="s">
        <v>335</v>
      </c>
      <c r="D214" t="s">
        <v>323</v>
      </c>
      <c r="E214" t="s">
        <v>1017</v>
      </c>
      <c r="F214">
        <v>48508</v>
      </c>
      <c r="G214" t="s">
        <v>1085</v>
      </c>
      <c r="H214" t="s">
        <v>1603</v>
      </c>
      <c r="I214" t="s">
        <v>1573</v>
      </c>
      <c r="J214" t="s">
        <v>1424</v>
      </c>
      <c r="K214" t="s">
        <v>1109</v>
      </c>
      <c r="L214" t="s">
        <v>1110</v>
      </c>
      <c r="M214" t="s">
        <v>1028</v>
      </c>
      <c r="N214" t="s">
        <v>1111</v>
      </c>
      <c r="O214" t="s">
        <v>992</v>
      </c>
      <c r="P214" t="s">
        <v>1113</v>
      </c>
      <c r="Q214" t="b">
        <v>1</v>
      </c>
      <c r="R214" t="b">
        <v>0</v>
      </c>
      <c r="S214" t="s">
        <v>1032</v>
      </c>
      <c r="T214" t="s">
        <v>992</v>
      </c>
      <c r="U214" t="s">
        <v>1139</v>
      </c>
      <c r="V214" t="s">
        <v>995</v>
      </c>
      <c r="W214" t="s">
        <v>1034</v>
      </c>
      <c r="X214" t="s">
        <v>1604</v>
      </c>
    </row>
    <row r="215" spans="1:24" x14ac:dyDescent="0.25">
      <c r="A215" t="s">
        <v>42</v>
      </c>
      <c r="B215" t="s">
        <v>1605</v>
      </c>
      <c r="C215" t="s">
        <v>335</v>
      </c>
      <c r="D215" t="s">
        <v>323</v>
      </c>
      <c r="E215" t="s">
        <v>1019</v>
      </c>
      <c r="F215">
        <v>49834</v>
      </c>
      <c r="G215" t="s">
        <v>1085</v>
      </c>
      <c r="H215" t="s">
        <v>1606</v>
      </c>
      <c r="I215" t="s">
        <v>1573</v>
      </c>
      <c r="J215" t="s">
        <v>1424</v>
      </c>
      <c r="K215" t="s">
        <v>1131</v>
      </c>
      <c r="L215" t="s">
        <v>1132</v>
      </c>
      <c r="M215" t="s">
        <v>1028</v>
      </c>
      <c r="N215" t="s">
        <v>1133</v>
      </c>
      <c r="O215" t="s">
        <v>992</v>
      </c>
      <c r="P215" t="s">
        <v>1119</v>
      </c>
      <c r="Q215" t="b">
        <v>1</v>
      </c>
      <c r="R215" t="b">
        <v>0</v>
      </c>
      <c r="S215" t="s">
        <v>1032</v>
      </c>
      <c r="T215" t="s">
        <v>992</v>
      </c>
      <c r="U215" t="s">
        <v>1139</v>
      </c>
      <c r="V215" t="s">
        <v>995</v>
      </c>
      <c r="W215" t="s">
        <v>1034</v>
      </c>
      <c r="X215" t="s">
        <v>1607</v>
      </c>
    </row>
    <row r="216" spans="1:24" x14ac:dyDescent="0.25">
      <c r="A216" t="s">
        <v>42</v>
      </c>
      <c r="B216" t="s">
        <v>1608</v>
      </c>
      <c r="C216" t="s">
        <v>335</v>
      </c>
      <c r="D216" t="s">
        <v>323</v>
      </c>
      <c r="E216" t="s">
        <v>1021</v>
      </c>
      <c r="F216">
        <v>50159</v>
      </c>
      <c r="G216" t="s">
        <v>1085</v>
      </c>
      <c r="H216" t="s">
        <v>1609</v>
      </c>
      <c r="I216" t="s">
        <v>1573</v>
      </c>
      <c r="J216" t="s">
        <v>1424</v>
      </c>
      <c r="K216" t="s">
        <v>1123</v>
      </c>
      <c r="L216" t="s">
        <v>1124</v>
      </c>
      <c r="M216" t="s">
        <v>1028</v>
      </c>
      <c r="N216" t="s">
        <v>1125</v>
      </c>
      <c r="O216" t="s">
        <v>992</v>
      </c>
      <c r="P216" t="s">
        <v>1127</v>
      </c>
      <c r="Q216" t="b">
        <v>1</v>
      </c>
      <c r="R216" t="b">
        <v>0</v>
      </c>
      <c r="S216" t="s">
        <v>1032</v>
      </c>
      <c r="T216" t="s">
        <v>992</v>
      </c>
      <c r="U216" t="s">
        <v>1139</v>
      </c>
      <c r="V216" t="s">
        <v>995</v>
      </c>
      <c r="W216" t="s">
        <v>1034</v>
      </c>
      <c r="X216" t="s">
        <v>1610</v>
      </c>
    </row>
    <row r="217" spans="1:24" x14ac:dyDescent="0.25">
      <c r="A217" t="s">
        <v>42</v>
      </c>
      <c r="B217" t="s">
        <v>1611</v>
      </c>
      <c r="C217" t="s">
        <v>335</v>
      </c>
      <c r="D217" t="s">
        <v>323</v>
      </c>
      <c r="E217" t="s">
        <v>1129</v>
      </c>
      <c r="F217">
        <v>50116</v>
      </c>
      <c r="G217" t="s">
        <v>1085</v>
      </c>
      <c r="H217" t="s">
        <v>1612</v>
      </c>
      <c r="I217" t="s">
        <v>1573</v>
      </c>
      <c r="J217" t="s">
        <v>1424</v>
      </c>
      <c r="K217" t="s">
        <v>1131</v>
      </c>
      <c r="L217" t="s">
        <v>1132</v>
      </c>
      <c r="M217" t="s">
        <v>1028</v>
      </c>
      <c r="N217" t="s">
        <v>1133</v>
      </c>
      <c r="O217" t="s">
        <v>992</v>
      </c>
      <c r="P217" t="s">
        <v>1135</v>
      </c>
      <c r="Q217" t="b">
        <v>1</v>
      </c>
      <c r="R217" t="b">
        <v>0</v>
      </c>
      <c r="S217" t="s">
        <v>1032</v>
      </c>
      <c r="T217" t="s">
        <v>992</v>
      </c>
      <c r="U217" t="s">
        <v>1139</v>
      </c>
      <c r="V217" t="s">
        <v>995</v>
      </c>
      <c r="W217" t="s">
        <v>1034</v>
      </c>
      <c r="X217" t="s">
        <v>1613</v>
      </c>
    </row>
    <row r="218" spans="1:24" x14ac:dyDescent="0.25">
      <c r="A218" t="s">
        <v>42</v>
      </c>
      <c r="B218" t="s">
        <v>1614</v>
      </c>
      <c r="C218" t="s">
        <v>336</v>
      </c>
      <c r="D218" t="s">
        <v>323</v>
      </c>
      <c r="E218" t="s">
        <v>990</v>
      </c>
      <c r="F218">
        <v>0</v>
      </c>
      <c r="G218" t="s">
        <v>1085</v>
      </c>
      <c r="H218" t="s">
        <v>1615</v>
      </c>
      <c r="I218" t="s">
        <v>1616</v>
      </c>
      <c r="J218" t="s">
        <v>1424</v>
      </c>
      <c r="K218" t="s">
        <v>992</v>
      </c>
      <c r="L218" t="s">
        <v>992</v>
      </c>
      <c r="M218" t="s">
        <v>992</v>
      </c>
      <c r="N218" t="s">
        <v>992</v>
      </c>
      <c r="O218" t="s">
        <v>992</v>
      </c>
      <c r="P218" t="s">
        <v>992</v>
      </c>
      <c r="Q218" t="b">
        <v>1</v>
      </c>
      <c r="R218" t="b">
        <v>0</v>
      </c>
      <c r="S218" t="s">
        <v>1032</v>
      </c>
      <c r="T218" t="s">
        <v>992</v>
      </c>
      <c r="U218" t="s">
        <v>1139</v>
      </c>
      <c r="V218" t="s">
        <v>1061</v>
      </c>
      <c r="W218" t="s">
        <v>1206</v>
      </c>
      <c r="X218" t="s">
        <v>1617</v>
      </c>
    </row>
    <row r="219" spans="1:24" x14ac:dyDescent="0.25">
      <c r="A219" t="s">
        <v>42</v>
      </c>
      <c r="B219" t="s">
        <v>1618</v>
      </c>
      <c r="C219" t="s">
        <v>336</v>
      </c>
      <c r="D219" t="s">
        <v>323</v>
      </c>
      <c r="E219" t="s">
        <v>999</v>
      </c>
      <c r="F219">
        <v>0</v>
      </c>
      <c r="G219" t="s">
        <v>1085</v>
      </c>
      <c r="H219" t="s">
        <v>1615</v>
      </c>
      <c r="I219" t="s">
        <v>1616</v>
      </c>
      <c r="J219" t="s">
        <v>1424</v>
      </c>
      <c r="K219" t="s">
        <v>992</v>
      </c>
      <c r="L219" t="s">
        <v>992</v>
      </c>
      <c r="M219" t="s">
        <v>992</v>
      </c>
      <c r="N219" t="s">
        <v>992</v>
      </c>
      <c r="O219" t="s">
        <v>992</v>
      </c>
      <c r="P219" t="s">
        <v>992</v>
      </c>
      <c r="Q219" t="b">
        <v>1</v>
      </c>
      <c r="R219" t="b">
        <v>0</v>
      </c>
      <c r="S219" t="s">
        <v>1032</v>
      </c>
      <c r="T219" t="s">
        <v>992</v>
      </c>
      <c r="U219" t="s">
        <v>1139</v>
      </c>
      <c r="V219" t="s">
        <v>1061</v>
      </c>
      <c r="W219" t="s">
        <v>1206</v>
      </c>
      <c r="X219" t="s">
        <v>1619</v>
      </c>
    </row>
    <row r="220" spans="1:24" x14ac:dyDescent="0.25">
      <c r="A220" t="s">
        <v>42</v>
      </c>
      <c r="B220" t="s">
        <v>1620</v>
      </c>
      <c r="C220" t="s">
        <v>336</v>
      </c>
      <c r="D220" t="s">
        <v>323</v>
      </c>
      <c r="E220" t="s">
        <v>1001</v>
      </c>
      <c r="F220">
        <v>0</v>
      </c>
      <c r="G220" t="s">
        <v>1085</v>
      </c>
      <c r="H220" t="s">
        <v>1615</v>
      </c>
      <c r="I220" t="s">
        <v>1616</v>
      </c>
      <c r="J220" t="s">
        <v>1424</v>
      </c>
      <c r="K220" t="s">
        <v>992</v>
      </c>
      <c r="L220" t="s">
        <v>992</v>
      </c>
      <c r="M220" t="s">
        <v>992</v>
      </c>
      <c r="N220" t="s">
        <v>992</v>
      </c>
      <c r="O220" t="s">
        <v>992</v>
      </c>
      <c r="P220" t="s">
        <v>992</v>
      </c>
      <c r="Q220" t="b">
        <v>1</v>
      </c>
      <c r="R220" t="b">
        <v>0</v>
      </c>
      <c r="S220" t="s">
        <v>1032</v>
      </c>
      <c r="T220" t="s">
        <v>992</v>
      </c>
      <c r="U220" t="s">
        <v>1139</v>
      </c>
      <c r="V220" t="s">
        <v>1061</v>
      </c>
      <c r="W220" t="s">
        <v>1206</v>
      </c>
      <c r="X220" t="s">
        <v>1621</v>
      </c>
    </row>
    <row r="221" spans="1:24" x14ac:dyDescent="0.25">
      <c r="A221" t="s">
        <v>42</v>
      </c>
      <c r="B221" t="s">
        <v>1622</v>
      </c>
      <c r="C221" t="s">
        <v>336</v>
      </c>
      <c r="D221" t="s">
        <v>323</v>
      </c>
      <c r="E221" t="s">
        <v>1003</v>
      </c>
      <c r="F221">
        <v>0</v>
      </c>
      <c r="G221" t="s">
        <v>1085</v>
      </c>
      <c r="H221" t="s">
        <v>1615</v>
      </c>
      <c r="I221" t="s">
        <v>1616</v>
      </c>
      <c r="J221" t="s">
        <v>1424</v>
      </c>
      <c r="K221" t="s">
        <v>992</v>
      </c>
      <c r="L221" t="s">
        <v>992</v>
      </c>
      <c r="M221" t="s">
        <v>992</v>
      </c>
      <c r="N221" t="s">
        <v>992</v>
      </c>
      <c r="O221" t="s">
        <v>992</v>
      </c>
      <c r="P221" t="s">
        <v>992</v>
      </c>
      <c r="Q221" t="b">
        <v>1</v>
      </c>
      <c r="R221" t="b">
        <v>0</v>
      </c>
      <c r="S221" t="s">
        <v>1032</v>
      </c>
      <c r="T221" t="s">
        <v>992</v>
      </c>
      <c r="U221" t="s">
        <v>1139</v>
      </c>
      <c r="V221" t="s">
        <v>1061</v>
      </c>
      <c r="W221" t="s">
        <v>1206</v>
      </c>
      <c r="X221" t="s">
        <v>1623</v>
      </c>
    </row>
    <row r="222" spans="1:24" x14ac:dyDescent="0.25">
      <c r="A222" t="s">
        <v>42</v>
      </c>
      <c r="B222" t="s">
        <v>1624</v>
      </c>
      <c r="C222" t="s">
        <v>336</v>
      </c>
      <c r="D222" t="s">
        <v>323</v>
      </c>
      <c r="E222" t="s">
        <v>1005</v>
      </c>
      <c r="F222">
        <v>0</v>
      </c>
      <c r="G222" t="s">
        <v>1085</v>
      </c>
      <c r="H222" t="s">
        <v>1615</v>
      </c>
      <c r="I222" t="s">
        <v>1616</v>
      </c>
      <c r="J222" t="s">
        <v>1424</v>
      </c>
      <c r="K222" t="s">
        <v>992</v>
      </c>
      <c r="L222" t="s">
        <v>992</v>
      </c>
      <c r="M222" t="s">
        <v>992</v>
      </c>
      <c r="N222" t="s">
        <v>992</v>
      </c>
      <c r="O222" t="s">
        <v>992</v>
      </c>
      <c r="P222" t="s">
        <v>992</v>
      </c>
      <c r="Q222" t="b">
        <v>1</v>
      </c>
      <c r="R222" t="b">
        <v>0</v>
      </c>
      <c r="S222" t="s">
        <v>1032</v>
      </c>
      <c r="T222" t="s">
        <v>992</v>
      </c>
      <c r="U222" t="s">
        <v>1139</v>
      </c>
      <c r="V222" t="s">
        <v>1061</v>
      </c>
      <c r="W222" t="s">
        <v>1206</v>
      </c>
      <c r="X222" t="s">
        <v>1625</v>
      </c>
    </row>
    <row r="223" spans="1:24" x14ac:dyDescent="0.25">
      <c r="A223" t="s">
        <v>42</v>
      </c>
      <c r="B223" t="s">
        <v>1626</v>
      </c>
      <c r="C223" t="s">
        <v>336</v>
      </c>
      <c r="D223" t="s">
        <v>323</v>
      </c>
      <c r="E223" t="s">
        <v>1007</v>
      </c>
      <c r="F223">
        <v>0</v>
      </c>
      <c r="G223" t="s">
        <v>1085</v>
      </c>
      <c r="H223" t="s">
        <v>1615</v>
      </c>
      <c r="I223" t="s">
        <v>1616</v>
      </c>
      <c r="J223" t="s">
        <v>1424</v>
      </c>
      <c r="K223" t="s">
        <v>992</v>
      </c>
      <c r="L223" t="s">
        <v>992</v>
      </c>
      <c r="M223" t="s">
        <v>992</v>
      </c>
      <c r="N223" t="s">
        <v>992</v>
      </c>
      <c r="O223" t="s">
        <v>992</v>
      </c>
      <c r="P223" t="s">
        <v>992</v>
      </c>
      <c r="Q223" t="b">
        <v>1</v>
      </c>
      <c r="R223" t="b">
        <v>0</v>
      </c>
      <c r="S223" t="s">
        <v>1032</v>
      </c>
      <c r="T223" t="s">
        <v>992</v>
      </c>
      <c r="U223" t="s">
        <v>1139</v>
      </c>
      <c r="V223" t="s">
        <v>1061</v>
      </c>
      <c r="W223" t="s">
        <v>1206</v>
      </c>
      <c r="X223" t="s">
        <v>1627</v>
      </c>
    </row>
    <row r="224" spans="1:24" x14ac:dyDescent="0.25">
      <c r="A224" t="s">
        <v>42</v>
      </c>
      <c r="B224" t="s">
        <v>1628</v>
      </c>
      <c r="C224" t="s">
        <v>336</v>
      </c>
      <c r="D224" t="s">
        <v>323</v>
      </c>
      <c r="E224" t="s">
        <v>1009</v>
      </c>
      <c r="F224">
        <v>0</v>
      </c>
      <c r="G224" t="s">
        <v>1085</v>
      </c>
      <c r="H224" t="s">
        <v>1615</v>
      </c>
      <c r="I224" t="s">
        <v>1616</v>
      </c>
      <c r="J224" t="s">
        <v>1424</v>
      </c>
      <c r="K224" t="s">
        <v>992</v>
      </c>
      <c r="L224" t="s">
        <v>992</v>
      </c>
      <c r="M224" t="s">
        <v>992</v>
      </c>
      <c r="N224" t="s">
        <v>992</v>
      </c>
      <c r="O224" t="s">
        <v>992</v>
      </c>
      <c r="P224" t="s">
        <v>992</v>
      </c>
      <c r="Q224" t="b">
        <v>1</v>
      </c>
      <c r="R224" t="b">
        <v>0</v>
      </c>
      <c r="S224" t="s">
        <v>1032</v>
      </c>
      <c r="T224" t="s">
        <v>992</v>
      </c>
      <c r="U224" t="s">
        <v>1139</v>
      </c>
      <c r="V224" t="s">
        <v>1061</v>
      </c>
      <c r="W224" t="s">
        <v>1206</v>
      </c>
      <c r="X224" t="s">
        <v>1629</v>
      </c>
    </row>
    <row r="225" spans="1:24" x14ac:dyDescent="0.25">
      <c r="A225" t="s">
        <v>42</v>
      </c>
      <c r="B225" t="s">
        <v>1630</v>
      </c>
      <c r="C225" t="s">
        <v>336</v>
      </c>
      <c r="D225" t="s">
        <v>323</v>
      </c>
      <c r="E225" t="s">
        <v>1011</v>
      </c>
      <c r="F225">
        <v>0</v>
      </c>
      <c r="G225" t="s">
        <v>1085</v>
      </c>
      <c r="H225" t="s">
        <v>1615</v>
      </c>
      <c r="I225" t="s">
        <v>1616</v>
      </c>
      <c r="J225" t="s">
        <v>1424</v>
      </c>
      <c r="K225" t="s">
        <v>992</v>
      </c>
      <c r="L225" t="s">
        <v>992</v>
      </c>
      <c r="M225" t="s">
        <v>992</v>
      </c>
      <c r="N225" t="s">
        <v>992</v>
      </c>
      <c r="O225" t="s">
        <v>992</v>
      </c>
      <c r="P225" t="s">
        <v>992</v>
      </c>
      <c r="Q225" t="b">
        <v>1</v>
      </c>
      <c r="R225" t="b">
        <v>0</v>
      </c>
      <c r="S225" t="s">
        <v>1032</v>
      </c>
      <c r="T225" t="s">
        <v>992</v>
      </c>
      <c r="U225" t="s">
        <v>1139</v>
      </c>
      <c r="V225" t="s">
        <v>1061</v>
      </c>
      <c r="W225" t="s">
        <v>1206</v>
      </c>
      <c r="X225" t="s">
        <v>1623</v>
      </c>
    </row>
    <row r="226" spans="1:24" x14ac:dyDescent="0.25">
      <c r="A226" t="s">
        <v>42</v>
      </c>
      <c r="B226" t="s">
        <v>1631</v>
      </c>
      <c r="C226" t="s">
        <v>336</v>
      </c>
      <c r="D226" t="s">
        <v>323</v>
      </c>
      <c r="E226" t="s">
        <v>1013</v>
      </c>
      <c r="F226">
        <v>0</v>
      </c>
      <c r="G226" t="s">
        <v>1085</v>
      </c>
      <c r="H226" t="s">
        <v>1615</v>
      </c>
      <c r="I226" t="s">
        <v>1616</v>
      </c>
      <c r="J226" t="s">
        <v>1424</v>
      </c>
      <c r="K226" t="s">
        <v>992</v>
      </c>
      <c r="L226" t="s">
        <v>992</v>
      </c>
      <c r="M226" t="s">
        <v>992</v>
      </c>
      <c r="N226" t="s">
        <v>992</v>
      </c>
      <c r="O226" t="s">
        <v>992</v>
      </c>
      <c r="P226" t="s">
        <v>992</v>
      </c>
      <c r="Q226" t="b">
        <v>1</v>
      </c>
      <c r="R226" t="b">
        <v>0</v>
      </c>
      <c r="S226" t="s">
        <v>1032</v>
      </c>
      <c r="T226" t="s">
        <v>992</v>
      </c>
      <c r="U226" t="s">
        <v>1139</v>
      </c>
      <c r="V226" t="s">
        <v>1061</v>
      </c>
      <c r="W226" t="s">
        <v>1206</v>
      </c>
      <c r="X226" t="s">
        <v>1632</v>
      </c>
    </row>
    <row r="227" spans="1:24" x14ac:dyDescent="0.25">
      <c r="A227" t="s">
        <v>42</v>
      </c>
      <c r="B227" t="s">
        <v>1633</v>
      </c>
      <c r="C227" t="s">
        <v>336</v>
      </c>
      <c r="D227" t="s">
        <v>323</v>
      </c>
      <c r="E227" t="s">
        <v>1015</v>
      </c>
      <c r="F227">
        <v>0</v>
      </c>
      <c r="G227" t="s">
        <v>1085</v>
      </c>
      <c r="H227" t="s">
        <v>1615</v>
      </c>
      <c r="I227" t="s">
        <v>1616</v>
      </c>
      <c r="J227" t="s">
        <v>1424</v>
      </c>
      <c r="K227" t="s">
        <v>992</v>
      </c>
      <c r="L227" t="s">
        <v>992</v>
      </c>
      <c r="M227" t="s">
        <v>992</v>
      </c>
      <c r="N227" t="s">
        <v>992</v>
      </c>
      <c r="O227" t="s">
        <v>992</v>
      </c>
      <c r="P227" t="s">
        <v>992</v>
      </c>
      <c r="Q227" t="b">
        <v>1</v>
      </c>
      <c r="R227" t="b">
        <v>0</v>
      </c>
      <c r="S227" t="s">
        <v>1032</v>
      </c>
      <c r="T227" t="s">
        <v>992</v>
      </c>
      <c r="U227" t="s">
        <v>1139</v>
      </c>
      <c r="V227" t="s">
        <v>1061</v>
      </c>
      <c r="W227" t="s">
        <v>1206</v>
      </c>
      <c r="X227" t="s">
        <v>1634</v>
      </c>
    </row>
    <row r="228" spans="1:24" x14ac:dyDescent="0.25">
      <c r="A228" t="s">
        <v>42</v>
      </c>
      <c r="B228" t="s">
        <v>1635</v>
      </c>
      <c r="C228" t="s">
        <v>336</v>
      </c>
      <c r="D228" t="s">
        <v>323</v>
      </c>
      <c r="E228" t="s">
        <v>1017</v>
      </c>
      <c r="F228">
        <v>0</v>
      </c>
      <c r="G228" t="s">
        <v>1085</v>
      </c>
      <c r="H228" t="s">
        <v>1615</v>
      </c>
      <c r="I228" t="s">
        <v>1616</v>
      </c>
      <c r="J228" t="s">
        <v>1424</v>
      </c>
      <c r="K228" t="s">
        <v>992</v>
      </c>
      <c r="L228" t="s">
        <v>992</v>
      </c>
      <c r="M228" t="s">
        <v>992</v>
      </c>
      <c r="N228" t="s">
        <v>992</v>
      </c>
      <c r="O228" t="s">
        <v>992</v>
      </c>
      <c r="P228" t="s">
        <v>992</v>
      </c>
      <c r="Q228" t="b">
        <v>1</v>
      </c>
      <c r="R228" t="b">
        <v>0</v>
      </c>
      <c r="S228" t="s">
        <v>1032</v>
      </c>
      <c r="T228" t="s">
        <v>992</v>
      </c>
      <c r="U228" t="s">
        <v>1139</v>
      </c>
      <c r="V228" t="s">
        <v>1061</v>
      </c>
      <c r="W228" t="s">
        <v>1206</v>
      </c>
      <c r="X228" t="s">
        <v>1636</v>
      </c>
    </row>
    <row r="229" spans="1:24" x14ac:dyDescent="0.25">
      <c r="A229" t="s">
        <v>42</v>
      </c>
      <c r="B229" t="s">
        <v>1637</v>
      </c>
      <c r="C229" t="s">
        <v>336</v>
      </c>
      <c r="D229" t="s">
        <v>323</v>
      </c>
      <c r="E229" t="s">
        <v>1019</v>
      </c>
      <c r="F229">
        <v>13301</v>
      </c>
      <c r="G229" t="s">
        <v>1085</v>
      </c>
      <c r="H229" t="s">
        <v>1638</v>
      </c>
      <c r="I229" t="s">
        <v>1639</v>
      </c>
      <c r="J229" t="s">
        <v>1424</v>
      </c>
      <c r="K229" t="s">
        <v>1131</v>
      </c>
      <c r="L229" t="s">
        <v>1132</v>
      </c>
      <c r="M229" t="s">
        <v>1028</v>
      </c>
      <c r="N229" t="s">
        <v>1133</v>
      </c>
      <c r="O229" t="s">
        <v>992</v>
      </c>
      <c r="P229" t="s">
        <v>1119</v>
      </c>
      <c r="Q229" t="b">
        <v>1</v>
      </c>
      <c r="R229" t="b">
        <v>0</v>
      </c>
      <c r="S229" t="s">
        <v>1032</v>
      </c>
      <c r="T229" t="s">
        <v>992</v>
      </c>
      <c r="U229" t="s">
        <v>1139</v>
      </c>
      <c r="V229" t="s">
        <v>995</v>
      </c>
      <c r="W229" t="s">
        <v>1034</v>
      </c>
      <c r="X229" t="s">
        <v>1640</v>
      </c>
    </row>
    <row r="230" spans="1:24" x14ac:dyDescent="0.25">
      <c r="A230" t="s">
        <v>42</v>
      </c>
      <c r="B230" t="s">
        <v>1641</v>
      </c>
      <c r="C230" t="s">
        <v>336</v>
      </c>
      <c r="D230" t="s">
        <v>323</v>
      </c>
      <c r="E230" t="s">
        <v>1021</v>
      </c>
      <c r="F230">
        <v>0</v>
      </c>
      <c r="G230" t="s">
        <v>1085</v>
      </c>
      <c r="H230" t="s">
        <v>1615</v>
      </c>
      <c r="I230" t="s">
        <v>1616</v>
      </c>
      <c r="J230" t="s">
        <v>1424</v>
      </c>
      <c r="K230" t="s">
        <v>992</v>
      </c>
      <c r="L230" t="s">
        <v>992</v>
      </c>
      <c r="M230" t="s">
        <v>992</v>
      </c>
      <c r="N230" t="s">
        <v>992</v>
      </c>
      <c r="O230" t="s">
        <v>992</v>
      </c>
      <c r="P230" t="s">
        <v>992</v>
      </c>
      <c r="Q230" t="b">
        <v>1</v>
      </c>
      <c r="R230" t="b">
        <v>0</v>
      </c>
      <c r="S230" t="s">
        <v>1032</v>
      </c>
      <c r="T230" t="s">
        <v>992</v>
      </c>
      <c r="U230" t="s">
        <v>1139</v>
      </c>
      <c r="V230" t="s">
        <v>1061</v>
      </c>
      <c r="W230" t="s">
        <v>1206</v>
      </c>
      <c r="X230" t="s">
        <v>1642</v>
      </c>
    </row>
    <row r="231" spans="1:24" x14ac:dyDescent="0.25">
      <c r="A231" t="s">
        <v>42</v>
      </c>
      <c r="B231" t="s">
        <v>1643</v>
      </c>
      <c r="C231" t="s">
        <v>336</v>
      </c>
      <c r="D231" t="s">
        <v>323</v>
      </c>
      <c r="E231" t="s">
        <v>1129</v>
      </c>
      <c r="F231">
        <v>25797</v>
      </c>
      <c r="G231" t="s">
        <v>1085</v>
      </c>
      <c r="H231" t="s">
        <v>1644</v>
      </c>
      <c r="I231" t="s">
        <v>1639</v>
      </c>
      <c r="J231" t="s">
        <v>1424</v>
      </c>
      <c r="K231" t="s">
        <v>1131</v>
      </c>
      <c r="L231" t="s">
        <v>1132</v>
      </c>
      <c r="M231" t="s">
        <v>1028</v>
      </c>
      <c r="N231" t="s">
        <v>1133</v>
      </c>
      <c r="O231" t="s">
        <v>992</v>
      </c>
      <c r="P231" t="s">
        <v>1135</v>
      </c>
      <c r="Q231" t="b">
        <v>1</v>
      </c>
      <c r="R231" t="b">
        <v>0</v>
      </c>
      <c r="S231" t="s">
        <v>1032</v>
      </c>
      <c r="T231" t="s">
        <v>992</v>
      </c>
      <c r="U231" t="s">
        <v>1139</v>
      </c>
      <c r="V231" t="s">
        <v>995</v>
      </c>
      <c r="W231" t="s">
        <v>1034</v>
      </c>
      <c r="X231" t="s">
        <v>1645</v>
      </c>
    </row>
    <row r="232" spans="1:24" x14ac:dyDescent="0.25">
      <c r="A232" t="s">
        <v>42</v>
      </c>
      <c r="B232" t="s">
        <v>1646</v>
      </c>
      <c r="C232" t="s">
        <v>337</v>
      </c>
      <c r="D232" t="s">
        <v>323</v>
      </c>
      <c r="E232" t="s">
        <v>990</v>
      </c>
      <c r="F232">
        <v>0</v>
      </c>
      <c r="G232" t="s">
        <v>1085</v>
      </c>
      <c r="H232" t="s">
        <v>1647</v>
      </c>
      <c r="I232" t="s">
        <v>337</v>
      </c>
      <c r="J232" t="s">
        <v>1424</v>
      </c>
      <c r="K232" t="s">
        <v>992</v>
      </c>
      <c r="L232" t="s">
        <v>992</v>
      </c>
      <c r="M232" t="s">
        <v>992</v>
      </c>
      <c r="N232" t="s">
        <v>992</v>
      </c>
      <c r="O232" t="s">
        <v>992</v>
      </c>
      <c r="P232" t="s">
        <v>992</v>
      </c>
      <c r="Q232" t="b">
        <v>1</v>
      </c>
      <c r="R232" t="b">
        <v>0</v>
      </c>
      <c r="S232" t="s">
        <v>1032</v>
      </c>
      <c r="T232" t="s">
        <v>992</v>
      </c>
      <c r="U232" t="s">
        <v>1139</v>
      </c>
      <c r="V232" t="s">
        <v>1061</v>
      </c>
      <c r="W232" t="s">
        <v>1206</v>
      </c>
      <c r="X232" t="s">
        <v>1648</v>
      </c>
    </row>
    <row r="233" spans="1:24" x14ac:dyDescent="0.25">
      <c r="A233" t="s">
        <v>42</v>
      </c>
      <c r="B233" t="s">
        <v>1649</v>
      </c>
      <c r="C233" t="s">
        <v>337</v>
      </c>
      <c r="D233" t="s">
        <v>323</v>
      </c>
      <c r="E233" t="s">
        <v>999</v>
      </c>
      <c r="F233">
        <v>0</v>
      </c>
      <c r="G233" t="s">
        <v>1085</v>
      </c>
      <c r="H233" t="s">
        <v>1647</v>
      </c>
      <c r="I233" t="s">
        <v>337</v>
      </c>
      <c r="J233" t="s">
        <v>1424</v>
      </c>
      <c r="K233" t="s">
        <v>992</v>
      </c>
      <c r="L233" t="s">
        <v>992</v>
      </c>
      <c r="M233" t="s">
        <v>992</v>
      </c>
      <c r="N233" t="s">
        <v>992</v>
      </c>
      <c r="O233" t="s">
        <v>992</v>
      </c>
      <c r="P233" t="s">
        <v>992</v>
      </c>
      <c r="Q233" t="b">
        <v>1</v>
      </c>
      <c r="R233" t="b">
        <v>0</v>
      </c>
      <c r="S233" t="s">
        <v>1032</v>
      </c>
      <c r="T233" t="s">
        <v>992</v>
      </c>
      <c r="U233" t="s">
        <v>1139</v>
      </c>
      <c r="V233" t="s">
        <v>1061</v>
      </c>
      <c r="W233" t="s">
        <v>1206</v>
      </c>
      <c r="X233" t="s">
        <v>1650</v>
      </c>
    </row>
    <row r="234" spans="1:24" x14ac:dyDescent="0.25">
      <c r="A234" t="s">
        <v>42</v>
      </c>
      <c r="B234" t="s">
        <v>1651</v>
      </c>
      <c r="C234" t="s">
        <v>337</v>
      </c>
      <c r="D234" t="s">
        <v>323</v>
      </c>
      <c r="E234" t="s">
        <v>1001</v>
      </c>
      <c r="F234">
        <v>0</v>
      </c>
      <c r="G234" t="s">
        <v>1085</v>
      </c>
      <c r="H234" t="s">
        <v>1647</v>
      </c>
      <c r="I234" t="s">
        <v>337</v>
      </c>
      <c r="J234" t="s">
        <v>1424</v>
      </c>
      <c r="K234" t="s">
        <v>992</v>
      </c>
      <c r="L234" t="s">
        <v>992</v>
      </c>
      <c r="M234" t="s">
        <v>992</v>
      </c>
      <c r="N234" t="s">
        <v>992</v>
      </c>
      <c r="O234" t="s">
        <v>992</v>
      </c>
      <c r="P234" t="s">
        <v>992</v>
      </c>
      <c r="Q234" t="b">
        <v>1</v>
      </c>
      <c r="R234" t="b">
        <v>0</v>
      </c>
      <c r="S234" t="s">
        <v>1032</v>
      </c>
      <c r="T234" t="s">
        <v>992</v>
      </c>
      <c r="U234" t="s">
        <v>1139</v>
      </c>
      <c r="V234" t="s">
        <v>1061</v>
      </c>
      <c r="W234" t="s">
        <v>1206</v>
      </c>
      <c r="X234" t="s">
        <v>1652</v>
      </c>
    </row>
    <row r="235" spans="1:24" x14ac:dyDescent="0.25">
      <c r="A235" t="s">
        <v>42</v>
      </c>
      <c r="B235" t="s">
        <v>1653</v>
      </c>
      <c r="C235" t="s">
        <v>337</v>
      </c>
      <c r="D235" t="s">
        <v>323</v>
      </c>
      <c r="E235" t="s">
        <v>1003</v>
      </c>
      <c r="F235">
        <v>0</v>
      </c>
      <c r="G235" t="s">
        <v>1085</v>
      </c>
      <c r="H235" t="s">
        <v>1647</v>
      </c>
      <c r="I235" t="s">
        <v>337</v>
      </c>
      <c r="J235" t="s">
        <v>1424</v>
      </c>
      <c r="K235" t="s">
        <v>992</v>
      </c>
      <c r="L235" t="s">
        <v>992</v>
      </c>
      <c r="M235" t="s">
        <v>992</v>
      </c>
      <c r="N235" t="s">
        <v>992</v>
      </c>
      <c r="O235" t="s">
        <v>992</v>
      </c>
      <c r="P235" t="s">
        <v>992</v>
      </c>
      <c r="Q235" t="b">
        <v>1</v>
      </c>
      <c r="R235" t="b">
        <v>0</v>
      </c>
      <c r="S235" t="s">
        <v>1032</v>
      </c>
      <c r="T235" t="s">
        <v>992</v>
      </c>
      <c r="U235" t="s">
        <v>1139</v>
      </c>
      <c r="V235" t="s">
        <v>1061</v>
      </c>
      <c r="W235" t="s">
        <v>1206</v>
      </c>
      <c r="X235" t="s">
        <v>1654</v>
      </c>
    </row>
    <row r="236" spans="1:24" x14ac:dyDescent="0.25">
      <c r="A236" t="s">
        <v>42</v>
      </c>
      <c r="B236" t="s">
        <v>1655</v>
      </c>
      <c r="C236" t="s">
        <v>337</v>
      </c>
      <c r="D236" t="s">
        <v>323</v>
      </c>
      <c r="E236" t="s">
        <v>1005</v>
      </c>
      <c r="F236">
        <v>0</v>
      </c>
      <c r="G236" t="s">
        <v>1085</v>
      </c>
      <c r="H236" t="s">
        <v>1647</v>
      </c>
      <c r="I236" t="s">
        <v>337</v>
      </c>
      <c r="J236" t="s">
        <v>1424</v>
      </c>
      <c r="K236" t="s">
        <v>992</v>
      </c>
      <c r="L236" t="s">
        <v>992</v>
      </c>
      <c r="M236" t="s">
        <v>992</v>
      </c>
      <c r="N236" t="s">
        <v>992</v>
      </c>
      <c r="O236" t="s">
        <v>992</v>
      </c>
      <c r="P236" t="s">
        <v>992</v>
      </c>
      <c r="Q236" t="b">
        <v>1</v>
      </c>
      <c r="R236" t="b">
        <v>0</v>
      </c>
      <c r="S236" t="s">
        <v>1032</v>
      </c>
      <c r="T236" t="s">
        <v>992</v>
      </c>
      <c r="U236" t="s">
        <v>1139</v>
      </c>
      <c r="V236" t="s">
        <v>1061</v>
      </c>
      <c r="W236" t="s">
        <v>1206</v>
      </c>
      <c r="X236" t="s">
        <v>1656</v>
      </c>
    </row>
    <row r="237" spans="1:24" x14ac:dyDescent="0.25">
      <c r="A237" t="s">
        <v>42</v>
      </c>
      <c r="B237" t="s">
        <v>1657</v>
      </c>
      <c r="C237" t="s">
        <v>337</v>
      </c>
      <c r="D237" t="s">
        <v>323</v>
      </c>
      <c r="E237" t="s">
        <v>1007</v>
      </c>
      <c r="F237">
        <v>0</v>
      </c>
      <c r="G237" t="s">
        <v>1085</v>
      </c>
      <c r="H237" t="s">
        <v>1647</v>
      </c>
      <c r="I237" t="s">
        <v>337</v>
      </c>
      <c r="J237" t="s">
        <v>1424</v>
      </c>
      <c r="K237" t="s">
        <v>992</v>
      </c>
      <c r="L237" t="s">
        <v>992</v>
      </c>
      <c r="M237" t="s">
        <v>992</v>
      </c>
      <c r="N237" t="s">
        <v>992</v>
      </c>
      <c r="O237" t="s">
        <v>992</v>
      </c>
      <c r="P237" t="s">
        <v>992</v>
      </c>
      <c r="Q237" t="b">
        <v>1</v>
      </c>
      <c r="R237" t="b">
        <v>0</v>
      </c>
      <c r="S237" t="s">
        <v>1032</v>
      </c>
      <c r="T237" t="s">
        <v>992</v>
      </c>
      <c r="U237" t="s">
        <v>1139</v>
      </c>
      <c r="V237" t="s">
        <v>1061</v>
      </c>
      <c r="W237" t="s">
        <v>1206</v>
      </c>
      <c r="X237" t="s">
        <v>1658</v>
      </c>
    </row>
    <row r="238" spans="1:24" x14ac:dyDescent="0.25">
      <c r="A238" t="s">
        <v>42</v>
      </c>
      <c r="B238" t="s">
        <v>1659</v>
      </c>
      <c r="C238" t="s">
        <v>337</v>
      </c>
      <c r="D238" t="s">
        <v>323</v>
      </c>
      <c r="E238" t="s">
        <v>1009</v>
      </c>
      <c r="F238">
        <v>0</v>
      </c>
      <c r="G238" t="s">
        <v>1085</v>
      </c>
      <c r="H238" t="s">
        <v>1647</v>
      </c>
      <c r="I238" t="s">
        <v>337</v>
      </c>
      <c r="J238" t="s">
        <v>1424</v>
      </c>
      <c r="K238" t="s">
        <v>992</v>
      </c>
      <c r="L238" t="s">
        <v>992</v>
      </c>
      <c r="M238" t="s">
        <v>992</v>
      </c>
      <c r="N238" t="s">
        <v>992</v>
      </c>
      <c r="O238" t="s">
        <v>992</v>
      </c>
      <c r="P238" t="s">
        <v>992</v>
      </c>
      <c r="Q238" t="b">
        <v>1</v>
      </c>
      <c r="R238" t="b">
        <v>0</v>
      </c>
      <c r="S238" t="s">
        <v>1032</v>
      </c>
      <c r="T238" t="s">
        <v>992</v>
      </c>
      <c r="U238" t="s">
        <v>1139</v>
      </c>
      <c r="V238" t="s">
        <v>1061</v>
      </c>
      <c r="W238" t="s">
        <v>1206</v>
      </c>
      <c r="X238" t="s">
        <v>1660</v>
      </c>
    </row>
    <row r="239" spans="1:24" x14ac:dyDescent="0.25">
      <c r="A239" t="s">
        <v>42</v>
      </c>
      <c r="B239" t="s">
        <v>1661</v>
      </c>
      <c r="C239" t="s">
        <v>337</v>
      </c>
      <c r="D239" t="s">
        <v>323</v>
      </c>
      <c r="E239" t="s">
        <v>1011</v>
      </c>
      <c r="F239">
        <v>0</v>
      </c>
      <c r="G239" t="s">
        <v>1085</v>
      </c>
      <c r="H239" t="s">
        <v>1647</v>
      </c>
      <c r="I239" t="s">
        <v>337</v>
      </c>
      <c r="J239" t="s">
        <v>1424</v>
      </c>
      <c r="K239" t="s">
        <v>992</v>
      </c>
      <c r="L239" t="s">
        <v>992</v>
      </c>
      <c r="M239" t="s">
        <v>992</v>
      </c>
      <c r="N239" t="s">
        <v>992</v>
      </c>
      <c r="O239" t="s">
        <v>992</v>
      </c>
      <c r="P239" t="s">
        <v>992</v>
      </c>
      <c r="Q239" t="b">
        <v>1</v>
      </c>
      <c r="R239" t="b">
        <v>0</v>
      </c>
      <c r="S239" t="s">
        <v>1032</v>
      </c>
      <c r="T239" t="s">
        <v>992</v>
      </c>
      <c r="U239" t="s">
        <v>1139</v>
      </c>
      <c r="V239" t="s">
        <v>1061</v>
      </c>
      <c r="W239" t="s">
        <v>1206</v>
      </c>
      <c r="X239" t="s">
        <v>1662</v>
      </c>
    </row>
    <row r="240" spans="1:24" x14ac:dyDescent="0.25">
      <c r="A240" t="s">
        <v>42</v>
      </c>
      <c r="B240" t="s">
        <v>1663</v>
      </c>
      <c r="C240" t="s">
        <v>337</v>
      </c>
      <c r="D240" t="s">
        <v>323</v>
      </c>
      <c r="E240" t="s">
        <v>1013</v>
      </c>
      <c r="F240">
        <v>0</v>
      </c>
      <c r="G240" t="s">
        <v>1085</v>
      </c>
      <c r="H240" t="s">
        <v>1647</v>
      </c>
      <c r="I240" t="s">
        <v>337</v>
      </c>
      <c r="J240" t="s">
        <v>1424</v>
      </c>
      <c r="K240" t="s">
        <v>992</v>
      </c>
      <c r="L240" t="s">
        <v>992</v>
      </c>
      <c r="M240" t="s">
        <v>992</v>
      </c>
      <c r="N240" t="s">
        <v>992</v>
      </c>
      <c r="O240" t="s">
        <v>992</v>
      </c>
      <c r="P240" t="s">
        <v>992</v>
      </c>
      <c r="Q240" t="b">
        <v>1</v>
      </c>
      <c r="R240" t="b">
        <v>0</v>
      </c>
      <c r="S240" t="s">
        <v>1032</v>
      </c>
      <c r="T240" t="s">
        <v>992</v>
      </c>
      <c r="U240" t="s">
        <v>1139</v>
      </c>
      <c r="V240" t="s">
        <v>1061</v>
      </c>
      <c r="W240" t="s">
        <v>1206</v>
      </c>
      <c r="X240" t="s">
        <v>1664</v>
      </c>
    </row>
    <row r="241" spans="1:24" x14ac:dyDescent="0.25">
      <c r="A241" t="s">
        <v>42</v>
      </c>
      <c r="B241" t="s">
        <v>1665</v>
      </c>
      <c r="C241" t="s">
        <v>337</v>
      </c>
      <c r="D241" t="s">
        <v>323</v>
      </c>
      <c r="E241" t="s">
        <v>1015</v>
      </c>
      <c r="F241">
        <v>0</v>
      </c>
      <c r="G241" t="s">
        <v>1085</v>
      </c>
      <c r="H241" t="s">
        <v>1647</v>
      </c>
      <c r="I241" t="s">
        <v>337</v>
      </c>
      <c r="J241" t="s">
        <v>1424</v>
      </c>
      <c r="K241" t="s">
        <v>992</v>
      </c>
      <c r="L241" t="s">
        <v>992</v>
      </c>
      <c r="M241" t="s">
        <v>992</v>
      </c>
      <c r="N241" t="s">
        <v>992</v>
      </c>
      <c r="O241" t="s">
        <v>992</v>
      </c>
      <c r="P241" t="s">
        <v>992</v>
      </c>
      <c r="Q241" t="b">
        <v>1</v>
      </c>
      <c r="R241" t="b">
        <v>0</v>
      </c>
      <c r="S241" t="s">
        <v>1032</v>
      </c>
      <c r="T241" t="s">
        <v>992</v>
      </c>
      <c r="U241" t="s">
        <v>1139</v>
      </c>
      <c r="V241" t="s">
        <v>1061</v>
      </c>
      <c r="W241" t="s">
        <v>1206</v>
      </c>
      <c r="X241" t="s">
        <v>1666</v>
      </c>
    </row>
    <row r="242" spans="1:24" x14ac:dyDescent="0.25">
      <c r="A242" t="s">
        <v>42</v>
      </c>
      <c r="B242" t="s">
        <v>1667</v>
      </c>
      <c r="C242" t="s">
        <v>337</v>
      </c>
      <c r="D242" t="s">
        <v>323</v>
      </c>
      <c r="E242" t="s">
        <v>1017</v>
      </c>
      <c r="F242">
        <v>0</v>
      </c>
      <c r="G242" t="s">
        <v>1085</v>
      </c>
      <c r="H242" t="s">
        <v>1647</v>
      </c>
      <c r="I242" t="s">
        <v>337</v>
      </c>
      <c r="J242" t="s">
        <v>1424</v>
      </c>
      <c r="K242" t="s">
        <v>992</v>
      </c>
      <c r="L242" t="s">
        <v>992</v>
      </c>
      <c r="M242" t="s">
        <v>992</v>
      </c>
      <c r="N242" t="s">
        <v>992</v>
      </c>
      <c r="O242" t="s">
        <v>992</v>
      </c>
      <c r="P242" t="s">
        <v>992</v>
      </c>
      <c r="Q242" t="b">
        <v>1</v>
      </c>
      <c r="R242" t="b">
        <v>0</v>
      </c>
      <c r="S242" t="s">
        <v>1032</v>
      </c>
      <c r="T242" t="s">
        <v>992</v>
      </c>
      <c r="U242" t="s">
        <v>1139</v>
      </c>
      <c r="V242" t="s">
        <v>1061</v>
      </c>
      <c r="W242" t="s">
        <v>1206</v>
      </c>
      <c r="X242" t="s">
        <v>1668</v>
      </c>
    </row>
    <row r="243" spans="1:24" x14ac:dyDescent="0.25">
      <c r="A243" t="s">
        <v>42</v>
      </c>
      <c r="B243" t="s">
        <v>1669</v>
      </c>
      <c r="C243" t="s">
        <v>337</v>
      </c>
      <c r="D243" t="s">
        <v>323</v>
      </c>
      <c r="E243" t="s">
        <v>1019</v>
      </c>
      <c r="F243">
        <v>0</v>
      </c>
      <c r="G243" t="s">
        <v>1085</v>
      </c>
      <c r="H243" t="s">
        <v>1647</v>
      </c>
      <c r="I243" t="s">
        <v>337</v>
      </c>
      <c r="J243" t="s">
        <v>1424</v>
      </c>
      <c r="K243" t="s">
        <v>992</v>
      </c>
      <c r="L243" t="s">
        <v>992</v>
      </c>
      <c r="M243" t="s">
        <v>992</v>
      </c>
      <c r="N243" t="s">
        <v>992</v>
      </c>
      <c r="O243" t="s">
        <v>992</v>
      </c>
      <c r="P243" t="s">
        <v>992</v>
      </c>
      <c r="Q243" t="b">
        <v>1</v>
      </c>
      <c r="R243" t="b">
        <v>0</v>
      </c>
      <c r="S243" t="s">
        <v>1032</v>
      </c>
      <c r="T243" t="s">
        <v>992</v>
      </c>
      <c r="U243" t="s">
        <v>1139</v>
      </c>
      <c r="V243" t="s">
        <v>1061</v>
      </c>
      <c r="W243" t="s">
        <v>1206</v>
      </c>
      <c r="X243" t="s">
        <v>1670</v>
      </c>
    </row>
    <row r="244" spans="1:24" x14ac:dyDescent="0.25">
      <c r="A244" t="s">
        <v>42</v>
      </c>
      <c r="B244" t="s">
        <v>1671</v>
      </c>
      <c r="C244" t="s">
        <v>337</v>
      </c>
      <c r="D244" t="s">
        <v>323</v>
      </c>
      <c r="E244" t="s">
        <v>1021</v>
      </c>
      <c r="F244">
        <v>0</v>
      </c>
      <c r="G244" t="s">
        <v>1085</v>
      </c>
      <c r="H244" t="s">
        <v>1647</v>
      </c>
      <c r="I244" t="s">
        <v>337</v>
      </c>
      <c r="J244" t="s">
        <v>1424</v>
      </c>
      <c r="K244" t="s">
        <v>992</v>
      </c>
      <c r="L244" t="s">
        <v>992</v>
      </c>
      <c r="M244" t="s">
        <v>992</v>
      </c>
      <c r="N244" t="s">
        <v>992</v>
      </c>
      <c r="O244" t="s">
        <v>992</v>
      </c>
      <c r="P244" t="s">
        <v>992</v>
      </c>
      <c r="Q244" t="b">
        <v>1</v>
      </c>
      <c r="R244" t="b">
        <v>0</v>
      </c>
      <c r="S244" t="s">
        <v>1032</v>
      </c>
      <c r="T244" t="s">
        <v>992</v>
      </c>
      <c r="U244" t="s">
        <v>1139</v>
      </c>
      <c r="V244" t="s">
        <v>1061</v>
      </c>
      <c r="W244" t="s">
        <v>1206</v>
      </c>
      <c r="X244" t="s">
        <v>1672</v>
      </c>
    </row>
    <row r="245" spans="1:24" x14ac:dyDescent="0.25">
      <c r="A245" t="s">
        <v>42</v>
      </c>
      <c r="B245" t="s">
        <v>1673</v>
      </c>
      <c r="C245" t="s">
        <v>337</v>
      </c>
      <c r="D245" t="s">
        <v>323</v>
      </c>
      <c r="E245" t="s">
        <v>1129</v>
      </c>
      <c r="F245">
        <v>0</v>
      </c>
      <c r="G245" t="s">
        <v>1085</v>
      </c>
      <c r="H245" t="s">
        <v>1647</v>
      </c>
      <c r="I245" t="s">
        <v>337</v>
      </c>
      <c r="J245" t="s">
        <v>1424</v>
      </c>
      <c r="K245" t="s">
        <v>992</v>
      </c>
      <c r="L245" t="s">
        <v>992</v>
      </c>
      <c r="M245" t="s">
        <v>992</v>
      </c>
      <c r="N245" t="s">
        <v>992</v>
      </c>
      <c r="O245" t="s">
        <v>992</v>
      </c>
      <c r="P245" t="s">
        <v>992</v>
      </c>
      <c r="Q245" t="b">
        <v>1</v>
      </c>
      <c r="R245" t="b">
        <v>0</v>
      </c>
      <c r="S245" t="s">
        <v>1032</v>
      </c>
      <c r="T245" t="s">
        <v>992</v>
      </c>
      <c r="U245" t="s">
        <v>1139</v>
      </c>
      <c r="V245" t="s">
        <v>1061</v>
      </c>
      <c r="W245" t="s">
        <v>1206</v>
      </c>
      <c r="X245" t="s">
        <v>1674</v>
      </c>
    </row>
    <row r="246" spans="1:24" x14ac:dyDescent="0.25">
      <c r="A246" t="s">
        <v>42</v>
      </c>
      <c r="B246" t="s">
        <v>1675</v>
      </c>
      <c r="C246" t="s">
        <v>338</v>
      </c>
      <c r="D246" t="s">
        <v>323</v>
      </c>
      <c r="E246" t="s">
        <v>990</v>
      </c>
      <c r="F246">
        <v>175019</v>
      </c>
      <c r="G246" t="s">
        <v>1051</v>
      </c>
      <c r="H246" t="s">
        <v>1676</v>
      </c>
      <c r="I246" t="s">
        <v>1677</v>
      </c>
      <c r="J246" t="s">
        <v>1424</v>
      </c>
      <c r="K246" t="s">
        <v>1026</v>
      </c>
      <c r="L246" t="s">
        <v>1027</v>
      </c>
      <c r="M246" t="s">
        <v>1028</v>
      </c>
      <c r="N246" t="s">
        <v>1029</v>
      </c>
      <c r="O246" t="s">
        <v>992</v>
      </c>
      <c r="P246" t="s">
        <v>1031</v>
      </c>
      <c r="Q246" t="b">
        <v>1</v>
      </c>
      <c r="R246" t="b">
        <v>0</v>
      </c>
      <c r="S246" t="s">
        <v>1375</v>
      </c>
      <c r="T246" t="s">
        <v>992</v>
      </c>
      <c r="U246" t="s">
        <v>1060</v>
      </c>
      <c r="V246" t="s">
        <v>995</v>
      </c>
      <c r="W246" t="s">
        <v>1034</v>
      </c>
      <c r="X246" t="s">
        <v>1425</v>
      </c>
    </row>
    <row r="247" spans="1:24" x14ac:dyDescent="0.25">
      <c r="A247" t="s">
        <v>42</v>
      </c>
      <c r="B247" t="s">
        <v>1678</v>
      </c>
      <c r="C247" t="s">
        <v>338</v>
      </c>
      <c r="D247" t="s">
        <v>323</v>
      </c>
      <c r="E247" t="s">
        <v>999</v>
      </c>
      <c r="F247">
        <v>175849</v>
      </c>
      <c r="G247" t="s">
        <v>1051</v>
      </c>
      <c r="H247" t="s">
        <v>1679</v>
      </c>
      <c r="I247" t="s">
        <v>1677</v>
      </c>
      <c r="J247" t="s">
        <v>1424</v>
      </c>
      <c r="K247" t="s">
        <v>1038</v>
      </c>
      <c r="L247" t="s">
        <v>1039</v>
      </c>
      <c r="M247" t="s">
        <v>1028</v>
      </c>
      <c r="N247" t="s">
        <v>1040</v>
      </c>
      <c r="O247" t="s">
        <v>992</v>
      </c>
      <c r="P247" t="s">
        <v>1042</v>
      </c>
      <c r="Q247" t="b">
        <v>1</v>
      </c>
      <c r="R247" t="b">
        <v>0</v>
      </c>
      <c r="S247" t="s">
        <v>1375</v>
      </c>
      <c r="T247" t="s">
        <v>992</v>
      </c>
      <c r="U247" t="s">
        <v>1060</v>
      </c>
      <c r="V247" t="s">
        <v>995</v>
      </c>
      <c r="W247" t="s">
        <v>1034</v>
      </c>
      <c r="X247" t="s">
        <v>1425</v>
      </c>
    </row>
    <row r="248" spans="1:24" x14ac:dyDescent="0.25">
      <c r="A248" t="s">
        <v>42</v>
      </c>
      <c r="B248" t="s">
        <v>1680</v>
      </c>
      <c r="C248" t="s">
        <v>338</v>
      </c>
      <c r="D248" t="s">
        <v>323</v>
      </c>
      <c r="E248" t="s">
        <v>1001</v>
      </c>
      <c r="F248">
        <v>168829</v>
      </c>
      <c r="G248" t="s">
        <v>1051</v>
      </c>
      <c r="H248" t="s">
        <v>1681</v>
      </c>
      <c r="I248" t="s">
        <v>1677</v>
      </c>
      <c r="J248" t="s">
        <v>1424</v>
      </c>
      <c r="K248" t="s">
        <v>1045</v>
      </c>
      <c r="L248" t="s">
        <v>1046</v>
      </c>
      <c r="M248" t="s">
        <v>1028</v>
      </c>
      <c r="N248" t="s">
        <v>1047</v>
      </c>
      <c r="O248" t="s">
        <v>992</v>
      </c>
      <c r="P248" t="s">
        <v>1049</v>
      </c>
      <c r="Q248" t="b">
        <v>1</v>
      </c>
      <c r="R248" t="b">
        <v>0</v>
      </c>
      <c r="S248" t="s">
        <v>1375</v>
      </c>
      <c r="T248" t="s">
        <v>992</v>
      </c>
      <c r="U248" t="s">
        <v>1060</v>
      </c>
      <c r="V248" t="s">
        <v>995</v>
      </c>
      <c r="W248" t="s">
        <v>1034</v>
      </c>
      <c r="X248" t="s">
        <v>1425</v>
      </c>
    </row>
    <row r="249" spans="1:24" x14ac:dyDescent="0.25">
      <c r="A249" t="s">
        <v>42</v>
      </c>
      <c r="B249" t="s">
        <v>1682</v>
      </c>
      <c r="C249" t="s">
        <v>338</v>
      </c>
      <c r="D249" t="s">
        <v>323</v>
      </c>
      <c r="E249" t="s">
        <v>1003</v>
      </c>
      <c r="F249">
        <v>165302</v>
      </c>
      <c r="G249" t="s">
        <v>1051</v>
      </c>
      <c r="H249" t="s">
        <v>1683</v>
      </c>
      <c r="I249" t="s">
        <v>1677</v>
      </c>
      <c r="J249" t="s">
        <v>1424</v>
      </c>
      <c r="K249" t="s">
        <v>1087</v>
      </c>
      <c r="L249" t="s">
        <v>1088</v>
      </c>
      <c r="M249" t="s">
        <v>1056</v>
      </c>
      <c r="N249" t="s">
        <v>1089</v>
      </c>
      <c r="O249" t="s">
        <v>992</v>
      </c>
      <c r="P249" t="s">
        <v>1058</v>
      </c>
      <c r="Q249" t="b">
        <v>1</v>
      </c>
      <c r="R249" t="b">
        <v>0</v>
      </c>
      <c r="S249" t="s">
        <v>1375</v>
      </c>
      <c r="T249" t="s">
        <v>992</v>
      </c>
      <c r="U249" t="s">
        <v>1060</v>
      </c>
      <c r="V249" t="s">
        <v>995</v>
      </c>
      <c r="W249" t="s">
        <v>1034</v>
      </c>
      <c r="X249" t="s">
        <v>1425</v>
      </c>
    </row>
    <row r="250" spans="1:24" x14ac:dyDescent="0.25">
      <c r="A250" t="s">
        <v>42</v>
      </c>
      <c r="B250" t="s">
        <v>1684</v>
      </c>
      <c r="C250" t="s">
        <v>338</v>
      </c>
      <c r="D250" t="s">
        <v>323</v>
      </c>
      <c r="E250" t="s">
        <v>1005</v>
      </c>
      <c r="F250">
        <v>166156</v>
      </c>
      <c r="G250" t="s">
        <v>1051</v>
      </c>
      <c r="H250" t="s">
        <v>1685</v>
      </c>
      <c r="I250" t="s">
        <v>1677</v>
      </c>
      <c r="J250" t="s">
        <v>1424</v>
      </c>
      <c r="K250" t="s">
        <v>1065</v>
      </c>
      <c r="L250" t="s">
        <v>1066</v>
      </c>
      <c r="M250" t="s">
        <v>1028</v>
      </c>
      <c r="N250" t="s">
        <v>1067</v>
      </c>
      <c r="O250" t="s">
        <v>992</v>
      </c>
      <c r="P250" t="s">
        <v>1069</v>
      </c>
      <c r="Q250" t="b">
        <v>1</v>
      </c>
      <c r="R250" t="b">
        <v>0</v>
      </c>
      <c r="S250" t="s">
        <v>1375</v>
      </c>
      <c r="T250" t="s">
        <v>992</v>
      </c>
      <c r="U250" t="s">
        <v>1060</v>
      </c>
      <c r="V250" t="s">
        <v>995</v>
      </c>
      <c r="W250" t="s">
        <v>1034</v>
      </c>
      <c r="X250" t="s">
        <v>1425</v>
      </c>
    </row>
    <row r="251" spans="1:24" x14ac:dyDescent="0.25">
      <c r="A251" t="s">
        <v>42</v>
      </c>
      <c r="B251" t="s">
        <v>1686</v>
      </c>
      <c r="C251" t="s">
        <v>338</v>
      </c>
      <c r="D251" t="s">
        <v>323</v>
      </c>
      <c r="E251" t="s">
        <v>1007</v>
      </c>
      <c r="F251">
        <v>165449</v>
      </c>
      <c r="G251" t="s">
        <v>1051</v>
      </c>
      <c r="H251" t="s">
        <v>1687</v>
      </c>
      <c r="I251" t="s">
        <v>1677</v>
      </c>
      <c r="J251" t="s">
        <v>1424</v>
      </c>
      <c r="K251" t="s">
        <v>1072</v>
      </c>
      <c r="L251" t="s">
        <v>1073</v>
      </c>
      <c r="M251" t="s">
        <v>1028</v>
      </c>
      <c r="N251" t="s">
        <v>1074</v>
      </c>
      <c r="O251" t="s">
        <v>992</v>
      </c>
      <c r="P251" t="s">
        <v>1076</v>
      </c>
      <c r="Q251" t="b">
        <v>1</v>
      </c>
      <c r="R251" t="b">
        <v>0</v>
      </c>
      <c r="S251" t="s">
        <v>1375</v>
      </c>
      <c r="T251" t="s">
        <v>992</v>
      </c>
      <c r="U251" t="s">
        <v>1060</v>
      </c>
      <c r="V251" t="s">
        <v>995</v>
      </c>
      <c r="W251" t="s">
        <v>1034</v>
      </c>
      <c r="X251" t="s">
        <v>1425</v>
      </c>
    </row>
    <row r="252" spans="1:24" x14ac:dyDescent="0.25">
      <c r="A252" t="s">
        <v>42</v>
      </c>
      <c r="B252" t="s">
        <v>1688</v>
      </c>
      <c r="C252" t="s">
        <v>338</v>
      </c>
      <c r="D252" t="s">
        <v>323</v>
      </c>
      <c r="E252" t="s">
        <v>1009</v>
      </c>
      <c r="F252">
        <v>161675</v>
      </c>
      <c r="G252" t="s">
        <v>1051</v>
      </c>
      <c r="H252" t="s">
        <v>1689</v>
      </c>
      <c r="I252" t="s">
        <v>1677</v>
      </c>
      <c r="J252" t="s">
        <v>1424</v>
      </c>
      <c r="K252" t="s">
        <v>1079</v>
      </c>
      <c r="L252" t="s">
        <v>1080</v>
      </c>
      <c r="M252" t="s">
        <v>1028</v>
      </c>
      <c r="N252" t="s">
        <v>1081</v>
      </c>
      <c r="O252" t="s">
        <v>992</v>
      </c>
      <c r="P252" t="s">
        <v>1083</v>
      </c>
      <c r="Q252" t="b">
        <v>1</v>
      </c>
      <c r="R252" t="b">
        <v>0</v>
      </c>
      <c r="S252" t="s">
        <v>1375</v>
      </c>
      <c r="T252" t="s">
        <v>992</v>
      </c>
      <c r="U252" t="s">
        <v>1060</v>
      </c>
      <c r="V252" t="s">
        <v>995</v>
      </c>
      <c r="W252" t="s">
        <v>1034</v>
      </c>
      <c r="X252" t="s">
        <v>1425</v>
      </c>
    </row>
    <row r="253" spans="1:24" x14ac:dyDescent="0.25">
      <c r="A253" t="s">
        <v>42</v>
      </c>
      <c r="B253" t="s">
        <v>1690</v>
      </c>
      <c r="C253" t="s">
        <v>338</v>
      </c>
      <c r="D253" t="s">
        <v>323</v>
      </c>
      <c r="E253" t="s">
        <v>1011</v>
      </c>
      <c r="F253">
        <v>166313</v>
      </c>
      <c r="G253" t="s">
        <v>1051</v>
      </c>
      <c r="H253" t="s">
        <v>1691</v>
      </c>
      <c r="I253" t="s">
        <v>1677</v>
      </c>
      <c r="J253" t="s">
        <v>1424</v>
      </c>
      <c r="K253" t="s">
        <v>1116</v>
      </c>
      <c r="L253" t="s">
        <v>1117</v>
      </c>
      <c r="M253" t="s">
        <v>1056</v>
      </c>
      <c r="N253" t="s">
        <v>1118</v>
      </c>
      <c r="O253" t="s">
        <v>992</v>
      </c>
      <c r="P253" t="s">
        <v>1090</v>
      </c>
      <c r="Q253" t="b">
        <v>1</v>
      </c>
      <c r="R253" t="b">
        <v>0</v>
      </c>
      <c r="S253" t="s">
        <v>1375</v>
      </c>
      <c r="T253" t="s">
        <v>992</v>
      </c>
      <c r="U253" t="s">
        <v>1060</v>
      </c>
      <c r="V253" t="s">
        <v>995</v>
      </c>
      <c r="W253" t="s">
        <v>1034</v>
      </c>
      <c r="X253" t="s">
        <v>1425</v>
      </c>
    </row>
    <row r="254" spans="1:24" x14ac:dyDescent="0.25">
      <c r="A254" t="s">
        <v>42</v>
      </c>
      <c r="B254" t="s">
        <v>1692</v>
      </c>
      <c r="C254" t="s">
        <v>338</v>
      </c>
      <c r="D254" t="s">
        <v>323</v>
      </c>
      <c r="E254" t="s">
        <v>1013</v>
      </c>
      <c r="F254">
        <v>164776</v>
      </c>
      <c r="G254" t="s">
        <v>1085</v>
      </c>
      <c r="H254" t="s">
        <v>1693</v>
      </c>
      <c r="I254" t="s">
        <v>1677</v>
      </c>
      <c r="J254" t="s">
        <v>1424</v>
      </c>
      <c r="K254" t="s">
        <v>1094</v>
      </c>
      <c r="L254" t="s">
        <v>1095</v>
      </c>
      <c r="M254" t="s">
        <v>1028</v>
      </c>
      <c r="N254" t="s">
        <v>1096</v>
      </c>
      <c r="O254" t="s">
        <v>992</v>
      </c>
      <c r="P254" t="s">
        <v>1098</v>
      </c>
      <c r="Q254" t="b">
        <v>1</v>
      </c>
      <c r="R254" t="b">
        <v>0</v>
      </c>
      <c r="S254" t="s">
        <v>1032</v>
      </c>
      <c r="T254" t="s">
        <v>992</v>
      </c>
      <c r="U254" t="s">
        <v>1139</v>
      </c>
      <c r="V254" t="s">
        <v>995</v>
      </c>
      <c r="W254" t="s">
        <v>1034</v>
      </c>
      <c r="X254" t="s">
        <v>1694</v>
      </c>
    </row>
    <row r="255" spans="1:24" x14ac:dyDescent="0.25">
      <c r="A255" t="s">
        <v>42</v>
      </c>
      <c r="B255" t="s">
        <v>1695</v>
      </c>
      <c r="C255" t="s">
        <v>338</v>
      </c>
      <c r="D255" t="s">
        <v>323</v>
      </c>
      <c r="E255" t="s">
        <v>1015</v>
      </c>
      <c r="F255">
        <v>165683</v>
      </c>
      <c r="G255" t="s">
        <v>1085</v>
      </c>
      <c r="H255" t="s">
        <v>1696</v>
      </c>
      <c r="I255" t="s">
        <v>1677</v>
      </c>
      <c r="J255" t="s">
        <v>1424</v>
      </c>
      <c r="K255" t="s">
        <v>1102</v>
      </c>
      <c r="L255" t="s">
        <v>1103</v>
      </c>
      <c r="M255" t="s">
        <v>1028</v>
      </c>
      <c r="N255" t="s">
        <v>1104</v>
      </c>
      <c r="O255" t="s">
        <v>992</v>
      </c>
      <c r="P255" t="s">
        <v>1106</v>
      </c>
      <c r="Q255" t="b">
        <v>1</v>
      </c>
      <c r="R255" t="b">
        <v>0</v>
      </c>
      <c r="S255" t="s">
        <v>1032</v>
      </c>
      <c r="T255" t="s">
        <v>992</v>
      </c>
      <c r="U255" t="s">
        <v>1139</v>
      </c>
      <c r="V255" t="s">
        <v>995</v>
      </c>
      <c r="W255" t="s">
        <v>1034</v>
      </c>
      <c r="X255" t="s">
        <v>1697</v>
      </c>
    </row>
    <row r="256" spans="1:24" x14ac:dyDescent="0.25">
      <c r="A256" t="s">
        <v>42</v>
      </c>
      <c r="B256" t="s">
        <v>1698</v>
      </c>
      <c r="C256" t="s">
        <v>338</v>
      </c>
      <c r="D256" t="s">
        <v>323</v>
      </c>
      <c r="E256" t="s">
        <v>1017</v>
      </c>
      <c r="F256">
        <v>160496</v>
      </c>
      <c r="G256" t="s">
        <v>1085</v>
      </c>
      <c r="H256" t="s">
        <v>1699</v>
      </c>
      <c r="I256" t="s">
        <v>1677</v>
      </c>
      <c r="J256" t="s">
        <v>1424</v>
      </c>
      <c r="K256" t="s">
        <v>1109</v>
      </c>
      <c r="L256" t="s">
        <v>1110</v>
      </c>
      <c r="M256" t="s">
        <v>1028</v>
      </c>
      <c r="N256" t="s">
        <v>1111</v>
      </c>
      <c r="O256" t="s">
        <v>992</v>
      </c>
      <c r="P256" t="s">
        <v>1113</v>
      </c>
      <c r="Q256" t="b">
        <v>1</v>
      </c>
      <c r="R256" t="b">
        <v>0</v>
      </c>
      <c r="S256" t="s">
        <v>1032</v>
      </c>
      <c r="T256" t="s">
        <v>992</v>
      </c>
      <c r="U256" t="s">
        <v>1139</v>
      </c>
      <c r="V256" t="s">
        <v>995</v>
      </c>
      <c r="W256" t="s">
        <v>1034</v>
      </c>
      <c r="X256" t="s">
        <v>1700</v>
      </c>
    </row>
    <row r="257" spans="1:24" x14ac:dyDescent="0.25">
      <c r="A257" t="s">
        <v>42</v>
      </c>
      <c r="B257" t="s">
        <v>1701</v>
      </c>
      <c r="C257" t="s">
        <v>338</v>
      </c>
      <c r="D257" t="s">
        <v>323</v>
      </c>
      <c r="E257" t="s">
        <v>1019</v>
      </c>
      <c r="F257">
        <v>148149</v>
      </c>
      <c r="G257" t="s">
        <v>1085</v>
      </c>
      <c r="H257" t="s">
        <v>1702</v>
      </c>
      <c r="I257" t="s">
        <v>1703</v>
      </c>
      <c r="J257" t="s">
        <v>1424</v>
      </c>
      <c r="K257" t="s">
        <v>1131</v>
      </c>
      <c r="L257" t="s">
        <v>1132</v>
      </c>
      <c r="M257" t="s">
        <v>1028</v>
      </c>
      <c r="N257" t="s">
        <v>1133</v>
      </c>
      <c r="O257" t="s">
        <v>992</v>
      </c>
      <c r="P257" t="s">
        <v>1119</v>
      </c>
      <c r="Q257" t="b">
        <v>1</v>
      </c>
      <c r="R257" t="b">
        <v>0</v>
      </c>
      <c r="S257" t="s">
        <v>1032</v>
      </c>
      <c r="T257" t="s">
        <v>992</v>
      </c>
      <c r="U257" t="s">
        <v>1139</v>
      </c>
      <c r="V257" t="s">
        <v>995</v>
      </c>
      <c r="W257" t="s">
        <v>1034</v>
      </c>
      <c r="X257" t="s">
        <v>1704</v>
      </c>
    </row>
    <row r="258" spans="1:24" x14ac:dyDescent="0.25">
      <c r="A258" t="s">
        <v>42</v>
      </c>
      <c r="B258" t="s">
        <v>1705</v>
      </c>
      <c r="C258" t="s">
        <v>338</v>
      </c>
      <c r="D258" t="s">
        <v>323</v>
      </c>
      <c r="E258" t="s">
        <v>1021</v>
      </c>
      <c r="F258">
        <v>171034</v>
      </c>
      <c r="G258" t="s">
        <v>1051</v>
      </c>
      <c r="H258" t="s">
        <v>1706</v>
      </c>
      <c r="I258" t="s">
        <v>1677</v>
      </c>
      <c r="J258" t="s">
        <v>1424</v>
      </c>
      <c r="K258" t="s">
        <v>1123</v>
      </c>
      <c r="L258" t="s">
        <v>1124</v>
      </c>
      <c r="M258" t="s">
        <v>1028</v>
      </c>
      <c r="N258" t="s">
        <v>1125</v>
      </c>
      <c r="O258" t="s">
        <v>992</v>
      </c>
      <c r="P258" t="s">
        <v>1127</v>
      </c>
      <c r="Q258" t="b">
        <v>1</v>
      </c>
      <c r="R258" t="b">
        <v>0</v>
      </c>
      <c r="S258" t="s">
        <v>1375</v>
      </c>
      <c r="T258" t="s">
        <v>992</v>
      </c>
      <c r="U258" t="s">
        <v>1060</v>
      </c>
      <c r="V258" t="s">
        <v>995</v>
      </c>
      <c r="W258" t="s">
        <v>1034</v>
      </c>
      <c r="X258" t="s">
        <v>1425</v>
      </c>
    </row>
    <row r="259" spans="1:24" x14ac:dyDescent="0.25">
      <c r="A259" t="s">
        <v>42</v>
      </c>
      <c r="B259" t="s">
        <v>1707</v>
      </c>
      <c r="C259" t="s">
        <v>338</v>
      </c>
      <c r="D259" t="s">
        <v>323</v>
      </c>
      <c r="E259" t="s">
        <v>1129</v>
      </c>
      <c r="F259">
        <v>151055</v>
      </c>
      <c r="G259" t="s">
        <v>1051</v>
      </c>
      <c r="H259" t="s">
        <v>1708</v>
      </c>
      <c r="I259" t="s">
        <v>1703</v>
      </c>
      <c r="J259" t="s">
        <v>1424</v>
      </c>
      <c r="K259" t="s">
        <v>1131</v>
      </c>
      <c r="L259" t="s">
        <v>1132</v>
      </c>
      <c r="M259" t="s">
        <v>1028</v>
      </c>
      <c r="N259" t="s">
        <v>1133</v>
      </c>
      <c r="O259" t="s">
        <v>992</v>
      </c>
      <c r="P259" t="s">
        <v>1135</v>
      </c>
      <c r="Q259" t="b">
        <v>1</v>
      </c>
      <c r="R259" t="b">
        <v>0</v>
      </c>
      <c r="S259" t="s">
        <v>1375</v>
      </c>
      <c r="T259" t="s">
        <v>992</v>
      </c>
      <c r="U259" t="s">
        <v>1060</v>
      </c>
      <c r="V259" t="s">
        <v>995</v>
      </c>
      <c r="W259" t="s">
        <v>1034</v>
      </c>
      <c r="X259" t="s">
        <v>1425</v>
      </c>
    </row>
    <row r="260" spans="1:24" x14ac:dyDescent="0.25">
      <c r="A260" t="s">
        <v>42</v>
      </c>
      <c r="B260" t="s">
        <v>1709</v>
      </c>
      <c r="C260" t="s">
        <v>341</v>
      </c>
      <c r="D260" t="s">
        <v>992</v>
      </c>
      <c r="E260" t="s">
        <v>990</v>
      </c>
      <c r="F260">
        <v>57918</v>
      </c>
      <c r="G260" t="s">
        <v>1085</v>
      </c>
      <c r="H260" t="s">
        <v>1710</v>
      </c>
      <c r="I260" t="s">
        <v>1711</v>
      </c>
      <c r="J260" t="s">
        <v>1424</v>
      </c>
      <c r="K260" t="s">
        <v>1026</v>
      </c>
      <c r="L260" t="s">
        <v>1027</v>
      </c>
      <c r="M260" t="s">
        <v>1028</v>
      </c>
      <c r="N260" t="s">
        <v>1029</v>
      </c>
      <c r="O260" t="s">
        <v>992</v>
      </c>
      <c r="P260" t="s">
        <v>1031</v>
      </c>
      <c r="Q260" t="b">
        <v>1</v>
      </c>
      <c r="R260" t="b">
        <v>0</v>
      </c>
      <c r="S260" t="s">
        <v>1032</v>
      </c>
      <c r="T260" t="s">
        <v>992</v>
      </c>
      <c r="U260" t="s">
        <v>1139</v>
      </c>
      <c r="V260" t="s">
        <v>995</v>
      </c>
      <c r="W260" t="s">
        <v>1034</v>
      </c>
      <c r="X260" t="s">
        <v>1712</v>
      </c>
    </row>
    <row r="261" spans="1:24" x14ac:dyDescent="0.25">
      <c r="A261" t="s">
        <v>42</v>
      </c>
      <c r="B261" t="s">
        <v>1713</v>
      </c>
      <c r="C261" t="s">
        <v>341</v>
      </c>
      <c r="D261" t="s">
        <v>992</v>
      </c>
      <c r="E261" t="s">
        <v>999</v>
      </c>
      <c r="F261">
        <v>42945</v>
      </c>
      <c r="G261" t="s">
        <v>1085</v>
      </c>
      <c r="H261" t="s">
        <v>1714</v>
      </c>
      <c r="I261" t="s">
        <v>1711</v>
      </c>
      <c r="J261" t="s">
        <v>1424</v>
      </c>
      <c r="K261" t="s">
        <v>1038</v>
      </c>
      <c r="L261" t="s">
        <v>1039</v>
      </c>
      <c r="M261" t="s">
        <v>1028</v>
      </c>
      <c r="N261" t="s">
        <v>1040</v>
      </c>
      <c r="O261" t="s">
        <v>992</v>
      </c>
      <c r="P261" t="s">
        <v>1042</v>
      </c>
      <c r="Q261" t="b">
        <v>1</v>
      </c>
      <c r="R261" t="b">
        <v>0</v>
      </c>
      <c r="S261" t="s">
        <v>1032</v>
      </c>
      <c r="T261" t="s">
        <v>992</v>
      </c>
      <c r="U261" t="s">
        <v>1139</v>
      </c>
      <c r="V261" t="s">
        <v>995</v>
      </c>
      <c r="W261" t="s">
        <v>1034</v>
      </c>
      <c r="X261" t="s">
        <v>1715</v>
      </c>
    </row>
    <row r="262" spans="1:24" x14ac:dyDescent="0.25">
      <c r="A262" t="s">
        <v>42</v>
      </c>
      <c r="B262" t="s">
        <v>1716</v>
      </c>
      <c r="C262" t="s">
        <v>341</v>
      </c>
      <c r="D262" t="s">
        <v>992</v>
      </c>
      <c r="E262" t="s">
        <v>1001</v>
      </c>
      <c r="F262">
        <v>46699</v>
      </c>
      <c r="G262" t="s">
        <v>1085</v>
      </c>
      <c r="H262" t="s">
        <v>1717</v>
      </c>
      <c r="I262" t="s">
        <v>1711</v>
      </c>
      <c r="J262" t="s">
        <v>1424</v>
      </c>
      <c r="K262" t="s">
        <v>1045</v>
      </c>
      <c r="L262" t="s">
        <v>1046</v>
      </c>
      <c r="M262" t="s">
        <v>1028</v>
      </c>
      <c r="N262" t="s">
        <v>1047</v>
      </c>
      <c r="O262" t="s">
        <v>992</v>
      </c>
      <c r="P262" t="s">
        <v>1049</v>
      </c>
      <c r="Q262" t="b">
        <v>1</v>
      </c>
      <c r="R262" t="b">
        <v>0</v>
      </c>
      <c r="S262" t="s">
        <v>1032</v>
      </c>
      <c r="T262" t="s">
        <v>992</v>
      </c>
      <c r="U262" t="s">
        <v>1139</v>
      </c>
      <c r="V262" t="s">
        <v>995</v>
      </c>
      <c r="W262" t="s">
        <v>1034</v>
      </c>
      <c r="X262" t="s">
        <v>1718</v>
      </c>
    </row>
    <row r="263" spans="1:24" x14ac:dyDescent="0.25">
      <c r="A263" t="s">
        <v>42</v>
      </c>
      <c r="B263" t="s">
        <v>1719</v>
      </c>
      <c r="C263" t="s">
        <v>341</v>
      </c>
      <c r="D263" t="s">
        <v>992</v>
      </c>
      <c r="E263" t="s">
        <v>1003</v>
      </c>
      <c r="F263">
        <v>62611</v>
      </c>
      <c r="G263" t="s">
        <v>1085</v>
      </c>
      <c r="H263" t="s">
        <v>1720</v>
      </c>
      <c r="I263" t="s">
        <v>1711</v>
      </c>
      <c r="J263" t="s">
        <v>1424</v>
      </c>
      <c r="K263" t="s">
        <v>1087</v>
      </c>
      <c r="L263" t="s">
        <v>1088</v>
      </c>
      <c r="M263" t="s">
        <v>1056</v>
      </c>
      <c r="N263" t="s">
        <v>1089</v>
      </c>
      <c r="O263" t="s">
        <v>992</v>
      </c>
      <c r="P263" t="s">
        <v>1058</v>
      </c>
      <c r="Q263" t="b">
        <v>1</v>
      </c>
      <c r="R263" t="b">
        <v>0</v>
      </c>
      <c r="S263" t="s">
        <v>1032</v>
      </c>
      <c r="T263" t="s">
        <v>992</v>
      </c>
      <c r="U263" t="s">
        <v>1139</v>
      </c>
      <c r="V263" t="s">
        <v>995</v>
      </c>
      <c r="W263" t="s">
        <v>1034</v>
      </c>
      <c r="X263" t="s">
        <v>1721</v>
      </c>
    </row>
    <row r="264" spans="1:24" x14ac:dyDescent="0.25">
      <c r="A264" t="s">
        <v>42</v>
      </c>
      <c r="B264" t="s">
        <v>1722</v>
      </c>
      <c r="C264" t="s">
        <v>341</v>
      </c>
      <c r="D264" t="s">
        <v>992</v>
      </c>
      <c r="E264" t="s">
        <v>1005</v>
      </c>
      <c r="F264">
        <v>58146</v>
      </c>
      <c r="G264" t="s">
        <v>1085</v>
      </c>
      <c r="H264" t="s">
        <v>1723</v>
      </c>
      <c r="I264" t="s">
        <v>1711</v>
      </c>
      <c r="J264" t="s">
        <v>1424</v>
      </c>
      <c r="K264" t="s">
        <v>1065</v>
      </c>
      <c r="L264" t="s">
        <v>1066</v>
      </c>
      <c r="M264" t="s">
        <v>1028</v>
      </c>
      <c r="N264" t="s">
        <v>1067</v>
      </c>
      <c r="O264" t="s">
        <v>992</v>
      </c>
      <c r="P264" t="s">
        <v>1069</v>
      </c>
      <c r="Q264" t="b">
        <v>1</v>
      </c>
      <c r="R264" t="b">
        <v>0</v>
      </c>
      <c r="S264" t="s">
        <v>1032</v>
      </c>
      <c r="T264" t="s">
        <v>992</v>
      </c>
      <c r="U264" t="s">
        <v>1139</v>
      </c>
      <c r="V264" t="s">
        <v>995</v>
      </c>
      <c r="W264" t="s">
        <v>1034</v>
      </c>
      <c r="X264" t="s">
        <v>1724</v>
      </c>
    </row>
    <row r="265" spans="1:24" x14ac:dyDescent="0.25">
      <c r="A265" t="s">
        <v>42</v>
      </c>
      <c r="B265" t="s">
        <v>1725</v>
      </c>
      <c r="C265" t="s">
        <v>341</v>
      </c>
      <c r="D265" t="s">
        <v>992</v>
      </c>
      <c r="E265" t="s">
        <v>1007</v>
      </c>
      <c r="F265">
        <v>45753</v>
      </c>
      <c r="G265" t="s">
        <v>1085</v>
      </c>
      <c r="H265" t="s">
        <v>1726</v>
      </c>
      <c r="I265" t="s">
        <v>1711</v>
      </c>
      <c r="J265" t="s">
        <v>1424</v>
      </c>
      <c r="K265" t="s">
        <v>1072</v>
      </c>
      <c r="L265" t="s">
        <v>1073</v>
      </c>
      <c r="M265" t="s">
        <v>1028</v>
      </c>
      <c r="N265" t="s">
        <v>1074</v>
      </c>
      <c r="O265" t="s">
        <v>992</v>
      </c>
      <c r="P265" t="s">
        <v>1076</v>
      </c>
      <c r="Q265" t="b">
        <v>1</v>
      </c>
      <c r="R265" t="b">
        <v>0</v>
      </c>
      <c r="S265" t="s">
        <v>1032</v>
      </c>
      <c r="T265" t="s">
        <v>992</v>
      </c>
      <c r="U265" t="s">
        <v>1139</v>
      </c>
      <c r="V265" t="s">
        <v>995</v>
      </c>
      <c r="W265" t="s">
        <v>1034</v>
      </c>
      <c r="X265" t="s">
        <v>1727</v>
      </c>
    </row>
    <row r="266" spans="1:24" x14ac:dyDescent="0.25">
      <c r="A266" t="s">
        <v>42</v>
      </c>
      <c r="B266" t="s">
        <v>1728</v>
      </c>
      <c r="C266" t="s">
        <v>341</v>
      </c>
      <c r="D266" t="s">
        <v>992</v>
      </c>
      <c r="E266" t="s">
        <v>1009</v>
      </c>
      <c r="F266">
        <v>47574</v>
      </c>
      <c r="G266" t="s">
        <v>1085</v>
      </c>
      <c r="H266" t="s">
        <v>1729</v>
      </c>
      <c r="I266" t="s">
        <v>1711</v>
      </c>
      <c r="J266" t="s">
        <v>1424</v>
      </c>
      <c r="K266" t="s">
        <v>1079</v>
      </c>
      <c r="L266" t="s">
        <v>1080</v>
      </c>
      <c r="M266" t="s">
        <v>1028</v>
      </c>
      <c r="N266" t="s">
        <v>1081</v>
      </c>
      <c r="O266" t="s">
        <v>992</v>
      </c>
      <c r="P266" t="s">
        <v>1083</v>
      </c>
      <c r="Q266" t="b">
        <v>1</v>
      </c>
      <c r="R266" t="b">
        <v>0</v>
      </c>
      <c r="S266" t="s">
        <v>1032</v>
      </c>
      <c r="T266" t="s">
        <v>992</v>
      </c>
      <c r="U266" t="s">
        <v>1139</v>
      </c>
      <c r="V266" t="s">
        <v>995</v>
      </c>
      <c r="W266" t="s">
        <v>1034</v>
      </c>
      <c r="X266" t="s">
        <v>1730</v>
      </c>
    </row>
    <row r="267" spans="1:24" x14ac:dyDescent="0.25">
      <c r="A267" t="s">
        <v>42</v>
      </c>
      <c r="B267" t="s">
        <v>1731</v>
      </c>
      <c r="C267" t="s">
        <v>341</v>
      </c>
      <c r="D267" t="s">
        <v>992</v>
      </c>
      <c r="E267" t="s">
        <v>1011</v>
      </c>
      <c r="F267">
        <v>68960</v>
      </c>
      <c r="G267" t="s">
        <v>1085</v>
      </c>
      <c r="H267" t="s">
        <v>1732</v>
      </c>
      <c r="I267" t="s">
        <v>1711</v>
      </c>
      <c r="J267" t="s">
        <v>1424</v>
      </c>
      <c r="K267" t="s">
        <v>1116</v>
      </c>
      <c r="L267" t="s">
        <v>1117</v>
      </c>
      <c r="M267" t="s">
        <v>1056</v>
      </c>
      <c r="N267" t="s">
        <v>1118</v>
      </c>
      <c r="O267" t="s">
        <v>992</v>
      </c>
      <c r="P267" t="s">
        <v>1090</v>
      </c>
      <c r="Q267" t="b">
        <v>1</v>
      </c>
      <c r="R267" t="b">
        <v>0</v>
      </c>
      <c r="S267" t="s">
        <v>1032</v>
      </c>
      <c r="T267" t="s">
        <v>992</v>
      </c>
      <c r="U267" t="s">
        <v>1139</v>
      </c>
      <c r="V267" t="s">
        <v>995</v>
      </c>
      <c r="W267" t="s">
        <v>1034</v>
      </c>
      <c r="X267" t="s">
        <v>1733</v>
      </c>
    </row>
    <row r="268" spans="1:24" x14ac:dyDescent="0.25">
      <c r="A268" t="s">
        <v>42</v>
      </c>
      <c r="B268" t="s">
        <v>1734</v>
      </c>
      <c r="C268" t="s">
        <v>341</v>
      </c>
      <c r="D268" t="s">
        <v>992</v>
      </c>
      <c r="E268" t="s">
        <v>1013</v>
      </c>
      <c r="F268">
        <v>61910</v>
      </c>
      <c r="G268" t="s">
        <v>1085</v>
      </c>
      <c r="H268" t="s">
        <v>1735</v>
      </c>
      <c r="I268" t="s">
        <v>1711</v>
      </c>
      <c r="J268" t="s">
        <v>1424</v>
      </c>
      <c r="K268" t="s">
        <v>1094</v>
      </c>
      <c r="L268" t="s">
        <v>1095</v>
      </c>
      <c r="M268" t="s">
        <v>1028</v>
      </c>
      <c r="N268" t="s">
        <v>1096</v>
      </c>
      <c r="O268" t="s">
        <v>992</v>
      </c>
      <c r="P268" t="s">
        <v>1098</v>
      </c>
      <c r="Q268" t="b">
        <v>1</v>
      </c>
      <c r="R268" t="b">
        <v>0</v>
      </c>
      <c r="S268" t="s">
        <v>1032</v>
      </c>
      <c r="T268" t="s">
        <v>992</v>
      </c>
      <c r="U268" t="s">
        <v>1139</v>
      </c>
      <c r="V268" t="s">
        <v>995</v>
      </c>
      <c r="W268" t="s">
        <v>1034</v>
      </c>
      <c r="X268" t="s">
        <v>1736</v>
      </c>
    </row>
    <row r="269" spans="1:24" x14ac:dyDescent="0.25">
      <c r="A269" t="s">
        <v>42</v>
      </c>
      <c r="B269" t="s">
        <v>1737</v>
      </c>
      <c r="C269" t="s">
        <v>341</v>
      </c>
      <c r="D269" t="s">
        <v>992</v>
      </c>
      <c r="E269" t="s">
        <v>1015</v>
      </c>
      <c r="F269">
        <v>54126</v>
      </c>
      <c r="G269" t="s">
        <v>1085</v>
      </c>
      <c r="H269" t="s">
        <v>1738</v>
      </c>
      <c r="I269" t="s">
        <v>1711</v>
      </c>
      <c r="J269" t="s">
        <v>1424</v>
      </c>
      <c r="K269" t="s">
        <v>1102</v>
      </c>
      <c r="L269" t="s">
        <v>1103</v>
      </c>
      <c r="M269" t="s">
        <v>1028</v>
      </c>
      <c r="N269" t="s">
        <v>1104</v>
      </c>
      <c r="O269" t="s">
        <v>992</v>
      </c>
      <c r="P269" t="s">
        <v>1106</v>
      </c>
      <c r="Q269" t="b">
        <v>1</v>
      </c>
      <c r="R269" t="b">
        <v>0</v>
      </c>
      <c r="S269" t="s">
        <v>1032</v>
      </c>
      <c r="T269" t="s">
        <v>992</v>
      </c>
      <c r="U269" t="s">
        <v>1139</v>
      </c>
      <c r="V269" t="s">
        <v>995</v>
      </c>
      <c r="W269" t="s">
        <v>1034</v>
      </c>
      <c r="X269" t="s">
        <v>1739</v>
      </c>
    </row>
    <row r="270" spans="1:24" x14ac:dyDescent="0.25">
      <c r="A270" t="s">
        <v>42</v>
      </c>
      <c r="B270" t="s">
        <v>1740</v>
      </c>
      <c r="C270" t="s">
        <v>341</v>
      </c>
      <c r="D270" t="s">
        <v>992</v>
      </c>
      <c r="E270" t="s">
        <v>1017</v>
      </c>
      <c r="F270">
        <v>50374</v>
      </c>
      <c r="G270" t="s">
        <v>1085</v>
      </c>
      <c r="H270" t="s">
        <v>1741</v>
      </c>
      <c r="I270" t="s">
        <v>1711</v>
      </c>
      <c r="J270" t="s">
        <v>1424</v>
      </c>
      <c r="K270" t="s">
        <v>1109</v>
      </c>
      <c r="L270" t="s">
        <v>1110</v>
      </c>
      <c r="M270" t="s">
        <v>1028</v>
      </c>
      <c r="N270" t="s">
        <v>1111</v>
      </c>
      <c r="O270" t="s">
        <v>992</v>
      </c>
      <c r="P270" t="s">
        <v>1113</v>
      </c>
      <c r="Q270" t="b">
        <v>1</v>
      </c>
      <c r="R270" t="b">
        <v>0</v>
      </c>
      <c r="S270" t="s">
        <v>1032</v>
      </c>
      <c r="T270" t="s">
        <v>992</v>
      </c>
      <c r="U270" t="s">
        <v>1139</v>
      </c>
      <c r="V270" t="s">
        <v>995</v>
      </c>
      <c r="W270" t="s">
        <v>1034</v>
      </c>
      <c r="X270" t="s">
        <v>1742</v>
      </c>
    </row>
    <row r="271" spans="1:24" x14ac:dyDescent="0.25">
      <c r="A271" t="s">
        <v>42</v>
      </c>
      <c r="B271" t="s">
        <v>1743</v>
      </c>
      <c r="C271" t="s">
        <v>341</v>
      </c>
      <c r="D271" t="s">
        <v>992</v>
      </c>
      <c r="E271" t="s">
        <v>1019</v>
      </c>
      <c r="F271">
        <v>69860</v>
      </c>
      <c r="G271" t="s">
        <v>1085</v>
      </c>
      <c r="H271" t="s">
        <v>1744</v>
      </c>
      <c r="I271" t="s">
        <v>1711</v>
      </c>
      <c r="J271" t="s">
        <v>1424</v>
      </c>
      <c r="K271" t="s">
        <v>1131</v>
      </c>
      <c r="L271" t="s">
        <v>1132</v>
      </c>
      <c r="M271" t="s">
        <v>1028</v>
      </c>
      <c r="N271" t="s">
        <v>1133</v>
      </c>
      <c r="O271" t="s">
        <v>992</v>
      </c>
      <c r="P271" t="s">
        <v>1119</v>
      </c>
      <c r="Q271" t="b">
        <v>1</v>
      </c>
      <c r="R271" t="b">
        <v>0</v>
      </c>
      <c r="S271" t="s">
        <v>1032</v>
      </c>
      <c r="T271" t="s">
        <v>992</v>
      </c>
      <c r="U271" t="s">
        <v>1139</v>
      </c>
      <c r="V271" t="s">
        <v>995</v>
      </c>
      <c r="W271" t="s">
        <v>1034</v>
      </c>
      <c r="X271" t="s">
        <v>1745</v>
      </c>
    </row>
    <row r="272" spans="1:24" x14ac:dyDescent="0.25">
      <c r="A272" t="s">
        <v>42</v>
      </c>
      <c r="B272" t="s">
        <v>1746</v>
      </c>
      <c r="C272" t="s">
        <v>341</v>
      </c>
      <c r="D272" t="s">
        <v>992</v>
      </c>
      <c r="E272" t="s">
        <v>1021</v>
      </c>
      <c r="F272">
        <v>70587</v>
      </c>
      <c r="G272" t="s">
        <v>1085</v>
      </c>
      <c r="H272" t="s">
        <v>1747</v>
      </c>
      <c r="I272" t="s">
        <v>1711</v>
      </c>
      <c r="J272" t="s">
        <v>1424</v>
      </c>
      <c r="K272" t="s">
        <v>1123</v>
      </c>
      <c r="L272" t="s">
        <v>1124</v>
      </c>
      <c r="M272" t="s">
        <v>1028</v>
      </c>
      <c r="N272" t="s">
        <v>1125</v>
      </c>
      <c r="O272" t="s">
        <v>992</v>
      </c>
      <c r="P272" t="s">
        <v>1127</v>
      </c>
      <c r="Q272" t="b">
        <v>1</v>
      </c>
      <c r="R272" t="b">
        <v>0</v>
      </c>
      <c r="S272" t="s">
        <v>1032</v>
      </c>
      <c r="T272" t="s">
        <v>992</v>
      </c>
      <c r="U272" t="s">
        <v>1139</v>
      </c>
      <c r="V272" t="s">
        <v>995</v>
      </c>
      <c r="W272" t="s">
        <v>1034</v>
      </c>
      <c r="X272" t="s">
        <v>1748</v>
      </c>
    </row>
    <row r="273" spans="1:24" x14ac:dyDescent="0.25">
      <c r="A273" t="s">
        <v>42</v>
      </c>
      <c r="B273" t="s">
        <v>1749</v>
      </c>
      <c r="C273" t="s">
        <v>341</v>
      </c>
      <c r="D273" t="s">
        <v>992</v>
      </c>
      <c r="E273" t="s">
        <v>1129</v>
      </c>
      <c r="F273">
        <v>57349</v>
      </c>
      <c r="G273" t="s">
        <v>1085</v>
      </c>
      <c r="H273" t="s">
        <v>1750</v>
      </c>
      <c r="I273" t="s">
        <v>1711</v>
      </c>
      <c r="J273" t="s">
        <v>1424</v>
      </c>
      <c r="K273" t="s">
        <v>1131</v>
      </c>
      <c r="L273" t="s">
        <v>1132</v>
      </c>
      <c r="M273" t="s">
        <v>1028</v>
      </c>
      <c r="N273" t="s">
        <v>1133</v>
      </c>
      <c r="O273" t="s">
        <v>992</v>
      </c>
      <c r="P273" t="s">
        <v>1135</v>
      </c>
      <c r="Q273" t="b">
        <v>1</v>
      </c>
      <c r="R273" t="b">
        <v>0</v>
      </c>
      <c r="S273" t="s">
        <v>1032</v>
      </c>
      <c r="T273" t="s">
        <v>992</v>
      </c>
      <c r="U273" t="s">
        <v>1139</v>
      </c>
      <c r="V273" t="s">
        <v>995</v>
      </c>
      <c r="W273" t="s">
        <v>1034</v>
      </c>
      <c r="X273" t="s">
        <v>1751</v>
      </c>
    </row>
    <row r="274" spans="1:24" x14ac:dyDescent="0.25">
      <c r="A274" t="s">
        <v>42</v>
      </c>
      <c r="B274" t="s">
        <v>1752</v>
      </c>
      <c r="C274" t="s">
        <v>342</v>
      </c>
      <c r="D274" t="s">
        <v>992</v>
      </c>
      <c r="E274" t="s">
        <v>990</v>
      </c>
      <c r="F274">
        <v>71376</v>
      </c>
      <c r="G274" t="s">
        <v>1085</v>
      </c>
      <c r="H274" t="s">
        <v>1753</v>
      </c>
      <c r="I274" t="s">
        <v>1754</v>
      </c>
      <c r="J274" t="s">
        <v>1424</v>
      </c>
      <c r="K274" t="s">
        <v>1026</v>
      </c>
      <c r="L274" t="s">
        <v>1027</v>
      </c>
      <c r="M274" t="s">
        <v>1028</v>
      </c>
      <c r="N274" t="s">
        <v>1029</v>
      </c>
      <c r="O274" t="s">
        <v>992</v>
      </c>
      <c r="P274" t="s">
        <v>1031</v>
      </c>
      <c r="Q274" t="b">
        <v>1</v>
      </c>
      <c r="R274" t="b">
        <v>0</v>
      </c>
      <c r="S274" t="s">
        <v>1032</v>
      </c>
      <c r="T274" t="s">
        <v>992</v>
      </c>
      <c r="U274" t="s">
        <v>1139</v>
      </c>
      <c r="V274" t="s">
        <v>995</v>
      </c>
      <c r="W274" t="s">
        <v>1034</v>
      </c>
      <c r="X274" t="s">
        <v>1755</v>
      </c>
    </row>
    <row r="275" spans="1:24" x14ac:dyDescent="0.25">
      <c r="A275" t="s">
        <v>42</v>
      </c>
      <c r="B275" t="s">
        <v>1756</v>
      </c>
      <c r="C275" t="s">
        <v>342</v>
      </c>
      <c r="D275" t="s">
        <v>992</v>
      </c>
      <c r="E275" t="s">
        <v>999</v>
      </c>
      <c r="F275">
        <v>68999</v>
      </c>
      <c r="G275" t="s">
        <v>1085</v>
      </c>
      <c r="H275" t="s">
        <v>1757</v>
      </c>
      <c r="I275" t="s">
        <v>1754</v>
      </c>
      <c r="J275" t="s">
        <v>1424</v>
      </c>
      <c r="K275" t="s">
        <v>1038</v>
      </c>
      <c r="L275" t="s">
        <v>1039</v>
      </c>
      <c r="M275" t="s">
        <v>1028</v>
      </c>
      <c r="N275" t="s">
        <v>1040</v>
      </c>
      <c r="O275" t="s">
        <v>992</v>
      </c>
      <c r="P275" t="s">
        <v>1042</v>
      </c>
      <c r="Q275" t="b">
        <v>1</v>
      </c>
      <c r="R275" t="b">
        <v>0</v>
      </c>
      <c r="S275" t="s">
        <v>1032</v>
      </c>
      <c r="T275" t="s">
        <v>992</v>
      </c>
      <c r="U275" t="s">
        <v>1139</v>
      </c>
      <c r="V275" t="s">
        <v>995</v>
      </c>
      <c r="W275" t="s">
        <v>1034</v>
      </c>
      <c r="X275" t="s">
        <v>1758</v>
      </c>
    </row>
    <row r="276" spans="1:24" x14ac:dyDescent="0.25">
      <c r="A276" t="s">
        <v>42</v>
      </c>
      <c r="B276" t="s">
        <v>1759</v>
      </c>
      <c r="C276" t="s">
        <v>342</v>
      </c>
      <c r="D276" t="s">
        <v>992</v>
      </c>
      <c r="E276" t="s">
        <v>1001</v>
      </c>
      <c r="F276">
        <v>70106</v>
      </c>
      <c r="G276" t="s">
        <v>1085</v>
      </c>
      <c r="H276" t="s">
        <v>1760</v>
      </c>
      <c r="I276" t="s">
        <v>1754</v>
      </c>
      <c r="J276" t="s">
        <v>1424</v>
      </c>
      <c r="K276" t="s">
        <v>1045</v>
      </c>
      <c r="L276" t="s">
        <v>1046</v>
      </c>
      <c r="M276" t="s">
        <v>1028</v>
      </c>
      <c r="N276" t="s">
        <v>1047</v>
      </c>
      <c r="O276" t="s">
        <v>992</v>
      </c>
      <c r="P276" t="s">
        <v>1049</v>
      </c>
      <c r="Q276" t="b">
        <v>1</v>
      </c>
      <c r="R276" t="b">
        <v>0</v>
      </c>
      <c r="S276" t="s">
        <v>1032</v>
      </c>
      <c r="T276" t="s">
        <v>992</v>
      </c>
      <c r="U276" t="s">
        <v>1139</v>
      </c>
      <c r="V276" t="s">
        <v>995</v>
      </c>
      <c r="W276" t="s">
        <v>1034</v>
      </c>
      <c r="X276" t="s">
        <v>1761</v>
      </c>
    </row>
    <row r="277" spans="1:24" x14ac:dyDescent="0.25">
      <c r="A277" t="s">
        <v>42</v>
      </c>
      <c r="B277" t="s">
        <v>1762</v>
      </c>
      <c r="C277" t="s">
        <v>342</v>
      </c>
      <c r="D277" t="s">
        <v>992</v>
      </c>
      <c r="E277" t="s">
        <v>1003</v>
      </c>
      <c r="F277">
        <v>74636</v>
      </c>
      <c r="G277" t="s">
        <v>1085</v>
      </c>
      <c r="H277" t="s">
        <v>1763</v>
      </c>
      <c r="I277" t="s">
        <v>1754</v>
      </c>
      <c r="J277" t="s">
        <v>1424</v>
      </c>
      <c r="K277" t="s">
        <v>1087</v>
      </c>
      <c r="L277" t="s">
        <v>1088</v>
      </c>
      <c r="M277" t="s">
        <v>1056</v>
      </c>
      <c r="N277" t="s">
        <v>1089</v>
      </c>
      <c r="O277" t="s">
        <v>992</v>
      </c>
      <c r="P277" t="s">
        <v>1058</v>
      </c>
      <c r="Q277" t="b">
        <v>1</v>
      </c>
      <c r="R277" t="b">
        <v>0</v>
      </c>
      <c r="S277" t="s">
        <v>1032</v>
      </c>
      <c r="T277" t="s">
        <v>992</v>
      </c>
      <c r="U277" t="s">
        <v>1139</v>
      </c>
      <c r="V277" t="s">
        <v>995</v>
      </c>
      <c r="W277" t="s">
        <v>1034</v>
      </c>
      <c r="X277" t="s">
        <v>1764</v>
      </c>
    </row>
    <row r="278" spans="1:24" x14ac:dyDescent="0.25">
      <c r="A278" t="s">
        <v>42</v>
      </c>
      <c r="B278" t="s">
        <v>1765</v>
      </c>
      <c r="C278" t="s">
        <v>342</v>
      </c>
      <c r="D278" t="s">
        <v>992</v>
      </c>
      <c r="E278" t="s">
        <v>1005</v>
      </c>
      <c r="F278">
        <v>67563</v>
      </c>
      <c r="G278" t="s">
        <v>1085</v>
      </c>
      <c r="H278" t="s">
        <v>1766</v>
      </c>
      <c r="I278" t="s">
        <v>1754</v>
      </c>
      <c r="J278" t="s">
        <v>1424</v>
      </c>
      <c r="K278" t="s">
        <v>1065</v>
      </c>
      <c r="L278" t="s">
        <v>1066</v>
      </c>
      <c r="M278" t="s">
        <v>1028</v>
      </c>
      <c r="N278" t="s">
        <v>1067</v>
      </c>
      <c r="O278" t="s">
        <v>992</v>
      </c>
      <c r="P278" t="s">
        <v>1069</v>
      </c>
      <c r="Q278" t="b">
        <v>1</v>
      </c>
      <c r="R278" t="b">
        <v>0</v>
      </c>
      <c r="S278" t="s">
        <v>1032</v>
      </c>
      <c r="T278" t="s">
        <v>992</v>
      </c>
      <c r="U278" t="s">
        <v>1139</v>
      </c>
      <c r="V278" t="s">
        <v>995</v>
      </c>
      <c r="W278" t="s">
        <v>1034</v>
      </c>
      <c r="X278" t="s">
        <v>1767</v>
      </c>
    </row>
    <row r="279" spans="1:24" x14ac:dyDescent="0.25">
      <c r="A279" t="s">
        <v>42</v>
      </c>
      <c r="B279" t="s">
        <v>1768</v>
      </c>
      <c r="C279" t="s">
        <v>342</v>
      </c>
      <c r="E279" t="s">
        <v>1007</v>
      </c>
      <c r="F279">
        <v>70057</v>
      </c>
      <c r="G279" t="s">
        <v>1051</v>
      </c>
      <c r="H279" t="s">
        <v>1769</v>
      </c>
      <c r="I279" t="s">
        <v>1754</v>
      </c>
      <c r="J279" t="s">
        <v>1424</v>
      </c>
      <c r="K279" t="s">
        <v>1072</v>
      </c>
      <c r="L279" t="s">
        <v>1073</v>
      </c>
      <c r="M279" t="s">
        <v>1028</v>
      </c>
      <c r="N279" t="s">
        <v>1074</v>
      </c>
      <c r="O279" t="s">
        <v>992</v>
      </c>
      <c r="P279" t="s">
        <v>1076</v>
      </c>
      <c r="Q279" t="b">
        <v>1</v>
      </c>
      <c r="R279" t="b">
        <v>0</v>
      </c>
      <c r="S279" t="s">
        <v>1375</v>
      </c>
      <c r="T279" t="s">
        <v>992</v>
      </c>
      <c r="U279" t="s">
        <v>1060</v>
      </c>
      <c r="V279" t="s">
        <v>995</v>
      </c>
      <c r="W279" t="s">
        <v>1034</v>
      </c>
      <c r="X279" t="s">
        <v>1425</v>
      </c>
    </row>
    <row r="280" spans="1:24" x14ac:dyDescent="0.25">
      <c r="A280" t="s">
        <v>42</v>
      </c>
      <c r="B280" t="s">
        <v>1770</v>
      </c>
      <c r="C280" t="s">
        <v>342</v>
      </c>
      <c r="D280" t="s">
        <v>992</v>
      </c>
      <c r="E280" t="s">
        <v>1009</v>
      </c>
      <c r="F280">
        <v>75997</v>
      </c>
      <c r="G280" t="s">
        <v>1085</v>
      </c>
      <c r="H280" t="s">
        <v>1771</v>
      </c>
      <c r="I280" t="s">
        <v>1754</v>
      </c>
      <c r="J280" t="s">
        <v>1424</v>
      </c>
      <c r="K280" t="s">
        <v>1079</v>
      </c>
      <c r="L280" t="s">
        <v>1080</v>
      </c>
      <c r="M280" t="s">
        <v>1028</v>
      </c>
      <c r="N280" t="s">
        <v>1081</v>
      </c>
      <c r="O280" t="s">
        <v>992</v>
      </c>
      <c r="P280" t="s">
        <v>1083</v>
      </c>
      <c r="Q280" t="b">
        <v>1</v>
      </c>
      <c r="R280" t="b">
        <v>0</v>
      </c>
      <c r="S280" t="s">
        <v>1032</v>
      </c>
      <c r="T280" t="s">
        <v>992</v>
      </c>
      <c r="U280" t="s">
        <v>1139</v>
      </c>
      <c r="V280" t="s">
        <v>995</v>
      </c>
      <c r="W280" t="s">
        <v>1034</v>
      </c>
      <c r="X280" t="s">
        <v>1772</v>
      </c>
    </row>
    <row r="281" spans="1:24" x14ac:dyDescent="0.25">
      <c r="A281" t="s">
        <v>42</v>
      </c>
      <c r="B281" t="s">
        <v>1773</v>
      </c>
      <c r="C281" t="s">
        <v>342</v>
      </c>
      <c r="D281" t="s">
        <v>992</v>
      </c>
      <c r="E281" t="s">
        <v>1011</v>
      </c>
      <c r="F281">
        <v>99183</v>
      </c>
      <c r="G281" t="s">
        <v>1085</v>
      </c>
      <c r="H281" t="s">
        <v>1774</v>
      </c>
      <c r="I281" t="s">
        <v>1754</v>
      </c>
      <c r="J281" t="s">
        <v>1424</v>
      </c>
      <c r="K281" t="s">
        <v>1116</v>
      </c>
      <c r="L281" t="s">
        <v>1117</v>
      </c>
      <c r="M281" t="s">
        <v>1056</v>
      </c>
      <c r="N281" t="s">
        <v>1118</v>
      </c>
      <c r="O281" t="s">
        <v>992</v>
      </c>
      <c r="P281" t="s">
        <v>1090</v>
      </c>
      <c r="Q281" t="b">
        <v>1</v>
      </c>
      <c r="R281" t="b">
        <v>0</v>
      </c>
      <c r="S281" t="s">
        <v>1032</v>
      </c>
      <c r="T281" t="s">
        <v>992</v>
      </c>
      <c r="U281" t="s">
        <v>1139</v>
      </c>
      <c r="V281" t="s">
        <v>995</v>
      </c>
      <c r="W281" t="s">
        <v>1034</v>
      </c>
      <c r="X281" t="s">
        <v>1775</v>
      </c>
    </row>
    <row r="282" spans="1:24" x14ac:dyDescent="0.25">
      <c r="A282" t="s">
        <v>42</v>
      </c>
      <c r="B282" t="s">
        <v>1776</v>
      </c>
      <c r="C282" t="s">
        <v>342</v>
      </c>
      <c r="D282" t="s">
        <v>992</v>
      </c>
      <c r="E282" t="s">
        <v>1013</v>
      </c>
      <c r="F282">
        <v>73994</v>
      </c>
      <c r="G282" t="s">
        <v>1085</v>
      </c>
      <c r="H282" t="s">
        <v>1777</v>
      </c>
      <c r="I282" t="s">
        <v>1754</v>
      </c>
      <c r="J282" t="s">
        <v>1424</v>
      </c>
      <c r="K282" t="s">
        <v>1094</v>
      </c>
      <c r="L282" t="s">
        <v>1095</v>
      </c>
      <c r="M282" t="s">
        <v>1028</v>
      </c>
      <c r="N282" t="s">
        <v>1096</v>
      </c>
      <c r="O282" t="s">
        <v>992</v>
      </c>
      <c r="P282" t="s">
        <v>1098</v>
      </c>
      <c r="Q282" t="b">
        <v>1</v>
      </c>
      <c r="R282" t="b">
        <v>0</v>
      </c>
      <c r="S282" t="s">
        <v>1032</v>
      </c>
      <c r="T282" t="s">
        <v>992</v>
      </c>
      <c r="U282" t="s">
        <v>1139</v>
      </c>
      <c r="V282" t="s">
        <v>995</v>
      </c>
      <c r="W282" t="s">
        <v>1034</v>
      </c>
      <c r="X282" t="s">
        <v>1778</v>
      </c>
    </row>
    <row r="283" spans="1:24" x14ac:dyDescent="0.25">
      <c r="A283" t="s">
        <v>42</v>
      </c>
      <c r="B283" t="s">
        <v>1779</v>
      </c>
      <c r="C283" t="s">
        <v>342</v>
      </c>
      <c r="D283" t="s">
        <v>992</v>
      </c>
      <c r="E283" t="s">
        <v>1015</v>
      </c>
      <c r="F283">
        <v>81469</v>
      </c>
      <c r="G283" t="s">
        <v>1085</v>
      </c>
      <c r="H283" t="s">
        <v>1780</v>
      </c>
      <c r="I283" t="s">
        <v>1754</v>
      </c>
      <c r="J283" t="s">
        <v>1424</v>
      </c>
      <c r="K283" t="s">
        <v>1102</v>
      </c>
      <c r="L283" t="s">
        <v>1103</v>
      </c>
      <c r="M283" t="s">
        <v>1028</v>
      </c>
      <c r="N283" t="s">
        <v>1104</v>
      </c>
      <c r="O283" t="s">
        <v>992</v>
      </c>
      <c r="P283" t="s">
        <v>1106</v>
      </c>
      <c r="Q283" t="b">
        <v>1</v>
      </c>
      <c r="R283" t="b">
        <v>0</v>
      </c>
      <c r="S283" t="s">
        <v>1032</v>
      </c>
      <c r="T283" t="s">
        <v>992</v>
      </c>
      <c r="U283" t="s">
        <v>1139</v>
      </c>
      <c r="V283" t="s">
        <v>995</v>
      </c>
      <c r="W283" t="s">
        <v>1034</v>
      </c>
      <c r="X283" t="s">
        <v>1781</v>
      </c>
    </row>
    <row r="284" spans="1:24" x14ac:dyDescent="0.25">
      <c r="A284" t="s">
        <v>42</v>
      </c>
      <c r="B284" t="s">
        <v>1782</v>
      </c>
      <c r="C284" t="s">
        <v>342</v>
      </c>
      <c r="D284" t="s">
        <v>992</v>
      </c>
      <c r="E284" t="s">
        <v>1017</v>
      </c>
      <c r="F284">
        <v>81767</v>
      </c>
      <c r="G284" t="s">
        <v>1085</v>
      </c>
      <c r="H284" t="s">
        <v>1783</v>
      </c>
      <c r="I284" t="s">
        <v>1754</v>
      </c>
      <c r="J284" t="s">
        <v>1424</v>
      </c>
      <c r="K284" t="s">
        <v>1109</v>
      </c>
      <c r="L284" t="s">
        <v>1110</v>
      </c>
      <c r="M284" t="s">
        <v>1028</v>
      </c>
      <c r="N284" t="s">
        <v>1111</v>
      </c>
      <c r="O284" t="s">
        <v>992</v>
      </c>
      <c r="P284" t="s">
        <v>1113</v>
      </c>
      <c r="Q284" t="b">
        <v>1</v>
      </c>
      <c r="R284" t="b">
        <v>0</v>
      </c>
      <c r="S284" t="s">
        <v>1032</v>
      </c>
      <c r="T284" t="s">
        <v>992</v>
      </c>
      <c r="U284" t="s">
        <v>1139</v>
      </c>
      <c r="V284" t="s">
        <v>995</v>
      </c>
      <c r="W284" t="s">
        <v>1034</v>
      </c>
      <c r="X284" t="s">
        <v>1784</v>
      </c>
    </row>
    <row r="285" spans="1:24" x14ac:dyDescent="0.25">
      <c r="A285" t="s">
        <v>42</v>
      </c>
      <c r="B285" t="s">
        <v>1785</v>
      </c>
      <c r="C285" t="s">
        <v>342</v>
      </c>
      <c r="D285" t="s">
        <v>992</v>
      </c>
      <c r="E285" t="s">
        <v>1019</v>
      </c>
      <c r="F285">
        <v>86716</v>
      </c>
      <c r="G285" t="s">
        <v>1085</v>
      </c>
      <c r="H285" t="s">
        <v>1786</v>
      </c>
      <c r="I285" t="s">
        <v>1754</v>
      </c>
      <c r="J285" t="s">
        <v>1424</v>
      </c>
      <c r="K285" t="s">
        <v>1131</v>
      </c>
      <c r="L285" t="s">
        <v>1132</v>
      </c>
      <c r="M285" t="s">
        <v>1028</v>
      </c>
      <c r="N285" t="s">
        <v>1133</v>
      </c>
      <c r="O285" t="s">
        <v>992</v>
      </c>
      <c r="P285" t="s">
        <v>1119</v>
      </c>
      <c r="Q285" t="b">
        <v>1</v>
      </c>
      <c r="R285" t="b">
        <v>0</v>
      </c>
      <c r="S285" t="s">
        <v>1032</v>
      </c>
      <c r="T285" t="s">
        <v>992</v>
      </c>
      <c r="U285" t="s">
        <v>1139</v>
      </c>
      <c r="V285" t="s">
        <v>995</v>
      </c>
      <c r="W285" t="s">
        <v>1034</v>
      </c>
      <c r="X285" t="s">
        <v>1787</v>
      </c>
    </row>
    <row r="286" spans="1:24" x14ac:dyDescent="0.25">
      <c r="A286" t="s">
        <v>42</v>
      </c>
      <c r="B286" t="s">
        <v>1788</v>
      </c>
      <c r="C286" t="s">
        <v>342</v>
      </c>
      <c r="D286" t="s">
        <v>992</v>
      </c>
      <c r="E286" t="s">
        <v>1021</v>
      </c>
      <c r="F286">
        <v>82367</v>
      </c>
      <c r="G286" t="s">
        <v>1085</v>
      </c>
      <c r="H286" t="s">
        <v>1789</v>
      </c>
      <c r="I286" t="s">
        <v>1754</v>
      </c>
      <c r="J286" t="s">
        <v>1424</v>
      </c>
      <c r="K286" t="s">
        <v>1123</v>
      </c>
      <c r="L286" t="s">
        <v>1124</v>
      </c>
      <c r="M286" t="s">
        <v>1028</v>
      </c>
      <c r="N286" t="s">
        <v>1125</v>
      </c>
      <c r="O286" t="s">
        <v>992</v>
      </c>
      <c r="P286" t="s">
        <v>1127</v>
      </c>
      <c r="Q286" t="b">
        <v>1</v>
      </c>
      <c r="R286" t="b">
        <v>0</v>
      </c>
      <c r="S286" t="s">
        <v>1032</v>
      </c>
      <c r="T286" t="s">
        <v>992</v>
      </c>
      <c r="U286" t="s">
        <v>1139</v>
      </c>
      <c r="V286" t="s">
        <v>995</v>
      </c>
      <c r="W286" t="s">
        <v>1034</v>
      </c>
      <c r="X286" t="s">
        <v>1790</v>
      </c>
    </row>
    <row r="287" spans="1:24" x14ac:dyDescent="0.25">
      <c r="A287" t="s">
        <v>42</v>
      </c>
      <c r="B287" t="s">
        <v>1791</v>
      </c>
      <c r="C287" t="s">
        <v>342</v>
      </c>
      <c r="D287" t="s">
        <v>992</v>
      </c>
      <c r="E287" t="s">
        <v>1129</v>
      </c>
      <c r="F287">
        <v>67961</v>
      </c>
      <c r="G287" t="s">
        <v>1085</v>
      </c>
      <c r="H287" t="s">
        <v>1792</v>
      </c>
      <c r="I287" t="s">
        <v>1754</v>
      </c>
      <c r="J287" t="s">
        <v>1424</v>
      </c>
      <c r="K287" t="s">
        <v>1131</v>
      </c>
      <c r="L287" t="s">
        <v>1132</v>
      </c>
      <c r="M287" t="s">
        <v>1028</v>
      </c>
      <c r="N287" t="s">
        <v>1133</v>
      </c>
      <c r="O287" t="s">
        <v>992</v>
      </c>
      <c r="P287" t="s">
        <v>1135</v>
      </c>
      <c r="Q287" t="b">
        <v>1</v>
      </c>
      <c r="R287" t="b">
        <v>0</v>
      </c>
      <c r="S287" t="s">
        <v>1032</v>
      </c>
      <c r="T287" t="s">
        <v>992</v>
      </c>
      <c r="U287" t="s">
        <v>1139</v>
      </c>
      <c r="V287" t="s">
        <v>995</v>
      </c>
      <c r="W287" t="s">
        <v>1034</v>
      </c>
      <c r="X287" t="s">
        <v>1793</v>
      </c>
    </row>
    <row r="288" spans="1:24" x14ac:dyDescent="0.25">
      <c r="A288" t="s">
        <v>42</v>
      </c>
      <c r="B288" t="s">
        <v>1794</v>
      </c>
      <c r="C288" t="s">
        <v>343</v>
      </c>
      <c r="E288" t="s">
        <v>990</v>
      </c>
      <c r="F288">
        <v>7992</v>
      </c>
      <c r="G288" t="s">
        <v>1051</v>
      </c>
      <c r="H288" t="s">
        <v>1795</v>
      </c>
      <c r="I288" t="s">
        <v>1796</v>
      </c>
      <c r="J288" t="s">
        <v>1424</v>
      </c>
      <c r="K288" t="s">
        <v>1026</v>
      </c>
      <c r="L288" t="s">
        <v>1027</v>
      </c>
      <c r="M288" t="s">
        <v>1028</v>
      </c>
      <c r="N288" t="s">
        <v>1029</v>
      </c>
      <c r="O288" t="s">
        <v>992</v>
      </c>
      <c r="P288" t="s">
        <v>1031</v>
      </c>
      <c r="Q288" t="b">
        <v>1</v>
      </c>
      <c r="R288" t="b">
        <v>0</v>
      </c>
      <c r="S288" t="s">
        <v>1375</v>
      </c>
      <c r="T288" t="s">
        <v>992</v>
      </c>
      <c r="U288" t="s">
        <v>1060</v>
      </c>
      <c r="V288" t="s">
        <v>995</v>
      </c>
      <c r="W288" t="s">
        <v>1034</v>
      </c>
      <c r="X288" t="s">
        <v>1425</v>
      </c>
    </row>
    <row r="289" spans="1:24" x14ac:dyDescent="0.25">
      <c r="A289" t="s">
        <v>42</v>
      </c>
      <c r="B289" t="s">
        <v>1797</v>
      </c>
      <c r="C289" t="s">
        <v>343</v>
      </c>
      <c r="E289" t="s">
        <v>999</v>
      </c>
      <c r="F289">
        <v>8131</v>
      </c>
      <c r="G289" t="s">
        <v>1051</v>
      </c>
      <c r="H289" t="s">
        <v>1798</v>
      </c>
      <c r="I289" t="s">
        <v>1796</v>
      </c>
      <c r="J289" t="s">
        <v>1424</v>
      </c>
      <c r="K289" t="s">
        <v>1038</v>
      </c>
      <c r="L289" t="s">
        <v>1039</v>
      </c>
      <c r="M289" t="s">
        <v>1028</v>
      </c>
      <c r="N289" t="s">
        <v>1040</v>
      </c>
      <c r="O289" t="s">
        <v>992</v>
      </c>
      <c r="P289" t="s">
        <v>1042</v>
      </c>
      <c r="Q289" t="b">
        <v>1</v>
      </c>
      <c r="R289" t="b">
        <v>0</v>
      </c>
      <c r="S289" t="s">
        <v>1375</v>
      </c>
      <c r="T289" t="s">
        <v>992</v>
      </c>
      <c r="U289" t="s">
        <v>1060</v>
      </c>
      <c r="V289" t="s">
        <v>995</v>
      </c>
      <c r="W289" t="s">
        <v>1034</v>
      </c>
      <c r="X289" t="s">
        <v>1425</v>
      </c>
    </row>
    <row r="290" spans="1:24" x14ac:dyDescent="0.25">
      <c r="A290" t="s">
        <v>42</v>
      </c>
      <c r="B290" t="s">
        <v>1799</v>
      </c>
      <c r="C290" t="s">
        <v>343</v>
      </c>
      <c r="E290" t="s">
        <v>1001</v>
      </c>
      <c r="F290">
        <v>8158</v>
      </c>
      <c r="G290" t="s">
        <v>1051</v>
      </c>
      <c r="H290" t="s">
        <v>1800</v>
      </c>
      <c r="I290" t="s">
        <v>1796</v>
      </c>
      <c r="J290" t="s">
        <v>1424</v>
      </c>
      <c r="K290" t="s">
        <v>1045</v>
      </c>
      <c r="L290" t="s">
        <v>1046</v>
      </c>
      <c r="M290" t="s">
        <v>1028</v>
      </c>
      <c r="N290" t="s">
        <v>1047</v>
      </c>
      <c r="O290" t="s">
        <v>992</v>
      </c>
      <c r="P290" t="s">
        <v>1049</v>
      </c>
      <c r="Q290" t="b">
        <v>1</v>
      </c>
      <c r="R290" t="b">
        <v>0</v>
      </c>
      <c r="S290" t="s">
        <v>1375</v>
      </c>
      <c r="T290" t="s">
        <v>992</v>
      </c>
      <c r="U290" t="s">
        <v>1060</v>
      </c>
      <c r="V290" t="s">
        <v>995</v>
      </c>
      <c r="W290" t="s">
        <v>1034</v>
      </c>
      <c r="X290" t="s">
        <v>1425</v>
      </c>
    </row>
    <row r="291" spans="1:24" x14ac:dyDescent="0.25">
      <c r="A291" t="s">
        <v>42</v>
      </c>
      <c r="B291" t="s">
        <v>1801</v>
      </c>
      <c r="C291" t="s">
        <v>343</v>
      </c>
      <c r="E291" t="s">
        <v>1003</v>
      </c>
      <c r="F291">
        <v>8061</v>
      </c>
      <c r="G291" t="s">
        <v>1051</v>
      </c>
      <c r="H291" t="s">
        <v>1802</v>
      </c>
      <c r="I291" t="s">
        <v>1796</v>
      </c>
      <c r="J291" t="s">
        <v>1424</v>
      </c>
      <c r="K291" t="s">
        <v>1087</v>
      </c>
      <c r="L291" t="s">
        <v>1088</v>
      </c>
      <c r="M291" t="s">
        <v>1056</v>
      </c>
      <c r="N291" t="s">
        <v>1089</v>
      </c>
      <c r="O291" t="s">
        <v>992</v>
      </c>
      <c r="P291" t="s">
        <v>1058</v>
      </c>
      <c r="Q291" t="b">
        <v>1</v>
      </c>
      <c r="R291" t="b">
        <v>0</v>
      </c>
      <c r="S291" t="s">
        <v>1375</v>
      </c>
      <c r="T291" t="s">
        <v>992</v>
      </c>
      <c r="U291" t="s">
        <v>1060</v>
      </c>
      <c r="V291" t="s">
        <v>995</v>
      </c>
      <c r="W291" t="s">
        <v>1034</v>
      </c>
      <c r="X291" t="s">
        <v>1425</v>
      </c>
    </row>
    <row r="292" spans="1:24" x14ac:dyDescent="0.25">
      <c r="A292" t="s">
        <v>42</v>
      </c>
      <c r="B292" t="s">
        <v>1803</v>
      </c>
      <c r="C292" t="s">
        <v>343</v>
      </c>
      <c r="E292" t="s">
        <v>1005</v>
      </c>
      <c r="F292">
        <v>8264</v>
      </c>
      <c r="G292" t="s">
        <v>1051</v>
      </c>
      <c r="H292" t="s">
        <v>1804</v>
      </c>
      <c r="I292" t="s">
        <v>1796</v>
      </c>
      <c r="J292" t="s">
        <v>1424</v>
      </c>
      <c r="K292" t="s">
        <v>1065</v>
      </c>
      <c r="L292" t="s">
        <v>1066</v>
      </c>
      <c r="M292" t="s">
        <v>1028</v>
      </c>
      <c r="N292" t="s">
        <v>1067</v>
      </c>
      <c r="O292" t="s">
        <v>992</v>
      </c>
      <c r="P292" t="s">
        <v>1069</v>
      </c>
      <c r="Q292" t="b">
        <v>1</v>
      </c>
      <c r="R292" t="b">
        <v>0</v>
      </c>
      <c r="S292" t="s">
        <v>1375</v>
      </c>
      <c r="T292" t="s">
        <v>992</v>
      </c>
      <c r="U292" t="s">
        <v>1060</v>
      </c>
      <c r="V292" t="s">
        <v>995</v>
      </c>
      <c r="W292" t="s">
        <v>1034</v>
      </c>
      <c r="X292" t="s">
        <v>1425</v>
      </c>
    </row>
    <row r="293" spans="1:24" x14ac:dyDescent="0.25">
      <c r="A293" t="s">
        <v>42</v>
      </c>
      <c r="B293" t="s">
        <v>1805</v>
      </c>
      <c r="C293" t="s">
        <v>343</v>
      </c>
      <c r="E293" t="s">
        <v>1007</v>
      </c>
      <c r="F293">
        <v>8012</v>
      </c>
      <c r="G293" t="s">
        <v>1051</v>
      </c>
      <c r="H293" t="s">
        <v>1806</v>
      </c>
      <c r="I293" t="s">
        <v>1796</v>
      </c>
      <c r="J293" t="s">
        <v>1424</v>
      </c>
      <c r="K293" t="s">
        <v>1072</v>
      </c>
      <c r="L293" t="s">
        <v>1073</v>
      </c>
      <c r="M293" t="s">
        <v>1028</v>
      </c>
      <c r="N293" t="s">
        <v>1074</v>
      </c>
      <c r="O293" t="s">
        <v>992</v>
      </c>
      <c r="P293" t="s">
        <v>1076</v>
      </c>
      <c r="Q293" t="b">
        <v>1</v>
      </c>
      <c r="R293" t="b">
        <v>0</v>
      </c>
      <c r="S293" t="s">
        <v>1375</v>
      </c>
      <c r="T293" t="s">
        <v>992</v>
      </c>
      <c r="U293" t="s">
        <v>1060</v>
      </c>
      <c r="V293" t="s">
        <v>995</v>
      </c>
      <c r="W293" t="s">
        <v>1034</v>
      </c>
      <c r="X293" t="s">
        <v>1425</v>
      </c>
    </row>
    <row r="294" spans="1:24" x14ac:dyDescent="0.25">
      <c r="A294" t="s">
        <v>42</v>
      </c>
      <c r="B294" t="s">
        <v>1807</v>
      </c>
      <c r="C294" t="s">
        <v>343</v>
      </c>
      <c r="E294" t="s">
        <v>1009</v>
      </c>
      <c r="F294">
        <v>8053</v>
      </c>
      <c r="G294" t="s">
        <v>1051</v>
      </c>
      <c r="H294" t="s">
        <v>1808</v>
      </c>
      <c r="I294" t="s">
        <v>1796</v>
      </c>
      <c r="J294" t="s">
        <v>1424</v>
      </c>
      <c r="K294" t="s">
        <v>1079</v>
      </c>
      <c r="L294" t="s">
        <v>1080</v>
      </c>
      <c r="M294" t="s">
        <v>1028</v>
      </c>
      <c r="N294" t="s">
        <v>1081</v>
      </c>
      <c r="O294" t="s">
        <v>992</v>
      </c>
      <c r="P294" t="s">
        <v>1083</v>
      </c>
      <c r="Q294" t="b">
        <v>1</v>
      </c>
      <c r="R294" t="b">
        <v>0</v>
      </c>
      <c r="S294" t="s">
        <v>1375</v>
      </c>
      <c r="T294" t="s">
        <v>992</v>
      </c>
      <c r="U294" t="s">
        <v>1060</v>
      </c>
      <c r="V294" t="s">
        <v>995</v>
      </c>
      <c r="W294" t="s">
        <v>1034</v>
      </c>
      <c r="X294" t="s">
        <v>1425</v>
      </c>
    </row>
    <row r="295" spans="1:24" x14ac:dyDescent="0.25">
      <c r="A295" t="s">
        <v>42</v>
      </c>
      <c r="B295" t="s">
        <v>1809</v>
      </c>
      <c r="C295" t="s">
        <v>343</v>
      </c>
      <c r="E295" t="s">
        <v>1011</v>
      </c>
      <c r="F295">
        <v>8249</v>
      </c>
      <c r="G295" t="s">
        <v>1051</v>
      </c>
      <c r="H295" t="s">
        <v>1810</v>
      </c>
      <c r="I295" t="s">
        <v>1796</v>
      </c>
      <c r="J295" t="s">
        <v>1424</v>
      </c>
      <c r="K295" t="s">
        <v>1116</v>
      </c>
      <c r="L295" t="s">
        <v>1117</v>
      </c>
      <c r="M295" t="s">
        <v>1056</v>
      </c>
      <c r="N295" t="s">
        <v>1118</v>
      </c>
      <c r="O295" t="s">
        <v>992</v>
      </c>
      <c r="P295" t="s">
        <v>1090</v>
      </c>
      <c r="Q295" t="b">
        <v>1</v>
      </c>
      <c r="R295" t="b">
        <v>0</v>
      </c>
      <c r="S295" t="s">
        <v>1375</v>
      </c>
      <c r="T295" t="s">
        <v>992</v>
      </c>
      <c r="U295" t="s">
        <v>1060</v>
      </c>
      <c r="V295" t="s">
        <v>995</v>
      </c>
      <c r="W295" t="s">
        <v>1034</v>
      </c>
      <c r="X295" t="s">
        <v>1425</v>
      </c>
    </row>
    <row r="296" spans="1:24" x14ac:dyDescent="0.25">
      <c r="A296" t="s">
        <v>42</v>
      </c>
      <c r="B296" t="s">
        <v>1811</v>
      </c>
      <c r="C296" t="s">
        <v>343</v>
      </c>
      <c r="D296" t="s">
        <v>992</v>
      </c>
      <c r="E296" t="s">
        <v>1013</v>
      </c>
      <c r="F296">
        <v>8461</v>
      </c>
      <c r="G296" t="s">
        <v>1085</v>
      </c>
      <c r="H296" t="s">
        <v>1812</v>
      </c>
      <c r="I296" t="s">
        <v>1796</v>
      </c>
      <c r="J296" t="s">
        <v>1424</v>
      </c>
      <c r="K296" t="s">
        <v>1094</v>
      </c>
      <c r="L296" t="s">
        <v>1095</v>
      </c>
      <c r="M296" t="s">
        <v>1028</v>
      </c>
      <c r="N296" t="s">
        <v>1096</v>
      </c>
      <c r="O296" t="s">
        <v>992</v>
      </c>
      <c r="P296" t="s">
        <v>1098</v>
      </c>
      <c r="Q296" t="b">
        <v>1</v>
      </c>
      <c r="R296" t="b">
        <v>0</v>
      </c>
      <c r="S296" t="s">
        <v>1032</v>
      </c>
      <c r="T296" t="s">
        <v>992</v>
      </c>
      <c r="U296" t="s">
        <v>1139</v>
      </c>
      <c r="V296" t="s">
        <v>995</v>
      </c>
      <c r="W296" t="s">
        <v>1034</v>
      </c>
      <c r="X296" t="s">
        <v>1813</v>
      </c>
    </row>
    <row r="297" spans="1:24" x14ac:dyDescent="0.25">
      <c r="A297" t="s">
        <v>42</v>
      </c>
      <c r="B297" t="s">
        <v>1814</v>
      </c>
      <c r="C297" t="s">
        <v>343</v>
      </c>
      <c r="D297" t="s">
        <v>992</v>
      </c>
      <c r="E297" t="s">
        <v>1015</v>
      </c>
      <c r="F297">
        <v>8976</v>
      </c>
      <c r="G297" t="s">
        <v>1085</v>
      </c>
      <c r="H297" t="s">
        <v>1815</v>
      </c>
      <c r="I297" t="s">
        <v>1796</v>
      </c>
      <c r="J297" t="s">
        <v>1424</v>
      </c>
      <c r="K297" t="s">
        <v>1102</v>
      </c>
      <c r="L297" t="s">
        <v>1103</v>
      </c>
      <c r="M297" t="s">
        <v>1028</v>
      </c>
      <c r="N297" t="s">
        <v>1104</v>
      </c>
      <c r="O297" t="s">
        <v>992</v>
      </c>
      <c r="P297" t="s">
        <v>1106</v>
      </c>
      <c r="Q297" t="b">
        <v>1</v>
      </c>
      <c r="R297" t="b">
        <v>0</v>
      </c>
      <c r="S297" t="s">
        <v>1032</v>
      </c>
      <c r="T297" t="s">
        <v>992</v>
      </c>
      <c r="U297" t="s">
        <v>1139</v>
      </c>
      <c r="V297" t="s">
        <v>995</v>
      </c>
      <c r="W297" t="s">
        <v>1034</v>
      </c>
      <c r="X297" t="s">
        <v>1816</v>
      </c>
    </row>
    <row r="298" spans="1:24" x14ac:dyDescent="0.25">
      <c r="A298" t="s">
        <v>42</v>
      </c>
      <c r="B298" t="s">
        <v>1817</v>
      </c>
      <c r="C298" t="s">
        <v>343</v>
      </c>
      <c r="D298" t="s">
        <v>992</v>
      </c>
      <c r="E298" t="s">
        <v>1017</v>
      </c>
      <c r="F298">
        <v>8979</v>
      </c>
      <c r="G298" t="s">
        <v>1085</v>
      </c>
      <c r="H298" t="s">
        <v>1818</v>
      </c>
      <c r="I298" t="s">
        <v>1796</v>
      </c>
      <c r="J298" t="s">
        <v>1424</v>
      </c>
      <c r="K298" t="s">
        <v>1109</v>
      </c>
      <c r="L298" t="s">
        <v>1110</v>
      </c>
      <c r="M298" t="s">
        <v>1028</v>
      </c>
      <c r="N298" t="s">
        <v>1111</v>
      </c>
      <c r="O298" t="s">
        <v>992</v>
      </c>
      <c r="P298" t="s">
        <v>1113</v>
      </c>
      <c r="Q298" t="b">
        <v>1</v>
      </c>
      <c r="R298" t="b">
        <v>0</v>
      </c>
      <c r="S298" t="s">
        <v>1032</v>
      </c>
      <c r="T298" t="s">
        <v>992</v>
      </c>
      <c r="U298" t="s">
        <v>1139</v>
      </c>
      <c r="V298" t="s">
        <v>995</v>
      </c>
      <c r="W298" t="s">
        <v>1034</v>
      </c>
      <c r="X298" t="s">
        <v>1819</v>
      </c>
    </row>
    <row r="299" spans="1:24" x14ac:dyDescent="0.25">
      <c r="A299" t="s">
        <v>42</v>
      </c>
      <c r="B299" t="s">
        <v>1820</v>
      </c>
      <c r="C299" t="s">
        <v>343</v>
      </c>
      <c r="D299" t="s">
        <v>992</v>
      </c>
      <c r="E299" t="s">
        <v>1019</v>
      </c>
      <c r="F299">
        <v>9055</v>
      </c>
      <c r="G299" t="s">
        <v>1085</v>
      </c>
      <c r="H299" t="s">
        <v>1821</v>
      </c>
      <c r="I299" t="s">
        <v>1796</v>
      </c>
      <c r="J299" t="s">
        <v>1424</v>
      </c>
      <c r="K299" t="s">
        <v>1131</v>
      </c>
      <c r="L299" t="s">
        <v>1132</v>
      </c>
      <c r="M299" t="s">
        <v>1028</v>
      </c>
      <c r="N299" t="s">
        <v>1133</v>
      </c>
      <c r="O299" t="s">
        <v>992</v>
      </c>
      <c r="P299" t="s">
        <v>1119</v>
      </c>
      <c r="Q299" t="b">
        <v>1</v>
      </c>
      <c r="R299" t="b">
        <v>0</v>
      </c>
      <c r="S299" t="s">
        <v>1032</v>
      </c>
      <c r="T299" t="s">
        <v>992</v>
      </c>
      <c r="U299" t="s">
        <v>1139</v>
      </c>
      <c r="V299" t="s">
        <v>995</v>
      </c>
      <c r="W299" t="s">
        <v>1034</v>
      </c>
      <c r="X299" t="s">
        <v>1822</v>
      </c>
    </row>
    <row r="300" spans="1:24" x14ac:dyDescent="0.25">
      <c r="A300" t="s">
        <v>42</v>
      </c>
      <c r="B300" t="s">
        <v>1823</v>
      </c>
      <c r="C300" t="s">
        <v>343</v>
      </c>
      <c r="E300" t="s">
        <v>1021</v>
      </c>
      <c r="F300">
        <v>9413</v>
      </c>
      <c r="G300" t="s">
        <v>1051</v>
      </c>
      <c r="H300" t="s">
        <v>1824</v>
      </c>
      <c r="I300" t="s">
        <v>1796</v>
      </c>
      <c r="J300" t="s">
        <v>1424</v>
      </c>
      <c r="K300" t="s">
        <v>1123</v>
      </c>
      <c r="L300" t="s">
        <v>1124</v>
      </c>
      <c r="M300" t="s">
        <v>1028</v>
      </c>
      <c r="N300" t="s">
        <v>1125</v>
      </c>
      <c r="O300" t="s">
        <v>992</v>
      </c>
      <c r="P300" t="s">
        <v>1127</v>
      </c>
      <c r="Q300" t="b">
        <v>1</v>
      </c>
      <c r="R300" t="b">
        <v>0</v>
      </c>
      <c r="S300" t="s">
        <v>1375</v>
      </c>
      <c r="T300" t="s">
        <v>992</v>
      </c>
      <c r="U300" t="s">
        <v>1060</v>
      </c>
      <c r="V300" t="s">
        <v>995</v>
      </c>
      <c r="W300" t="s">
        <v>1034</v>
      </c>
      <c r="X300" t="s">
        <v>1425</v>
      </c>
    </row>
    <row r="301" spans="1:24" x14ac:dyDescent="0.25">
      <c r="A301" t="s">
        <v>42</v>
      </c>
      <c r="B301" t="s">
        <v>1825</v>
      </c>
      <c r="C301" t="s">
        <v>343</v>
      </c>
      <c r="E301" t="s">
        <v>1129</v>
      </c>
      <c r="F301">
        <v>9331</v>
      </c>
      <c r="G301" t="s">
        <v>1051</v>
      </c>
      <c r="H301" t="s">
        <v>1826</v>
      </c>
      <c r="I301" t="s">
        <v>1796</v>
      </c>
      <c r="J301" t="s">
        <v>1424</v>
      </c>
      <c r="K301" t="s">
        <v>1131</v>
      </c>
      <c r="L301" t="s">
        <v>1132</v>
      </c>
      <c r="M301" t="s">
        <v>1028</v>
      </c>
      <c r="N301" t="s">
        <v>1133</v>
      </c>
      <c r="O301" t="s">
        <v>992</v>
      </c>
      <c r="P301" t="s">
        <v>1135</v>
      </c>
      <c r="Q301" t="b">
        <v>1</v>
      </c>
      <c r="R301" t="b">
        <v>0</v>
      </c>
      <c r="S301" t="s">
        <v>1375</v>
      </c>
      <c r="T301" t="s">
        <v>992</v>
      </c>
      <c r="U301" t="s">
        <v>1060</v>
      </c>
      <c r="V301" t="s">
        <v>995</v>
      </c>
      <c r="W301" t="s">
        <v>1034</v>
      </c>
      <c r="X301" t="s">
        <v>1425</v>
      </c>
    </row>
    <row r="302" spans="1:24" x14ac:dyDescent="0.25">
      <c r="A302" t="s">
        <v>42</v>
      </c>
      <c r="B302" t="s">
        <v>1827</v>
      </c>
      <c r="C302" t="s">
        <v>346</v>
      </c>
      <c r="E302" t="s">
        <v>990</v>
      </c>
      <c r="F302">
        <v>99627</v>
      </c>
      <c r="G302" t="s">
        <v>1051</v>
      </c>
      <c r="H302" t="s">
        <v>1828</v>
      </c>
      <c r="I302" t="s">
        <v>1829</v>
      </c>
      <c r="J302" t="s">
        <v>1424</v>
      </c>
      <c r="K302" t="s">
        <v>1026</v>
      </c>
      <c r="L302" t="s">
        <v>1027</v>
      </c>
      <c r="M302" t="s">
        <v>1028</v>
      </c>
      <c r="N302" t="s">
        <v>1029</v>
      </c>
      <c r="O302" t="s">
        <v>992</v>
      </c>
      <c r="P302" t="s">
        <v>1031</v>
      </c>
      <c r="Q302" t="b">
        <v>1</v>
      </c>
      <c r="R302" t="b">
        <v>0</v>
      </c>
      <c r="S302" t="s">
        <v>1375</v>
      </c>
      <c r="T302" t="s">
        <v>992</v>
      </c>
      <c r="U302" t="s">
        <v>1060</v>
      </c>
      <c r="V302" t="s">
        <v>995</v>
      </c>
      <c r="W302" t="s">
        <v>1034</v>
      </c>
      <c r="X302" t="s">
        <v>1425</v>
      </c>
    </row>
    <row r="303" spans="1:24" x14ac:dyDescent="0.25">
      <c r="A303" t="s">
        <v>42</v>
      </c>
      <c r="B303" t="s">
        <v>1830</v>
      </c>
      <c r="C303" t="s">
        <v>346</v>
      </c>
      <c r="E303" t="s">
        <v>999</v>
      </c>
      <c r="F303">
        <v>97041</v>
      </c>
      <c r="G303" t="s">
        <v>1051</v>
      </c>
      <c r="H303" t="s">
        <v>1831</v>
      </c>
      <c r="I303" t="s">
        <v>1829</v>
      </c>
      <c r="J303" t="s">
        <v>1424</v>
      </c>
      <c r="K303" t="s">
        <v>1038</v>
      </c>
      <c r="L303" t="s">
        <v>1039</v>
      </c>
      <c r="M303" t="s">
        <v>1028</v>
      </c>
      <c r="N303" t="s">
        <v>1040</v>
      </c>
      <c r="O303" t="s">
        <v>992</v>
      </c>
      <c r="P303" t="s">
        <v>1042</v>
      </c>
      <c r="Q303" t="b">
        <v>1</v>
      </c>
      <c r="R303" t="b">
        <v>0</v>
      </c>
      <c r="S303" t="s">
        <v>1375</v>
      </c>
      <c r="T303" t="s">
        <v>992</v>
      </c>
      <c r="U303" t="s">
        <v>1060</v>
      </c>
      <c r="V303" t="s">
        <v>995</v>
      </c>
      <c r="W303" t="s">
        <v>1034</v>
      </c>
      <c r="X303" t="s">
        <v>1425</v>
      </c>
    </row>
    <row r="304" spans="1:24" x14ac:dyDescent="0.25">
      <c r="A304" t="s">
        <v>42</v>
      </c>
      <c r="B304" t="s">
        <v>1832</v>
      </c>
      <c r="C304" t="s">
        <v>346</v>
      </c>
      <c r="E304" t="s">
        <v>1001</v>
      </c>
      <c r="F304">
        <v>98071</v>
      </c>
      <c r="G304" t="s">
        <v>1051</v>
      </c>
      <c r="H304" t="s">
        <v>1833</v>
      </c>
      <c r="I304" t="s">
        <v>1829</v>
      </c>
      <c r="J304" t="s">
        <v>1424</v>
      </c>
      <c r="K304" t="s">
        <v>1045</v>
      </c>
      <c r="L304" t="s">
        <v>1046</v>
      </c>
      <c r="M304" t="s">
        <v>1028</v>
      </c>
      <c r="N304" t="s">
        <v>1047</v>
      </c>
      <c r="O304" t="s">
        <v>992</v>
      </c>
      <c r="P304" t="s">
        <v>1049</v>
      </c>
      <c r="Q304" t="b">
        <v>1</v>
      </c>
      <c r="R304" t="b">
        <v>0</v>
      </c>
      <c r="S304" t="s">
        <v>1375</v>
      </c>
      <c r="T304" t="s">
        <v>992</v>
      </c>
      <c r="U304" t="s">
        <v>1060</v>
      </c>
      <c r="V304" t="s">
        <v>995</v>
      </c>
      <c r="W304" t="s">
        <v>1034</v>
      </c>
      <c r="X304" t="s">
        <v>1425</v>
      </c>
    </row>
    <row r="305" spans="1:24" x14ac:dyDescent="0.25">
      <c r="A305" t="s">
        <v>42</v>
      </c>
      <c r="B305" t="s">
        <v>1834</v>
      </c>
      <c r="C305" t="s">
        <v>346</v>
      </c>
      <c r="E305" t="s">
        <v>1003</v>
      </c>
      <c r="F305">
        <v>95281</v>
      </c>
      <c r="G305" t="s">
        <v>1051</v>
      </c>
      <c r="H305" t="s">
        <v>1835</v>
      </c>
      <c r="I305" t="s">
        <v>1829</v>
      </c>
      <c r="J305" t="s">
        <v>1424</v>
      </c>
      <c r="K305" t="s">
        <v>1087</v>
      </c>
      <c r="L305" t="s">
        <v>1088</v>
      </c>
      <c r="M305" t="s">
        <v>1056</v>
      </c>
      <c r="N305" t="s">
        <v>1089</v>
      </c>
      <c r="O305" t="s">
        <v>992</v>
      </c>
      <c r="P305" t="s">
        <v>1058</v>
      </c>
      <c r="Q305" t="b">
        <v>1</v>
      </c>
      <c r="R305" t="b">
        <v>0</v>
      </c>
      <c r="S305" t="s">
        <v>1375</v>
      </c>
      <c r="T305" t="s">
        <v>992</v>
      </c>
      <c r="U305" t="s">
        <v>1060</v>
      </c>
      <c r="V305" t="s">
        <v>995</v>
      </c>
      <c r="W305" t="s">
        <v>1034</v>
      </c>
      <c r="X305" t="s">
        <v>1425</v>
      </c>
    </row>
    <row r="306" spans="1:24" x14ac:dyDescent="0.25">
      <c r="A306" t="s">
        <v>42</v>
      </c>
      <c r="B306" t="s">
        <v>1836</v>
      </c>
      <c r="C306" t="s">
        <v>346</v>
      </c>
      <c r="E306" t="s">
        <v>1005</v>
      </c>
      <c r="F306">
        <v>95088</v>
      </c>
      <c r="G306" t="s">
        <v>1051</v>
      </c>
      <c r="H306" t="s">
        <v>1837</v>
      </c>
      <c r="I306" t="s">
        <v>1829</v>
      </c>
      <c r="J306" t="s">
        <v>1424</v>
      </c>
      <c r="K306" t="s">
        <v>1065</v>
      </c>
      <c r="L306" t="s">
        <v>1066</v>
      </c>
      <c r="M306" t="s">
        <v>1028</v>
      </c>
      <c r="N306" t="s">
        <v>1067</v>
      </c>
      <c r="O306" t="s">
        <v>992</v>
      </c>
      <c r="P306" t="s">
        <v>1069</v>
      </c>
      <c r="Q306" t="b">
        <v>1</v>
      </c>
      <c r="R306" t="b">
        <v>0</v>
      </c>
      <c r="S306" t="s">
        <v>1375</v>
      </c>
      <c r="T306" t="s">
        <v>992</v>
      </c>
      <c r="U306" t="s">
        <v>1060</v>
      </c>
      <c r="V306" t="s">
        <v>995</v>
      </c>
      <c r="W306" t="s">
        <v>1034</v>
      </c>
      <c r="X306" t="s">
        <v>1425</v>
      </c>
    </row>
    <row r="307" spans="1:24" x14ac:dyDescent="0.25">
      <c r="A307" t="s">
        <v>42</v>
      </c>
      <c r="B307" t="s">
        <v>1838</v>
      </c>
      <c r="C307" t="s">
        <v>346</v>
      </c>
      <c r="E307" t="s">
        <v>1007</v>
      </c>
      <c r="F307">
        <v>91831</v>
      </c>
      <c r="G307" t="s">
        <v>1051</v>
      </c>
      <c r="H307" t="s">
        <v>1839</v>
      </c>
      <c r="I307" t="s">
        <v>1829</v>
      </c>
      <c r="J307" t="s">
        <v>1424</v>
      </c>
      <c r="K307" t="s">
        <v>1072</v>
      </c>
      <c r="L307" t="s">
        <v>1073</v>
      </c>
      <c r="M307" t="s">
        <v>1028</v>
      </c>
      <c r="N307" t="s">
        <v>1074</v>
      </c>
      <c r="O307" t="s">
        <v>992</v>
      </c>
      <c r="P307" t="s">
        <v>1076</v>
      </c>
      <c r="Q307" t="b">
        <v>1</v>
      </c>
      <c r="R307" t="b">
        <v>0</v>
      </c>
      <c r="S307" t="s">
        <v>1375</v>
      </c>
      <c r="T307" t="s">
        <v>992</v>
      </c>
      <c r="U307" t="s">
        <v>1060</v>
      </c>
      <c r="V307" t="s">
        <v>995</v>
      </c>
      <c r="W307" t="s">
        <v>1034</v>
      </c>
      <c r="X307" t="s">
        <v>1425</v>
      </c>
    </row>
    <row r="308" spans="1:24" x14ac:dyDescent="0.25">
      <c r="A308" t="s">
        <v>42</v>
      </c>
      <c r="B308" t="s">
        <v>1840</v>
      </c>
      <c r="C308" t="s">
        <v>346</v>
      </c>
      <c r="E308" t="s">
        <v>1009</v>
      </c>
      <c r="F308">
        <v>86196</v>
      </c>
      <c r="G308" t="s">
        <v>1051</v>
      </c>
      <c r="H308" t="s">
        <v>1841</v>
      </c>
      <c r="I308" t="s">
        <v>1829</v>
      </c>
      <c r="J308" t="s">
        <v>1424</v>
      </c>
      <c r="K308" t="s">
        <v>1079</v>
      </c>
      <c r="L308" t="s">
        <v>1080</v>
      </c>
      <c r="M308" t="s">
        <v>1028</v>
      </c>
      <c r="N308" t="s">
        <v>1081</v>
      </c>
      <c r="O308" t="s">
        <v>992</v>
      </c>
      <c r="P308" t="s">
        <v>1083</v>
      </c>
      <c r="Q308" t="b">
        <v>1</v>
      </c>
      <c r="R308" t="b">
        <v>0</v>
      </c>
      <c r="S308" t="s">
        <v>1375</v>
      </c>
      <c r="T308" t="s">
        <v>992</v>
      </c>
      <c r="U308" t="s">
        <v>1060</v>
      </c>
      <c r="V308" t="s">
        <v>995</v>
      </c>
      <c r="W308" t="s">
        <v>1034</v>
      </c>
      <c r="X308" t="s">
        <v>1425</v>
      </c>
    </row>
    <row r="309" spans="1:24" x14ac:dyDescent="0.25">
      <c r="A309" t="s">
        <v>42</v>
      </c>
      <c r="B309" t="s">
        <v>1842</v>
      </c>
      <c r="C309" t="s">
        <v>346</v>
      </c>
      <c r="E309" t="s">
        <v>1011</v>
      </c>
      <c r="F309">
        <v>85750</v>
      </c>
      <c r="G309" t="s">
        <v>1051</v>
      </c>
      <c r="H309" t="s">
        <v>1843</v>
      </c>
      <c r="I309" t="s">
        <v>1829</v>
      </c>
      <c r="J309" t="s">
        <v>1424</v>
      </c>
      <c r="K309" t="s">
        <v>1116</v>
      </c>
      <c r="L309" t="s">
        <v>1117</v>
      </c>
      <c r="M309" t="s">
        <v>1056</v>
      </c>
      <c r="N309" t="s">
        <v>1118</v>
      </c>
      <c r="O309" t="s">
        <v>992</v>
      </c>
      <c r="P309" t="s">
        <v>1090</v>
      </c>
      <c r="Q309" t="b">
        <v>1</v>
      </c>
      <c r="R309" t="b">
        <v>0</v>
      </c>
      <c r="S309" t="s">
        <v>1375</v>
      </c>
      <c r="T309" t="s">
        <v>992</v>
      </c>
      <c r="U309" t="s">
        <v>1060</v>
      </c>
      <c r="V309" t="s">
        <v>995</v>
      </c>
      <c r="W309" t="s">
        <v>1034</v>
      </c>
      <c r="X309" t="s">
        <v>1425</v>
      </c>
    </row>
    <row r="310" spans="1:24" x14ac:dyDescent="0.25">
      <c r="A310" t="s">
        <v>42</v>
      </c>
      <c r="B310" t="s">
        <v>1844</v>
      </c>
      <c r="C310" t="s">
        <v>346</v>
      </c>
      <c r="D310" t="s">
        <v>992</v>
      </c>
      <c r="E310" t="s">
        <v>1013</v>
      </c>
      <c r="F310">
        <v>83956</v>
      </c>
      <c r="G310" t="s">
        <v>1085</v>
      </c>
      <c r="H310" t="s">
        <v>1845</v>
      </c>
      <c r="I310" t="s">
        <v>1829</v>
      </c>
      <c r="J310" t="s">
        <v>1424</v>
      </c>
      <c r="K310" t="s">
        <v>1094</v>
      </c>
      <c r="L310" t="s">
        <v>1095</v>
      </c>
      <c r="M310" t="s">
        <v>1028</v>
      </c>
      <c r="N310" t="s">
        <v>1096</v>
      </c>
      <c r="O310" t="s">
        <v>992</v>
      </c>
      <c r="P310" t="s">
        <v>1098</v>
      </c>
      <c r="Q310" t="b">
        <v>1</v>
      </c>
      <c r="R310" t="b">
        <v>0</v>
      </c>
      <c r="S310" t="s">
        <v>1032</v>
      </c>
      <c r="T310" t="s">
        <v>992</v>
      </c>
      <c r="U310" t="s">
        <v>1139</v>
      </c>
      <c r="V310" t="s">
        <v>995</v>
      </c>
      <c r="W310" t="s">
        <v>1034</v>
      </c>
      <c r="X310" t="s">
        <v>1846</v>
      </c>
    </row>
    <row r="311" spans="1:24" x14ac:dyDescent="0.25">
      <c r="A311" t="s">
        <v>42</v>
      </c>
      <c r="B311" t="s">
        <v>1847</v>
      </c>
      <c r="C311" t="s">
        <v>346</v>
      </c>
      <c r="D311" t="s">
        <v>992</v>
      </c>
      <c r="E311" t="s">
        <v>1015</v>
      </c>
      <c r="F311">
        <v>78566</v>
      </c>
      <c r="G311" t="s">
        <v>1085</v>
      </c>
      <c r="H311" t="s">
        <v>1848</v>
      </c>
      <c r="I311" t="s">
        <v>1829</v>
      </c>
      <c r="J311" t="s">
        <v>1424</v>
      </c>
      <c r="K311" t="s">
        <v>1102</v>
      </c>
      <c r="L311" t="s">
        <v>1103</v>
      </c>
      <c r="M311" t="s">
        <v>1028</v>
      </c>
      <c r="N311" t="s">
        <v>1104</v>
      </c>
      <c r="O311" t="s">
        <v>992</v>
      </c>
      <c r="P311" t="s">
        <v>1106</v>
      </c>
      <c r="Q311" t="b">
        <v>1</v>
      </c>
      <c r="R311" t="b">
        <v>0</v>
      </c>
      <c r="S311" t="s">
        <v>1032</v>
      </c>
      <c r="T311" t="s">
        <v>992</v>
      </c>
      <c r="U311" t="s">
        <v>1139</v>
      </c>
      <c r="V311" t="s">
        <v>995</v>
      </c>
      <c r="W311" t="s">
        <v>1034</v>
      </c>
      <c r="X311" t="s">
        <v>1849</v>
      </c>
    </row>
    <row r="312" spans="1:24" x14ac:dyDescent="0.25">
      <c r="A312" t="s">
        <v>42</v>
      </c>
      <c r="B312" t="s">
        <v>1850</v>
      </c>
      <c r="C312" t="s">
        <v>346</v>
      </c>
      <c r="D312" t="s">
        <v>992</v>
      </c>
      <c r="E312" t="s">
        <v>1017</v>
      </c>
      <c r="F312">
        <v>82430</v>
      </c>
      <c r="G312" t="s">
        <v>1085</v>
      </c>
      <c r="H312" t="s">
        <v>1851</v>
      </c>
      <c r="I312" t="s">
        <v>1829</v>
      </c>
      <c r="J312" t="s">
        <v>1424</v>
      </c>
      <c r="K312" t="s">
        <v>1109</v>
      </c>
      <c r="L312" t="s">
        <v>1110</v>
      </c>
      <c r="M312" t="s">
        <v>1028</v>
      </c>
      <c r="N312" t="s">
        <v>1111</v>
      </c>
      <c r="O312" t="s">
        <v>992</v>
      </c>
      <c r="P312" t="s">
        <v>1113</v>
      </c>
      <c r="Q312" t="b">
        <v>1</v>
      </c>
      <c r="R312" t="b">
        <v>0</v>
      </c>
      <c r="S312" t="s">
        <v>1032</v>
      </c>
      <c r="T312" t="s">
        <v>992</v>
      </c>
      <c r="U312" t="s">
        <v>1139</v>
      </c>
      <c r="V312" t="s">
        <v>995</v>
      </c>
      <c r="W312" t="s">
        <v>1034</v>
      </c>
      <c r="X312" t="s">
        <v>1852</v>
      </c>
    </row>
    <row r="313" spans="1:24" x14ac:dyDescent="0.25">
      <c r="A313" t="s">
        <v>42</v>
      </c>
      <c r="B313" t="s">
        <v>1853</v>
      </c>
      <c r="C313" t="s">
        <v>346</v>
      </c>
      <c r="D313" t="s">
        <v>992</v>
      </c>
      <c r="E313" t="s">
        <v>1019</v>
      </c>
      <c r="F313">
        <v>78328</v>
      </c>
      <c r="G313" t="s">
        <v>1085</v>
      </c>
      <c r="H313" t="s">
        <v>1854</v>
      </c>
      <c r="I313" t="s">
        <v>1829</v>
      </c>
      <c r="J313" t="s">
        <v>1424</v>
      </c>
      <c r="K313" t="s">
        <v>1131</v>
      </c>
      <c r="L313" t="s">
        <v>1132</v>
      </c>
      <c r="M313" t="s">
        <v>1028</v>
      </c>
      <c r="N313" t="s">
        <v>1133</v>
      </c>
      <c r="O313" t="s">
        <v>992</v>
      </c>
      <c r="P313" t="s">
        <v>1119</v>
      </c>
      <c r="Q313" t="b">
        <v>1</v>
      </c>
      <c r="R313" t="b">
        <v>0</v>
      </c>
      <c r="S313" t="s">
        <v>1032</v>
      </c>
      <c r="T313" t="s">
        <v>992</v>
      </c>
      <c r="U313" t="s">
        <v>1139</v>
      </c>
      <c r="V313" t="s">
        <v>995</v>
      </c>
      <c r="W313" t="s">
        <v>1034</v>
      </c>
      <c r="X313" t="s">
        <v>1855</v>
      </c>
    </row>
    <row r="314" spans="1:24" x14ac:dyDescent="0.25">
      <c r="A314" t="s">
        <v>42</v>
      </c>
      <c r="B314" t="s">
        <v>1856</v>
      </c>
      <c r="C314" t="s">
        <v>346</v>
      </c>
      <c r="E314" t="s">
        <v>1021</v>
      </c>
      <c r="F314">
        <v>76685</v>
      </c>
      <c r="G314" t="s">
        <v>1051</v>
      </c>
      <c r="H314" t="s">
        <v>1857</v>
      </c>
      <c r="I314" t="s">
        <v>1829</v>
      </c>
      <c r="J314" t="s">
        <v>1424</v>
      </c>
      <c r="K314" t="s">
        <v>1123</v>
      </c>
      <c r="L314" t="s">
        <v>1124</v>
      </c>
      <c r="M314" t="s">
        <v>1028</v>
      </c>
      <c r="N314" t="s">
        <v>1125</v>
      </c>
      <c r="O314" t="s">
        <v>992</v>
      </c>
      <c r="P314" t="s">
        <v>1127</v>
      </c>
      <c r="Q314" t="b">
        <v>1</v>
      </c>
      <c r="R314" t="b">
        <v>0</v>
      </c>
      <c r="S314" t="s">
        <v>1375</v>
      </c>
      <c r="T314" t="s">
        <v>992</v>
      </c>
      <c r="U314" t="s">
        <v>1060</v>
      </c>
      <c r="V314" t="s">
        <v>995</v>
      </c>
      <c r="W314" t="s">
        <v>1034</v>
      </c>
      <c r="X314" t="s">
        <v>1425</v>
      </c>
    </row>
    <row r="315" spans="1:24" x14ac:dyDescent="0.25">
      <c r="A315" t="s">
        <v>42</v>
      </c>
      <c r="B315" t="s">
        <v>1858</v>
      </c>
      <c r="C315" t="s">
        <v>346</v>
      </c>
      <c r="E315" t="s">
        <v>1129</v>
      </c>
      <c r="F315">
        <v>74404</v>
      </c>
      <c r="G315" t="s">
        <v>1051</v>
      </c>
      <c r="H315" t="s">
        <v>1859</v>
      </c>
      <c r="I315" t="s">
        <v>1829</v>
      </c>
      <c r="J315" t="s">
        <v>1424</v>
      </c>
      <c r="K315" t="s">
        <v>1131</v>
      </c>
      <c r="L315" t="s">
        <v>1132</v>
      </c>
      <c r="M315" t="s">
        <v>1028</v>
      </c>
      <c r="N315" t="s">
        <v>1133</v>
      </c>
      <c r="O315" t="s">
        <v>992</v>
      </c>
      <c r="P315" t="s">
        <v>1135</v>
      </c>
      <c r="Q315" t="b">
        <v>1</v>
      </c>
      <c r="R315" t="b">
        <v>0</v>
      </c>
      <c r="S315" t="s">
        <v>1375</v>
      </c>
      <c r="T315" t="s">
        <v>992</v>
      </c>
      <c r="U315" t="s">
        <v>1060</v>
      </c>
      <c r="V315" t="s">
        <v>995</v>
      </c>
      <c r="W315" t="s">
        <v>1034</v>
      </c>
      <c r="X315" t="s">
        <v>1425</v>
      </c>
    </row>
    <row r="316" spans="1:24" x14ac:dyDescent="0.25">
      <c r="A316" t="s">
        <v>42</v>
      </c>
      <c r="B316" t="s">
        <v>1860</v>
      </c>
      <c r="C316" t="s">
        <v>347</v>
      </c>
      <c r="D316" t="s">
        <v>992</v>
      </c>
      <c r="E316" t="s">
        <v>990</v>
      </c>
      <c r="F316">
        <v>0</v>
      </c>
      <c r="G316" t="s">
        <v>1085</v>
      </c>
      <c r="H316" t="s">
        <v>1861</v>
      </c>
      <c r="I316" t="s">
        <v>1862</v>
      </c>
      <c r="J316" t="s">
        <v>1424</v>
      </c>
      <c r="K316" t="s">
        <v>992</v>
      </c>
      <c r="L316" t="s">
        <v>992</v>
      </c>
      <c r="M316" t="s">
        <v>992</v>
      </c>
      <c r="N316" t="s">
        <v>992</v>
      </c>
      <c r="O316" t="s">
        <v>992</v>
      </c>
      <c r="P316" t="s">
        <v>992</v>
      </c>
      <c r="Q316" t="b">
        <v>1</v>
      </c>
      <c r="R316" t="b">
        <v>0</v>
      </c>
      <c r="S316" t="s">
        <v>1032</v>
      </c>
      <c r="T316" t="s">
        <v>992</v>
      </c>
      <c r="U316" t="s">
        <v>1139</v>
      </c>
      <c r="V316" t="s">
        <v>1061</v>
      </c>
      <c r="W316" t="s">
        <v>1206</v>
      </c>
      <c r="X316" t="s">
        <v>1863</v>
      </c>
    </row>
    <row r="317" spans="1:24" x14ac:dyDescent="0.25">
      <c r="A317" t="s">
        <v>42</v>
      </c>
      <c r="B317" t="s">
        <v>1864</v>
      </c>
      <c r="C317" t="s">
        <v>347</v>
      </c>
      <c r="D317" t="s">
        <v>992</v>
      </c>
      <c r="E317" t="s">
        <v>999</v>
      </c>
      <c r="F317">
        <v>0</v>
      </c>
      <c r="G317" t="s">
        <v>1085</v>
      </c>
      <c r="H317" t="s">
        <v>1861</v>
      </c>
      <c r="I317" t="s">
        <v>1862</v>
      </c>
      <c r="J317" t="s">
        <v>1424</v>
      </c>
      <c r="K317" t="s">
        <v>992</v>
      </c>
      <c r="L317" t="s">
        <v>992</v>
      </c>
      <c r="M317" t="s">
        <v>992</v>
      </c>
      <c r="N317" t="s">
        <v>992</v>
      </c>
      <c r="O317" t="s">
        <v>992</v>
      </c>
      <c r="P317" t="s">
        <v>992</v>
      </c>
      <c r="Q317" t="b">
        <v>1</v>
      </c>
      <c r="R317" t="b">
        <v>0</v>
      </c>
      <c r="S317" t="s">
        <v>1032</v>
      </c>
      <c r="T317" t="s">
        <v>992</v>
      </c>
      <c r="U317" t="s">
        <v>1139</v>
      </c>
      <c r="V317" t="s">
        <v>1061</v>
      </c>
      <c r="W317" t="s">
        <v>1206</v>
      </c>
      <c r="X317" t="s">
        <v>1865</v>
      </c>
    </row>
    <row r="318" spans="1:24" x14ac:dyDescent="0.25">
      <c r="A318" t="s">
        <v>42</v>
      </c>
      <c r="B318" t="s">
        <v>1866</v>
      </c>
      <c r="C318" t="s">
        <v>347</v>
      </c>
      <c r="D318" t="s">
        <v>992</v>
      </c>
      <c r="E318" t="s">
        <v>1001</v>
      </c>
      <c r="F318">
        <v>0</v>
      </c>
      <c r="G318" t="s">
        <v>1085</v>
      </c>
      <c r="H318" t="s">
        <v>1861</v>
      </c>
      <c r="I318" t="s">
        <v>1862</v>
      </c>
      <c r="J318" t="s">
        <v>1424</v>
      </c>
      <c r="K318" t="s">
        <v>992</v>
      </c>
      <c r="L318" t="s">
        <v>992</v>
      </c>
      <c r="M318" t="s">
        <v>992</v>
      </c>
      <c r="N318" t="s">
        <v>992</v>
      </c>
      <c r="O318" t="s">
        <v>992</v>
      </c>
      <c r="P318" t="s">
        <v>992</v>
      </c>
      <c r="Q318" t="b">
        <v>1</v>
      </c>
      <c r="R318" t="b">
        <v>0</v>
      </c>
      <c r="S318" t="s">
        <v>1032</v>
      </c>
      <c r="T318" t="s">
        <v>992</v>
      </c>
      <c r="U318" t="s">
        <v>1139</v>
      </c>
      <c r="V318" t="s">
        <v>1061</v>
      </c>
      <c r="W318" t="s">
        <v>1206</v>
      </c>
      <c r="X318" t="s">
        <v>1867</v>
      </c>
    </row>
    <row r="319" spans="1:24" x14ac:dyDescent="0.25">
      <c r="A319" t="s">
        <v>42</v>
      </c>
      <c r="B319" t="s">
        <v>1868</v>
      </c>
      <c r="C319" t="s">
        <v>347</v>
      </c>
      <c r="D319" t="s">
        <v>992</v>
      </c>
      <c r="E319" t="s">
        <v>1003</v>
      </c>
      <c r="F319">
        <v>0</v>
      </c>
      <c r="G319" t="s">
        <v>1085</v>
      </c>
      <c r="H319" t="s">
        <v>1861</v>
      </c>
      <c r="I319" t="s">
        <v>1862</v>
      </c>
      <c r="J319" t="s">
        <v>1424</v>
      </c>
      <c r="K319" t="s">
        <v>992</v>
      </c>
      <c r="L319" t="s">
        <v>992</v>
      </c>
      <c r="M319" t="s">
        <v>992</v>
      </c>
      <c r="N319" t="s">
        <v>992</v>
      </c>
      <c r="O319" t="s">
        <v>992</v>
      </c>
      <c r="P319" t="s">
        <v>992</v>
      </c>
      <c r="Q319" t="b">
        <v>1</v>
      </c>
      <c r="R319" t="b">
        <v>0</v>
      </c>
      <c r="S319" t="s">
        <v>1032</v>
      </c>
      <c r="T319" t="s">
        <v>992</v>
      </c>
      <c r="U319" t="s">
        <v>1139</v>
      </c>
      <c r="V319" t="s">
        <v>1061</v>
      </c>
      <c r="W319" t="s">
        <v>1206</v>
      </c>
      <c r="X319" t="s">
        <v>1869</v>
      </c>
    </row>
    <row r="320" spans="1:24" x14ac:dyDescent="0.25">
      <c r="A320" t="s">
        <v>42</v>
      </c>
      <c r="B320" t="s">
        <v>1870</v>
      </c>
      <c r="C320" t="s">
        <v>347</v>
      </c>
      <c r="D320" t="s">
        <v>992</v>
      </c>
      <c r="E320" t="s">
        <v>1005</v>
      </c>
      <c r="F320">
        <v>0</v>
      </c>
      <c r="G320" t="s">
        <v>1085</v>
      </c>
      <c r="H320" t="s">
        <v>1861</v>
      </c>
      <c r="I320" t="s">
        <v>1862</v>
      </c>
      <c r="J320" t="s">
        <v>1424</v>
      </c>
      <c r="K320" t="s">
        <v>992</v>
      </c>
      <c r="L320" t="s">
        <v>992</v>
      </c>
      <c r="M320" t="s">
        <v>992</v>
      </c>
      <c r="N320" t="s">
        <v>992</v>
      </c>
      <c r="O320" t="s">
        <v>992</v>
      </c>
      <c r="P320" t="s">
        <v>992</v>
      </c>
      <c r="Q320" t="b">
        <v>1</v>
      </c>
      <c r="R320" t="b">
        <v>0</v>
      </c>
      <c r="S320" t="s">
        <v>1032</v>
      </c>
      <c r="T320" t="s">
        <v>992</v>
      </c>
      <c r="U320" t="s">
        <v>1139</v>
      </c>
      <c r="V320" t="s">
        <v>1061</v>
      </c>
      <c r="W320" t="s">
        <v>1206</v>
      </c>
      <c r="X320" t="s">
        <v>1871</v>
      </c>
    </row>
    <row r="321" spans="1:24" x14ac:dyDescent="0.25">
      <c r="A321" t="s">
        <v>42</v>
      </c>
      <c r="B321" t="s">
        <v>1872</v>
      </c>
      <c r="C321" t="s">
        <v>347</v>
      </c>
      <c r="D321" t="s">
        <v>992</v>
      </c>
      <c r="E321" t="s">
        <v>1007</v>
      </c>
      <c r="F321">
        <v>0</v>
      </c>
      <c r="G321" t="s">
        <v>1085</v>
      </c>
      <c r="H321" t="s">
        <v>1861</v>
      </c>
      <c r="I321" t="s">
        <v>1862</v>
      </c>
      <c r="J321" t="s">
        <v>1424</v>
      </c>
      <c r="K321" t="s">
        <v>992</v>
      </c>
      <c r="L321" t="s">
        <v>992</v>
      </c>
      <c r="M321" t="s">
        <v>992</v>
      </c>
      <c r="N321" t="s">
        <v>992</v>
      </c>
      <c r="O321" t="s">
        <v>992</v>
      </c>
      <c r="P321" t="s">
        <v>992</v>
      </c>
      <c r="Q321" t="b">
        <v>1</v>
      </c>
      <c r="R321" t="b">
        <v>0</v>
      </c>
      <c r="S321" t="s">
        <v>1032</v>
      </c>
      <c r="T321" t="s">
        <v>992</v>
      </c>
      <c r="U321" t="s">
        <v>1139</v>
      </c>
      <c r="V321" t="s">
        <v>1061</v>
      </c>
      <c r="W321" t="s">
        <v>1206</v>
      </c>
      <c r="X321" t="s">
        <v>1873</v>
      </c>
    </row>
    <row r="322" spans="1:24" x14ac:dyDescent="0.25">
      <c r="A322" t="s">
        <v>42</v>
      </c>
      <c r="B322" t="s">
        <v>1874</v>
      </c>
      <c r="C322" t="s">
        <v>347</v>
      </c>
      <c r="D322" t="s">
        <v>992</v>
      </c>
      <c r="E322" t="s">
        <v>1009</v>
      </c>
      <c r="F322">
        <v>0</v>
      </c>
      <c r="G322" t="s">
        <v>1085</v>
      </c>
      <c r="H322" t="s">
        <v>1861</v>
      </c>
      <c r="I322" t="s">
        <v>1862</v>
      </c>
      <c r="J322" t="s">
        <v>1424</v>
      </c>
      <c r="K322" t="s">
        <v>992</v>
      </c>
      <c r="L322" t="s">
        <v>992</v>
      </c>
      <c r="M322" t="s">
        <v>992</v>
      </c>
      <c r="N322" t="s">
        <v>992</v>
      </c>
      <c r="O322" t="s">
        <v>992</v>
      </c>
      <c r="P322" t="s">
        <v>992</v>
      </c>
      <c r="Q322" t="b">
        <v>1</v>
      </c>
      <c r="R322" t="b">
        <v>0</v>
      </c>
      <c r="S322" t="s">
        <v>1032</v>
      </c>
      <c r="T322" t="s">
        <v>992</v>
      </c>
      <c r="U322" t="s">
        <v>1139</v>
      </c>
      <c r="V322" t="s">
        <v>1061</v>
      </c>
      <c r="W322" t="s">
        <v>1206</v>
      </c>
      <c r="X322" t="s">
        <v>1875</v>
      </c>
    </row>
    <row r="323" spans="1:24" x14ac:dyDescent="0.25">
      <c r="A323" t="s">
        <v>42</v>
      </c>
      <c r="B323" t="s">
        <v>1876</v>
      </c>
      <c r="C323" t="s">
        <v>347</v>
      </c>
      <c r="D323" t="s">
        <v>992</v>
      </c>
      <c r="E323" t="s">
        <v>1011</v>
      </c>
      <c r="F323">
        <v>0</v>
      </c>
      <c r="G323" t="s">
        <v>1085</v>
      </c>
      <c r="H323" t="s">
        <v>1861</v>
      </c>
      <c r="I323" t="s">
        <v>1862</v>
      </c>
      <c r="J323" t="s">
        <v>1424</v>
      </c>
      <c r="K323" t="s">
        <v>992</v>
      </c>
      <c r="L323" t="s">
        <v>992</v>
      </c>
      <c r="M323" t="s">
        <v>992</v>
      </c>
      <c r="N323" t="s">
        <v>992</v>
      </c>
      <c r="O323" t="s">
        <v>992</v>
      </c>
      <c r="P323" t="s">
        <v>992</v>
      </c>
      <c r="Q323" t="b">
        <v>1</v>
      </c>
      <c r="R323" t="b">
        <v>0</v>
      </c>
      <c r="S323" t="s">
        <v>1032</v>
      </c>
      <c r="T323" t="s">
        <v>992</v>
      </c>
      <c r="U323" t="s">
        <v>1139</v>
      </c>
      <c r="V323" t="s">
        <v>1061</v>
      </c>
      <c r="W323" t="s">
        <v>1206</v>
      </c>
      <c r="X323" t="s">
        <v>1877</v>
      </c>
    </row>
    <row r="324" spans="1:24" x14ac:dyDescent="0.25">
      <c r="A324" t="s">
        <v>42</v>
      </c>
      <c r="B324" t="s">
        <v>1878</v>
      </c>
      <c r="C324" t="s">
        <v>347</v>
      </c>
      <c r="D324" t="s">
        <v>992</v>
      </c>
      <c r="E324" t="s">
        <v>1013</v>
      </c>
      <c r="F324">
        <v>0</v>
      </c>
      <c r="G324" t="s">
        <v>1085</v>
      </c>
      <c r="H324" t="s">
        <v>1861</v>
      </c>
      <c r="I324" t="s">
        <v>1862</v>
      </c>
      <c r="J324" t="s">
        <v>1424</v>
      </c>
      <c r="K324" t="s">
        <v>992</v>
      </c>
      <c r="L324" t="s">
        <v>992</v>
      </c>
      <c r="M324" t="s">
        <v>992</v>
      </c>
      <c r="N324" t="s">
        <v>992</v>
      </c>
      <c r="O324" t="s">
        <v>992</v>
      </c>
      <c r="P324" t="s">
        <v>992</v>
      </c>
      <c r="Q324" t="b">
        <v>1</v>
      </c>
      <c r="R324" t="b">
        <v>0</v>
      </c>
      <c r="S324" t="s">
        <v>1032</v>
      </c>
      <c r="T324" t="s">
        <v>992</v>
      </c>
      <c r="U324" t="s">
        <v>1139</v>
      </c>
      <c r="V324" t="s">
        <v>1061</v>
      </c>
      <c r="W324" t="s">
        <v>1206</v>
      </c>
      <c r="X324" t="s">
        <v>1879</v>
      </c>
    </row>
    <row r="325" spans="1:24" x14ac:dyDescent="0.25">
      <c r="A325" t="s">
        <v>42</v>
      </c>
      <c r="B325" t="s">
        <v>1880</v>
      </c>
      <c r="C325" t="s">
        <v>347</v>
      </c>
      <c r="D325" t="s">
        <v>992</v>
      </c>
      <c r="E325" t="s">
        <v>1015</v>
      </c>
      <c r="F325">
        <v>0</v>
      </c>
      <c r="G325" t="s">
        <v>1085</v>
      </c>
      <c r="H325" t="s">
        <v>1861</v>
      </c>
      <c r="I325" t="s">
        <v>1862</v>
      </c>
      <c r="J325" t="s">
        <v>1424</v>
      </c>
      <c r="K325" t="s">
        <v>992</v>
      </c>
      <c r="L325" t="s">
        <v>992</v>
      </c>
      <c r="M325" t="s">
        <v>992</v>
      </c>
      <c r="N325" t="s">
        <v>992</v>
      </c>
      <c r="O325" t="s">
        <v>992</v>
      </c>
      <c r="P325" t="s">
        <v>992</v>
      </c>
      <c r="Q325" t="b">
        <v>1</v>
      </c>
      <c r="R325" t="b">
        <v>0</v>
      </c>
      <c r="S325" t="s">
        <v>1032</v>
      </c>
      <c r="T325" t="s">
        <v>992</v>
      </c>
      <c r="U325" t="s">
        <v>1139</v>
      </c>
      <c r="V325" t="s">
        <v>1061</v>
      </c>
      <c r="W325" t="s">
        <v>1206</v>
      </c>
      <c r="X325" t="s">
        <v>1881</v>
      </c>
    </row>
    <row r="326" spans="1:24" x14ac:dyDescent="0.25">
      <c r="A326" t="s">
        <v>42</v>
      </c>
      <c r="B326" t="s">
        <v>1882</v>
      </c>
      <c r="C326" t="s">
        <v>347</v>
      </c>
      <c r="D326" t="s">
        <v>992</v>
      </c>
      <c r="E326" t="s">
        <v>1017</v>
      </c>
      <c r="F326">
        <v>0</v>
      </c>
      <c r="G326" t="s">
        <v>1085</v>
      </c>
      <c r="H326" t="s">
        <v>1861</v>
      </c>
      <c r="I326" t="s">
        <v>1862</v>
      </c>
      <c r="J326" t="s">
        <v>1424</v>
      </c>
      <c r="K326" t="s">
        <v>992</v>
      </c>
      <c r="L326" t="s">
        <v>992</v>
      </c>
      <c r="M326" t="s">
        <v>992</v>
      </c>
      <c r="N326" t="s">
        <v>992</v>
      </c>
      <c r="O326" t="s">
        <v>992</v>
      </c>
      <c r="P326" t="s">
        <v>992</v>
      </c>
      <c r="Q326" t="b">
        <v>1</v>
      </c>
      <c r="R326" t="b">
        <v>0</v>
      </c>
      <c r="S326" t="s">
        <v>1032</v>
      </c>
      <c r="T326" t="s">
        <v>992</v>
      </c>
      <c r="U326" t="s">
        <v>1139</v>
      </c>
      <c r="V326" t="s">
        <v>1061</v>
      </c>
      <c r="W326" t="s">
        <v>1206</v>
      </c>
      <c r="X326" t="s">
        <v>1883</v>
      </c>
    </row>
    <row r="327" spans="1:24" x14ac:dyDescent="0.25">
      <c r="A327" t="s">
        <v>42</v>
      </c>
      <c r="B327" t="s">
        <v>1884</v>
      </c>
      <c r="C327" t="s">
        <v>347</v>
      </c>
      <c r="D327" t="s">
        <v>992</v>
      </c>
      <c r="E327" t="s">
        <v>1019</v>
      </c>
      <c r="F327">
        <v>0</v>
      </c>
      <c r="G327" t="s">
        <v>1085</v>
      </c>
      <c r="H327" t="s">
        <v>1861</v>
      </c>
      <c r="I327" t="s">
        <v>1862</v>
      </c>
      <c r="J327" t="s">
        <v>1424</v>
      </c>
      <c r="K327" t="s">
        <v>992</v>
      </c>
      <c r="L327" t="s">
        <v>992</v>
      </c>
      <c r="M327" t="s">
        <v>992</v>
      </c>
      <c r="N327" t="s">
        <v>992</v>
      </c>
      <c r="O327" t="s">
        <v>992</v>
      </c>
      <c r="P327" t="s">
        <v>992</v>
      </c>
      <c r="Q327" t="b">
        <v>1</v>
      </c>
      <c r="R327" t="b">
        <v>0</v>
      </c>
      <c r="S327" t="s">
        <v>1032</v>
      </c>
      <c r="T327" t="s">
        <v>992</v>
      </c>
      <c r="U327" t="s">
        <v>1139</v>
      </c>
      <c r="V327" t="s">
        <v>1061</v>
      </c>
      <c r="W327" t="s">
        <v>1206</v>
      </c>
      <c r="X327" t="s">
        <v>1885</v>
      </c>
    </row>
    <row r="328" spans="1:24" x14ac:dyDescent="0.25">
      <c r="A328" t="s">
        <v>42</v>
      </c>
      <c r="B328" t="s">
        <v>1886</v>
      </c>
      <c r="C328" t="s">
        <v>347</v>
      </c>
      <c r="D328" t="s">
        <v>992</v>
      </c>
      <c r="E328" t="s">
        <v>1021</v>
      </c>
      <c r="F328">
        <v>0</v>
      </c>
      <c r="G328" t="s">
        <v>1085</v>
      </c>
      <c r="H328" t="s">
        <v>1861</v>
      </c>
      <c r="I328" t="s">
        <v>1862</v>
      </c>
      <c r="J328" t="s">
        <v>1424</v>
      </c>
      <c r="K328" t="s">
        <v>992</v>
      </c>
      <c r="L328" t="s">
        <v>992</v>
      </c>
      <c r="M328" t="s">
        <v>992</v>
      </c>
      <c r="N328" t="s">
        <v>992</v>
      </c>
      <c r="O328" t="s">
        <v>992</v>
      </c>
      <c r="P328" t="s">
        <v>992</v>
      </c>
      <c r="Q328" t="b">
        <v>1</v>
      </c>
      <c r="R328" t="b">
        <v>0</v>
      </c>
      <c r="S328" t="s">
        <v>1032</v>
      </c>
      <c r="T328" t="s">
        <v>992</v>
      </c>
      <c r="U328" t="s">
        <v>1139</v>
      </c>
      <c r="V328" t="s">
        <v>1061</v>
      </c>
      <c r="W328" t="s">
        <v>1206</v>
      </c>
      <c r="X328" t="s">
        <v>1887</v>
      </c>
    </row>
    <row r="329" spans="1:24" x14ac:dyDescent="0.25">
      <c r="A329" t="s">
        <v>42</v>
      </c>
      <c r="B329" t="s">
        <v>1888</v>
      </c>
      <c r="C329" t="s">
        <v>347</v>
      </c>
      <c r="D329" t="s">
        <v>992</v>
      </c>
      <c r="E329" t="s">
        <v>1129</v>
      </c>
      <c r="F329">
        <v>0</v>
      </c>
      <c r="G329" t="s">
        <v>1085</v>
      </c>
      <c r="H329" t="s">
        <v>1861</v>
      </c>
      <c r="I329" t="s">
        <v>1862</v>
      </c>
      <c r="J329" t="s">
        <v>1424</v>
      </c>
      <c r="K329" t="s">
        <v>992</v>
      </c>
      <c r="L329" t="s">
        <v>992</v>
      </c>
      <c r="M329" t="s">
        <v>992</v>
      </c>
      <c r="N329" t="s">
        <v>992</v>
      </c>
      <c r="O329" t="s">
        <v>992</v>
      </c>
      <c r="P329" t="s">
        <v>992</v>
      </c>
      <c r="Q329" t="b">
        <v>1</v>
      </c>
      <c r="R329" t="b">
        <v>0</v>
      </c>
      <c r="S329" t="s">
        <v>1032</v>
      </c>
      <c r="T329" t="s">
        <v>992</v>
      </c>
      <c r="U329" t="s">
        <v>1139</v>
      </c>
      <c r="V329" t="s">
        <v>1061</v>
      </c>
      <c r="W329" t="s">
        <v>1206</v>
      </c>
      <c r="X329" t="s">
        <v>1889</v>
      </c>
    </row>
    <row r="330" spans="1:24" x14ac:dyDescent="0.25">
      <c r="A330" t="s">
        <v>42</v>
      </c>
      <c r="B330" t="s">
        <v>1890</v>
      </c>
      <c r="C330" t="s">
        <v>348</v>
      </c>
      <c r="E330" t="s">
        <v>990</v>
      </c>
      <c r="F330">
        <v>53107</v>
      </c>
      <c r="G330" t="s">
        <v>1051</v>
      </c>
      <c r="H330" t="s">
        <v>1891</v>
      </c>
      <c r="I330" t="s">
        <v>1892</v>
      </c>
      <c r="J330" t="s">
        <v>1424</v>
      </c>
      <c r="K330" t="s">
        <v>1026</v>
      </c>
      <c r="L330" t="s">
        <v>1027</v>
      </c>
      <c r="M330" t="s">
        <v>1028</v>
      </c>
      <c r="N330" t="s">
        <v>1029</v>
      </c>
      <c r="O330" t="s">
        <v>992</v>
      </c>
      <c r="P330" t="s">
        <v>1031</v>
      </c>
      <c r="Q330" t="b">
        <v>1</v>
      </c>
      <c r="R330" t="b">
        <v>0</v>
      </c>
      <c r="S330" t="s">
        <v>1375</v>
      </c>
      <c r="T330" t="s">
        <v>992</v>
      </c>
      <c r="U330" t="s">
        <v>1060</v>
      </c>
      <c r="V330" t="s">
        <v>995</v>
      </c>
      <c r="W330" t="s">
        <v>1034</v>
      </c>
      <c r="X330" t="s">
        <v>1425</v>
      </c>
    </row>
    <row r="331" spans="1:24" x14ac:dyDescent="0.25">
      <c r="A331" t="s">
        <v>42</v>
      </c>
      <c r="B331" t="s">
        <v>1893</v>
      </c>
      <c r="C331" t="s">
        <v>348</v>
      </c>
      <c r="E331" t="s">
        <v>999</v>
      </c>
      <c r="F331">
        <v>52886</v>
      </c>
      <c r="G331" t="s">
        <v>1051</v>
      </c>
      <c r="H331" t="s">
        <v>1894</v>
      </c>
      <c r="I331" t="s">
        <v>1892</v>
      </c>
      <c r="J331" t="s">
        <v>1424</v>
      </c>
      <c r="K331" t="s">
        <v>1038</v>
      </c>
      <c r="L331" t="s">
        <v>1039</v>
      </c>
      <c r="M331" t="s">
        <v>1028</v>
      </c>
      <c r="N331" t="s">
        <v>1040</v>
      </c>
      <c r="O331" t="s">
        <v>992</v>
      </c>
      <c r="P331" t="s">
        <v>1042</v>
      </c>
      <c r="Q331" t="b">
        <v>1</v>
      </c>
      <c r="R331" t="b">
        <v>0</v>
      </c>
      <c r="S331" t="s">
        <v>1375</v>
      </c>
      <c r="T331" t="s">
        <v>992</v>
      </c>
      <c r="U331" t="s">
        <v>1060</v>
      </c>
      <c r="V331" t="s">
        <v>995</v>
      </c>
      <c r="W331" t="s">
        <v>1034</v>
      </c>
      <c r="X331" t="s">
        <v>1425</v>
      </c>
    </row>
    <row r="332" spans="1:24" x14ac:dyDescent="0.25">
      <c r="A332" t="s">
        <v>42</v>
      </c>
      <c r="B332" t="s">
        <v>1895</v>
      </c>
      <c r="C332" t="s">
        <v>348</v>
      </c>
      <c r="E332" t="s">
        <v>1001</v>
      </c>
      <c r="F332">
        <v>51730</v>
      </c>
      <c r="G332" t="s">
        <v>1051</v>
      </c>
      <c r="H332" t="s">
        <v>1896</v>
      </c>
      <c r="I332" t="s">
        <v>1892</v>
      </c>
      <c r="J332" t="s">
        <v>1424</v>
      </c>
      <c r="K332" t="s">
        <v>1045</v>
      </c>
      <c r="L332" t="s">
        <v>1046</v>
      </c>
      <c r="M332" t="s">
        <v>1028</v>
      </c>
      <c r="N332" t="s">
        <v>1047</v>
      </c>
      <c r="O332" t="s">
        <v>992</v>
      </c>
      <c r="P332" t="s">
        <v>1049</v>
      </c>
      <c r="Q332" t="b">
        <v>1</v>
      </c>
      <c r="R332" t="b">
        <v>0</v>
      </c>
      <c r="S332" t="s">
        <v>1375</v>
      </c>
      <c r="T332" t="s">
        <v>992</v>
      </c>
      <c r="U332" t="s">
        <v>1060</v>
      </c>
      <c r="V332" t="s">
        <v>995</v>
      </c>
      <c r="W332" t="s">
        <v>1034</v>
      </c>
      <c r="X332" t="s">
        <v>1425</v>
      </c>
    </row>
    <row r="333" spans="1:24" x14ac:dyDescent="0.25">
      <c r="A333" t="s">
        <v>42</v>
      </c>
      <c r="B333" t="s">
        <v>1897</v>
      </c>
      <c r="C333" t="s">
        <v>348</v>
      </c>
      <c r="E333" t="s">
        <v>1003</v>
      </c>
      <c r="F333">
        <v>49848</v>
      </c>
      <c r="G333" t="s">
        <v>1051</v>
      </c>
      <c r="H333" t="s">
        <v>1898</v>
      </c>
      <c r="I333" t="s">
        <v>1892</v>
      </c>
      <c r="J333" t="s">
        <v>1424</v>
      </c>
      <c r="K333" t="s">
        <v>1087</v>
      </c>
      <c r="L333" t="s">
        <v>1088</v>
      </c>
      <c r="M333" t="s">
        <v>1056</v>
      </c>
      <c r="N333" t="s">
        <v>1089</v>
      </c>
      <c r="O333" t="s">
        <v>992</v>
      </c>
      <c r="P333" t="s">
        <v>1058</v>
      </c>
      <c r="Q333" t="b">
        <v>1</v>
      </c>
      <c r="R333" t="b">
        <v>0</v>
      </c>
      <c r="S333" t="s">
        <v>1375</v>
      </c>
      <c r="T333" t="s">
        <v>992</v>
      </c>
      <c r="U333" t="s">
        <v>1060</v>
      </c>
      <c r="V333" t="s">
        <v>995</v>
      </c>
      <c r="W333" t="s">
        <v>1034</v>
      </c>
      <c r="X333" t="s">
        <v>1425</v>
      </c>
    </row>
    <row r="334" spans="1:24" x14ac:dyDescent="0.25">
      <c r="A334" t="s">
        <v>42</v>
      </c>
      <c r="B334" t="s">
        <v>1899</v>
      </c>
      <c r="C334" t="s">
        <v>348</v>
      </c>
      <c r="E334" t="s">
        <v>1005</v>
      </c>
      <c r="F334">
        <v>50353</v>
      </c>
      <c r="G334" t="s">
        <v>1051</v>
      </c>
      <c r="H334" t="s">
        <v>1900</v>
      </c>
      <c r="I334" t="s">
        <v>1892</v>
      </c>
      <c r="J334" t="s">
        <v>1424</v>
      </c>
      <c r="K334" t="s">
        <v>1065</v>
      </c>
      <c r="L334" t="s">
        <v>1066</v>
      </c>
      <c r="M334" t="s">
        <v>1028</v>
      </c>
      <c r="N334" t="s">
        <v>1067</v>
      </c>
      <c r="O334" t="s">
        <v>992</v>
      </c>
      <c r="P334" t="s">
        <v>1069</v>
      </c>
      <c r="Q334" t="b">
        <v>1</v>
      </c>
      <c r="R334" t="b">
        <v>0</v>
      </c>
      <c r="S334" t="s">
        <v>1375</v>
      </c>
      <c r="T334" t="s">
        <v>992</v>
      </c>
      <c r="U334" t="s">
        <v>1060</v>
      </c>
      <c r="V334" t="s">
        <v>995</v>
      </c>
      <c r="W334" t="s">
        <v>1034</v>
      </c>
      <c r="X334" t="s">
        <v>1425</v>
      </c>
    </row>
    <row r="335" spans="1:24" x14ac:dyDescent="0.25">
      <c r="A335" t="s">
        <v>42</v>
      </c>
      <c r="B335" t="s">
        <v>1901</v>
      </c>
      <c r="C335" t="s">
        <v>348</v>
      </c>
      <c r="E335" t="s">
        <v>1007</v>
      </c>
      <c r="F335">
        <v>47564</v>
      </c>
      <c r="G335" t="s">
        <v>1051</v>
      </c>
      <c r="H335" t="s">
        <v>1902</v>
      </c>
      <c r="I335" t="s">
        <v>1892</v>
      </c>
      <c r="J335" t="s">
        <v>1424</v>
      </c>
      <c r="K335" t="s">
        <v>1072</v>
      </c>
      <c r="L335" t="s">
        <v>1073</v>
      </c>
      <c r="M335" t="s">
        <v>1028</v>
      </c>
      <c r="N335" t="s">
        <v>1074</v>
      </c>
      <c r="O335" t="s">
        <v>992</v>
      </c>
      <c r="P335" t="s">
        <v>1076</v>
      </c>
      <c r="Q335" t="b">
        <v>1</v>
      </c>
      <c r="R335" t="b">
        <v>0</v>
      </c>
      <c r="S335" t="s">
        <v>1375</v>
      </c>
      <c r="T335" t="s">
        <v>992</v>
      </c>
      <c r="U335" t="s">
        <v>1060</v>
      </c>
      <c r="V335" t="s">
        <v>995</v>
      </c>
      <c r="W335" t="s">
        <v>1034</v>
      </c>
      <c r="X335" t="s">
        <v>1425</v>
      </c>
    </row>
    <row r="336" spans="1:24" x14ac:dyDescent="0.25">
      <c r="A336" t="s">
        <v>42</v>
      </c>
      <c r="B336" t="s">
        <v>1903</v>
      </c>
      <c r="C336" t="s">
        <v>348</v>
      </c>
      <c r="E336" t="s">
        <v>1009</v>
      </c>
      <c r="F336">
        <v>47084</v>
      </c>
      <c r="G336" t="s">
        <v>1051</v>
      </c>
      <c r="H336" t="s">
        <v>1904</v>
      </c>
      <c r="I336" t="s">
        <v>1892</v>
      </c>
      <c r="J336" t="s">
        <v>1424</v>
      </c>
      <c r="K336" t="s">
        <v>1079</v>
      </c>
      <c r="L336" t="s">
        <v>1080</v>
      </c>
      <c r="M336" t="s">
        <v>1028</v>
      </c>
      <c r="N336" t="s">
        <v>1081</v>
      </c>
      <c r="O336" t="s">
        <v>992</v>
      </c>
      <c r="P336" t="s">
        <v>1083</v>
      </c>
      <c r="Q336" t="b">
        <v>1</v>
      </c>
      <c r="R336" t="b">
        <v>0</v>
      </c>
      <c r="S336" t="s">
        <v>1375</v>
      </c>
      <c r="T336" t="s">
        <v>992</v>
      </c>
      <c r="U336" t="s">
        <v>1060</v>
      </c>
      <c r="V336" t="s">
        <v>995</v>
      </c>
      <c r="W336" t="s">
        <v>1034</v>
      </c>
      <c r="X336" t="s">
        <v>1425</v>
      </c>
    </row>
    <row r="337" spans="1:24" x14ac:dyDescent="0.25">
      <c r="A337" t="s">
        <v>42</v>
      </c>
      <c r="B337" t="s">
        <v>1905</v>
      </c>
      <c r="C337" t="s">
        <v>348</v>
      </c>
      <c r="E337" t="s">
        <v>1011</v>
      </c>
      <c r="F337">
        <v>45888</v>
      </c>
      <c r="G337" t="s">
        <v>1051</v>
      </c>
      <c r="H337" t="s">
        <v>1906</v>
      </c>
      <c r="I337" t="s">
        <v>1892</v>
      </c>
      <c r="J337" t="s">
        <v>1424</v>
      </c>
      <c r="K337" t="s">
        <v>1116</v>
      </c>
      <c r="L337" t="s">
        <v>1117</v>
      </c>
      <c r="M337" t="s">
        <v>1056</v>
      </c>
      <c r="N337" t="s">
        <v>1118</v>
      </c>
      <c r="O337" t="s">
        <v>992</v>
      </c>
      <c r="P337" t="s">
        <v>1090</v>
      </c>
      <c r="Q337" t="b">
        <v>1</v>
      </c>
      <c r="R337" t="b">
        <v>0</v>
      </c>
      <c r="S337" t="s">
        <v>1375</v>
      </c>
      <c r="T337" t="s">
        <v>992</v>
      </c>
      <c r="U337" t="s">
        <v>1060</v>
      </c>
      <c r="V337" t="s">
        <v>995</v>
      </c>
      <c r="W337" t="s">
        <v>1034</v>
      </c>
      <c r="X337" t="s">
        <v>1425</v>
      </c>
    </row>
    <row r="338" spans="1:24" x14ac:dyDescent="0.25">
      <c r="A338" t="s">
        <v>42</v>
      </c>
      <c r="B338" t="s">
        <v>1907</v>
      </c>
      <c r="C338" t="s">
        <v>348</v>
      </c>
      <c r="D338" t="s">
        <v>992</v>
      </c>
      <c r="E338" t="s">
        <v>1013</v>
      </c>
      <c r="F338">
        <v>49006</v>
      </c>
      <c r="G338" t="s">
        <v>1085</v>
      </c>
      <c r="H338" t="s">
        <v>1908</v>
      </c>
      <c r="I338" t="s">
        <v>1892</v>
      </c>
      <c r="J338" t="s">
        <v>1424</v>
      </c>
      <c r="K338" t="s">
        <v>1094</v>
      </c>
      <c r="L338" t="s">
        <v>1095</v>
      </c>
      <c r="M338" t="s">
        <v>1028</v>
      </c>
      <c r="N338" t="s">
        <v>1096</v>
      </c>
      <c r="O338" t="s">
        <v>992</v>
      </c>
      <c r="P338" t="s">
        <v>1098</v>
      </c>
      <c r="Q338" t="b">
        <v>1</v>
      </c>
      <c r="R338" t="b">
        <v>0</v>
      </c>
      <c r="S338" t="s">
        <v>1032</v>
      </c>
      <c r="T338" t="s">
        <v>992</v>
      </c>
      <c r="U338" t="s">
        <v>1139</v>
      </c>
      <c r="V338" t="s">
        <v>995</v>
      </c>
      <c r="W338" t="s">
        <v>1034</v>
      </c>
      <c r="X338" t="s">
        <v>1909</v>
      </c>
    </row>
    <row r="339" spans="1:24" x14ac:dyDescent="0.25">
      <c r="A339" t="s">
        <v>42</v>
      </c>
      <c r="B339" t="s">
        <v>1910</v>
      </c>
      <c r="C339" t="s">
        <v>348</v>
      </c>
      <c r="D339" t="s">
        <v>992</v>
      </c>
      <c r="E339" t="s">
        <v>1015</v>
      </c>
      <c r="F339">
        <v>41300</v>
      </c>
      <c r="G339" t="s">
        <v>1085</v>
      </c>
      <c r="H339" t="s">
        <v>1911</v>
      </c>
      <c r="I339" t="s">
        <v>1892</v>
      </c>
      <c r="J339" t="s">
        <v>1424</v>
      </c>
      <c r="K339" t="s">
        <v>1102</v>
      </c>
      <c r="L339" t="s">
        <v>1103</v>
      </c>
      <c r="M339" t="s">
        <v>1028</v>
      </c>
      <c r="N339" t="s">
        <v>1104</v>
      </c>
      <c r="O339" t="s">
        <v>992</v>
      </c>
      <c r="P339" t="s">
        <v>1106</v>
      </c>
      <c r="Q339" t="b">
        <v>1</v>
      </c>
      <c r="R339" t="b">
        <v>0</v>
      </c>
      <c r="S339" t="s">
        <v>1032</v>
      </c>
      <c r="T339" t="s">
        <v>992</v>
      </c>
      <c r="U339" t="s">
        <v>1139</v>
      </c>
      <c r="V339" t="s">
        <v>995</v>
      </c>
      <c r="W339" t="s">
        <v>1034</v>
      </c>
      <c r="X339" t="s">
        <v>1912</v>
      </c>
    </row>
    <row r="340" spans="1:24" x14ac:dyDescent="0.25">
      <c r="A340" t="s">
        <v>42</v>
      </c>
      <c r="B340" t="s">
        <v>1913</v>
      </c>
      <c r="C340" t="s">
        <v>348</v>
      </c>
      <c r="D340" t="s">
        <v>992</v>
      </c>
      <c r="E340" t="s">
        <v>1017</v>
      </c>
      <c r="F340">
        <v>42115</v>
      </c>
      <c r="G340" t="s">
        <v>1085</v>
      </c>
      <c r="H340" t="s">
        <v>1914</v>
      </c>
      <c r="I340" t="s">
        <v>1892</v>
      </c>
      <c r="J340" t="s">
        <v>1424</v>
      </c>
      <c r="K340" t="s">
        <v>1109</v>
      </c>
      <c r="L340" t="s">
        <v>1110</v>
      </c>
      <c r="M340" t="s">
        <v>1028</v>
      </c>
      <c r="N340" t="s">
        <v>1111</v>
      </c>
      <c r="O340" t="s">
        <v>992</v>
      </c>
      <c r="P340" t="s">
        <v>1113</v>
      </c>
      <c r="Q340" t="b">
        <v>1</v>
      </c>
      <c r="R340" t="b">
        <v>0</v>
      </c>
      <c r="S340" t="s">
        <v>1032</v>
      </c>
      <c r="T340" t="s">
        <v>992</v>
      </c>
      <c r="U340" t="s">
        <v>1139</v>
      </c>
      <c r="V340" t="s">
        <v>995</v>
      </c>
      <c r="W340" t="s">
        <v>1034</v>
      </c>
      <c r="X340" t="s">
        <v>1915</v>
      </c>
    </row>
    <row r="341" spans="1:24" x14ac:dyDescent="0.25">
      <c r="A341" t="s">
        <v>42</v>
      </c>
      <c r="B341" t="s">
        <v>1916</v>
      </c>
      <c r="C341" t="s">
        <v>348</v>
      </c>
      <c r="D341" t="s">
        <v>992</v>
      </c>
      <c r="E341" t="s">
        <v>1019</v>
      </c>
      <c r="F341">
        <v>41549</v>
      </c>
      <c r="G341" t="s">
        <v>1085</v>
      </c>
      <c r="H341" t="s">
        <v>1917</v>
      </c>
      <c r="I341" t="s">
        <v>1892</v>
      </c>
      <c r="J341" t="s">
        <v>1424</v>
      </c>
      <c r="K341" t="s">
        <v>1131</v>
      </c>
      <c r="L341" t="s">
        <v>1132</v>
      </c>
      <c r="M341" t="s">
        <v>1028</v>
      </c>
      <c r="N341" t="s">
        <v>1133</v>
      </c>
      <c r="O341" t="s">
        <v>992</v>
      </c>
      <c r="P341" t="s">
        <v>1119</v>
      </c>
      <c r="Q341" t="b">
        <v>1</v>
      </c>
      <c r="R341" t="b">
        <v>0</v>
      </c>
      <c r="S341" t="s">
        <v>1032</v>
      </c>
      <c r="T341" t="s">
        <v>992</v>
      </c>
      <c r="U341" t="s">
        <v>1139</v>
      </c>
      <c r="V341" t="s">
        <v>995</v>
      </c>
      <c r="W341" t="s">
        <v>1034</v>
      </c>
      <c r="X341" t="s">
        <v>1918</v>
      </c>
    </row>
    <row r="342" spans="1:24" x14ac:dyDescent="0.25">
      <c r="A342" t="s">
        <v>42</v>
      </c>
      <c r="B342" t="s">
        <v>1919</v>
      </c>
      <c r="C342" t="s">
        <v>348</v>
      </c>
      <c r="E342" t="s">
        <v>1021</v>
      </c>
      <c r="F342">
        <v>52055</v>
      </c>
      <c r="G342" t="s">
        <v>1051</v>
      </c>
      <c r="H342" t="s">
        <v>1920</v>
      </c>
      <c r="I342" t="s">
        <v>1892</v>
      </c>
      <c r="J342" t="s">
        <v>1424</v>
      </c>
      <c r="K342" t="s">
        <v>1123</v>
      </c>
      <c r="L342" t="s">
        <v>1124</v>
      </c>
      <c r="M342" t="s">
        <v>1028</v>
      </c>
      <c r="N342" t="s">
        <v>1125</v>
      </c>
      <c r="O342" t="s">
        <v>992</v>
      </c>
      <c r="P342" t="s">
        <v>1127</v>
      </c>
      <c r="Q342" t="b">
        <v>1</v>
      </c>
      <c r="R342" t="b">
        <v>0</v>
      </c>
      <c r="S342" t="s">
        <v>1375</v>
      </c>
      <c r="T342" t="s">
        <v>992</v>
      </c>
      <c r="U342" t="s">
        <v>1060</v>
      </c>
      <c r="V342" t="s">
        <v>995</v>
      </c>
      <c r="W342" t="s">
        <v>1034</v>
      </c>
      <c r="X342" t="s">
        <v>1425</v>
      </c>
    </row>
    <row r="343" spans="1:24" x14ac:dyDescent="0.25">
      <c r="A343" t="s">
        <v>42</v>
      </c>
      <c r="B343" t="s">
        <v>1921</v>
      </c>
      <c r="C343" t="s">
        <v>348</v>
      </c>
      <c r="E343" t="s">
        <v>1129</v>
      </c>
      <c r="F343">
        <v>55546</v>
      </c>
      <c r="G343" t="s">
        <v>1051</v>
      </c>
      <c r="H343" t="s">
        <v>1922</v>
      </c>
      <c r="I343" t="s">
        <v>1892</v>
      </c>
      <c r="J343" t="s">
        <v>1424</v>
      </c>
      <c r="K343" t="s">
        <v>1131</v>
      </c>
      <c r="L343" t="s">
        <v>1132</v>
      </c>
      <c r="M343" t="s">
        <v>1028</v>
      </c>
      <c r="N343" t="s">
        <v>1133</v>
      </c>
      <c r="O343" t="s">
        <v>992</v>
      </c>
      <c r="P343" t="s">
        <v>1135</v>
      </c>
      <c r="Q343" t="b">
        <v>1</v>
      </c>
      <c r="R343" t="b">
        <v>0</v>
      </c>
      <c r="S343" t="s">
        <v>1375</v>
      </c>
      <c r="T343" t="s">
        <v>992</v>
      </c>
      <c r="U343" t="s">
        <v>1060</v>
      </c>
      <c r="V343" t="s">
        <v>995</v>
      </c>
      <c r="W343" t="s">
        <v>1034</v>
      </c>
      <c r="X343" t="s">
        <v>1425</v>
      </c>
    </row>
    <row r="344" spans="1:24" x14ac:dyDescent="0.25">
      <c r="A344" t="s">
        <v>42</v>
      </c>
      <c r="B344" t="s">
        <v>1923</v>
      </c>
      <c r="C344" t="s">
        <v>351</v>
      </c>
      <c r="D344" t="s">
        <v>992</v>
      </c>
      <c r="E344" t="s">
        <v>990</v>
      </c>
      <c r="F344">
        <v>66399</v>
      </c>
      <c r="G344" t="s">
        <v>1085</v>
      </c>
      <c r="H344" t="s">
        <v>1924</v>
      </c>
      <c r="I344" t="s">
        <v>1925</v>
      </c>
      <c r="J344" t="s">
        <v>1424</v>
      </c>
      <c r="K344" t="s">
        <v>1026</v>
      </c>
      <c r="L344" t="s">
        <v>1027</v>
      </c>
      <c r="M344" t="s">
        <v>1028</v>
      </c>
      <c r="N344" t="s">
        <v>1029</v>
      </c>
      <c r="O344" t="s">
        <v>992</v>
      </c>
      <c r="P344" t="s">
        <v>1031</v>
      </c>
      <c r="Q344" t="b">
        <v>1</v>
      </c>
      <c r="R344" t="b">
        <v>0</v>
      </c>
      <c r="S344" t="s">
        <v>1032</v>
      </c>
      <c r="T344" t="s">
        <v>992</v>
      </c>
      <c r="U344" t="s">
        <v>1139</v>
      </c>
      <c r="V344" t="s">
        <v>995</v>
      </c>
      <c r="W344" t="s">
        <v>1034</v>
      </c>
      <c r="X344" t="s">
        <v>1926</v>
      </c>
    </row>
    <row r="345" spans="1:24" x14ac:dyDescent="0.25">
      <c r="A345" t="s">
        <v>42</v>
      </c>
      <c r="B345" t="s">
        <v>1927</v>
      </c>
      <c r="C345" t="s">
        <v>351</v>
      </c>
      <c r="D345" t="s">
        <v>992</v>
      </c>
      <c r="E345" t="s">
        <v>999</v>
      </c>
      <c r="F345">
        <v>69568</v>
      </c>
      <c r="G345" t="s">
        <v>1085</v>
      </c>
      <c r="H345" t="s">
        <v>1928</v>
      </c>
      <c r="I345" t="s">
        <v>1925</v>
      </c>
      <c r="J345" t="s">
        <v>1424</v>
      </c>
      <c r="K345" t="s">
        <v>1038</v>
      </c>
      <c r="L345" t="s">
        <v>1039</v>
      </c>
      <c r="M345" t="s">
        <v>1028</v>
      </c>
      <c r="N345" t="s">
        <v>1040</v>
      </c>
      <c r="O345" t="s">
        <v>992</v>
      </c>
      <c r="P345" t="s">
        <v>1042</v>
      </c>
      <c r="Q345" t="b">
        <v>1</v>
      </c>
      <c r="R345" t="b">
        <v>0</v>
      </c>
      <c r="S345" t="s">
        <v>1032</v>
      </c>
      <c r="T345" t="s">
        <v>992</v>
      </c>
      <c r="U345" t="s">
        <v>1139</v>
      </c>
      <c r="V345" t="s">
        <v>995</v>
      </c>
      <c r="W345" t="s">
        <v>1034</v>
      </c>
      <c r="X345" t="s">
        <v>1929</v>
      </c>
    </row>
    <row r="346" spans="1:24" x14ac:dyDescent="0.25">
      <c r="A346" t="s">
        <v>42</v>
      </c>
      <c r="B346" t="s">
        <v>1930</v>
      </c>
      <c r="C346" t="s">
        <v>351</v>
      </c>
      <c r="D346" t="s">
        <v>992</v>
      </c>
      <c r="E346" t="s">
        <v>1001</v>
      </c>
      <c r="F346">
        <v>70667</v>
      </c>
      <c r="G346" t="s">
        <v>1085</v>
      </c>
      <c r="H346" t="s">
        <v>1931</v>
      </c>
      <c r="I346" t="s">
        <v>1925</v>
      </c>
      <c r="J346" t="s">
        <v>1424</v>
      </c>
      <c r="K346" t="s">
        <v>1045</v>
      </c>
      <c r="L346" t="s">
        <v>1046</v>
      </c>
      <c r="M346" t="s">
        <v>1028</v>
      </c>
      <c r="N346" t="s">
        <v>1047</v>
      </c>
      <c r="O346" t="s">
        <v>992</v>
      </c>
      <c r="P346" t="s">
        <v>1049</v>
      </c>
      <c r="Q346" t="b">
        <v>1</v>
      </c>
      <c r="R346" t="b">
        <v>0</v>
      </c>
      <c r="S346" t="s">
        <v>1032</v>
      </c>
      <c r="T346" t="s">
        <v>992</v>
      </c>
      <c r="U346" t="s">
        <v>1139</v>
      </c>
      <c r="V346" t="s">
        <v>995</v>
      </c>
      <c r="W346" t="s">
        <v>1034</v>
      </c>
      <c r="X346" t="s">
        <v>1932</v>
      </c>
    </row>
    <row r="347" spans="1:24" x14ac:dyDescent="0.25">
      <c r="A347" t="s">
        <v>42</v>
      </c>
      <c r="B347" t="s">
        <v>1933</v>
      </c>
      <c r="C347" t="s">
        <v>351</v>
      </c>
      <c r="D347" t="s">
        <v>992</v>
      </c>
      <c r="E347" t="s">
        <v>1003</v>
      </c>
      <c r="F347">
        <v>73812</v>
      </c>
      <c r="G347" t="s">
        <v>1085</v>
      </c>
      <c r="H347" t="s">
        <v>1934</v>
      </c>
      <c r="I347" t="s">
        <v>1925</v>
      </c>
      <c r="J347" t="s">
        <v>1424</v>
      </c>
      <c r="K347" t="s">
        <v>1087</v>
      </c>
      <c r="L347" t="s">
        <v>1088</v>
      </c>
      <c r="M347" t="s">
        <v>1056</v>
      </c>
      <c r="N347" t="s">
        <v>1089</v>
      </c>
      <c r="O347" t="s">
        <v>992</v>
      </c>
      <c r="P347" t="s">
        <v>1058</v>
      </c>
      <c r="Q347" t="b">
        <v>1</v>
      </c>
      <c r="R347" t="b">
        <v>0</v>
      </c>
      <c r="S347" t="s">
        <v>1032</v>
      </c>
      <c r="T347" t="s">
        <v>992</v>
      </c>
      <c r="U347" t="s">
        <v>1139</v>
      </c>
      <c r="V347" t="s">
        <v>995</v>
      </c>
      <c r="W347" t="s">
        <v>1034</v>
      </c>
      <c r="X347" t="s">
        <v>1935</v>
      </c>
    </row>
    <row r="348" spans="1:24" x14ac:dyDescent="0.25">
      <c r="A348" t="s">
        <v>42</v>
      </c>
      <c r="B348" t="s">
        <v>1936</v>
      </c>
      <c r="C348" t="s">
        <v>351</v>
      </c>
      <c r="D348" t="s">
        <v>992</v>
      </c>
      <c r="E348" t="s">
        <v>1005</v>
      </c>
      <c r="F348">
        <v>75236</v>
      </c>
      <c r="G348" t="s">
        <v>1085</v>
      </c>
      <c r="H348" t="s">
        <v>1937</v>
      </c>
      <c r="I348" t="s">
        <v>1925</v>
      </c>
      <c r="J348" t="s">
        <v>1424</v>
      </c>
      <c r="K348" t="s">
        <v>1065</v>
      </c>
      <c r="L348" t="s">
        <v>1066</v>
      </c>
      <c r="M348" t="s">
        <v>1028</v>
      </c>
      <c r="N348" t="s">
        <v>1067</v>
      </c>
      <c r="O348" t="s">
        <v>992</v>
      </c>
      <c r="P348" t="s">
        <v>1069</v>
      </c>
      <c r="Q348" t="b">
        <v>1</v>
      </c>
      <c r="R348" t="b">
        <v>0</v>
      </c>
      <c r="S348" t="s">
        <v>1032</v>
      </c>
      <c r="T348" t="s">
        <v>992</v>
      </c>
      <c r="U348" t="s">
        <v>1139</v>
      </c>
      <c r="V348" t="s">
        <v>995</v>
      </c>
      <c r="W348" t="s">
        <v>1034</v>
      </c>
      <c r="X348" t="s">
        <v>1938</v>
      </c>
    </row>
    <row r="349" spans="1:24" x14ac:dyDescent="0.25">
      <c r="A349" t="s">
        <v>42</v>
      </c>
      <c r="B349" t="s">
        <v>1939</v>
      </c>
      <c r="C349" t="s">
        <v>351</v>
      </c>
      <c r="D349" t="s">
        <v>992</v>
      </c>
      <c r="E349" t="s">
        <v>1007</v>
      </c>
      <c r="F349">
        <v>78815</v>
      </c>
      <c r="G349" t="s">
        <v>1085</v>
      </c>
      <c r="H349" t="s">
        <v>1940</v>
      </c>
      <c r="I349" t="s">
        <v>1925</v>
      </c>
      <c r="J349" t="s">
        <v>1424</v>
      </c>
      <c r="K349" t="s">
        <v>1072</v>
      </c>
      <c r="L349" t="s">
        <v>1073</v>
      </c>
      <c r="M349" t="s">
        <v>1028</v>
      </c>
      <c r="N349" t="s">
        <v>1074</v>
      </c>
      <c r="O349" t="s">
        <v>992</v>
      </c>
      <c r="P349" t="s">
        <v>1076</v>
      </c>
      <c r="Q349" t="b">
        <v>1</v>
      </c>
      <c r="R349" t="b">
        <v>0</v>
      </c>
      <c r="S349" t="s">
        <v>1032</v>
      </c>
      <c r="T349" t="s">
        <v>992</v>
      </c>
      <c r="U349" t="s">
        <v>1139</v>
      </c>
      <c r="V349" t="s">
        <v>995</v>
      </c>
      <c r="W349" t="s">
        <v>1034</v>
      </c>
      <c r="X349" t="s">
        <v>1941</v>
      </c>
    </row>
    <row r="350" spans="1:24" x14ac:dyDescent="0.25">
      <c r="A350" t="s">
        <v>42</v>
      </c>
      <c r="B350" t="s">
        <v>1942</v>
      </c>
      <c r="C350" t="s">
        <v>351</v>
      </c>
      <c r="D350" t="s">
        <v>992</v>
      </c>
      <c r="E350" t="s">
        <v>1009</v>
      </c>
      <c r="F350">
        <v>79850</v>
      </c>
      <c r="G350" t="s">
        <v>1085</v>
      </c>
      <c r="H350" t="s">
        <v>1943</v>
      </c>
      <c r="I350" t="s">
        <v>1925</v>
      </c>
      <c r="J350" t="s">
        <v>1424</v>
      </c>
      <c r="K350" t="s">
        <v>1079</v>
      </c>
      <c r="L350" t="s">
        <v>1080</v>
      </c>
      <c r="M350" t="s">
        <v>1028</v>
      </c>
      <c r="N350" t="s">
        <v>1081</v>
      </c>
      <c r="O350" t="s">
        <v>992</v>
      </c>
      <c r="P350" t="s">
        <v>1083</v>
      </c>
      <c r="Q350" t="b">
        <v>1</v>
      </c>
      <c r="R350" t="b">
        <v>0</v>
      </c>
      <c r="S350" t="s">
        <v>1032</v>
      </c>
      <c r="T350" t="s">
        <v>992</v>
      </c>
      <c r="U350" t="s">
        <v>1139</v>
      </c>
      <c r="V350" t="s">
        <v>995</v>
      </c>
      <c r="W350" t="s">
        <v>1034</v>
      </c>
      <c r="X350" t="s">
        <v>1944</v>
      </c>
    </row>
    <row r="351" spans="1:24" x14ac:dyDescent="0.25">
      <c r="A351" t="s">
        <v>42</v>
      </c>
      <c r="B351" t="s">
        <v>1945</v>
      </c>
      <c r="C351" t="s">
        <v>351</v>
      </c>
      <c r="D351" t="s">
        <v>992</v>
      </c>
      <c r="E351" t="s">
        <v>1011</v>
      </c>
      <c r="F351">
        <v>83276</v>
      </c>
      <c r="G351" t="s">
        <v>1085</v>
      </c>
      <c r="H351" t="s">
        <v>1946</v>
      </c>
      <c r="I351" t="s">
        <v>1925</v>
      </c>
      <c r="J351" t="s">
        <v>1424</v>
      </c>
      <c r="K351" t="s">
        <v>1116</v>
      </c>
      <c r="L351" t="s">
        <v>1117</v>
      </c>
      <c r="M351" t="s">
        <v>1056</v>
      </c>
      <c r="N351" t="s">
        <v>1118</v>
      </c>
      <c r="O351" t="s">
        <v>992</v>
      </c>
      <c r="P351" t="s">
        <v>1090</v>
      </c>
      <c r="Q351" t="b">
        <v>1</v>
      </c>
      <c r="R351" t="b">
        <v>0</v>
      </c>
      <c r="S351" t="s">
        <v>1032</v>
      </c>
      <c r="T351" t="s">
        <v>992</v>
      </c>
      <c r="U351" t="s">
        <v>1139</v>
      </c>
      <c r="V351" t="s">
        <v>995</v>
      </c>
      <c r="W351" t="s">
        <v>1034</v>
      </c>
      <c r="X351" t="s">
        <v>1947</v>
      </c>
    </row>
    <row r="352" spans="1:24" x14ac:dyDescent="0.25">
      <c r="A352" t="s">
        <v>42</v>
      </c>
      <c r="B352" t="s">
        <v>1948</v>
      </c>
      <c r="C352" t="s">
        <v>351</v>
      </c>
      <c r="D352" t="s">
        <v>992</v>
      </c>
      <c r="E352" t="s">
        <v>1013</v>
      </c>
      <c r="F352">
        <v>84768</v>
      </c>
      <c r="G352" t="s">
        <v>1085</v>
      </c>
      <c r="H352" t="s">
        <v>1949</v>
      </c>
      <c r="I352" t="s">
        <v>1925</v>
      </c>
      <c r="J352" t="s">
        <v>1424</v>
      </c>
      <c r="K352" t="s">
        <v>1094</v>
      </c>
      <c r="L352" t="s">
        <v>1095</v>
      </c>
      <c r="M352" t="s">
        <v>1028</v>
      </c>
      <c r="N352" t="s">
        <v>1096</v>
      </c>
      <c r="O352" t="s">
        <v>992</v>
      </c>
      <c r="P352" t="s">
        <v>1098</v>
      </c>
      <c r="Q352" t="b">
        <v>1</v>
      </c>
      <c r="R352" t="b">
        <v>0</v>
      </c>
      <c r="S352" t="s">
        <v>1032</v>
      </c>
      <c r="T352" t="s">
        <v>992</v>
      </c>
      <c r="U352" t="s">
        <v>1139</v>
      </c>
      <c r="V352" t="s">
        <v>995</v>
      </c>
      <c r="W352" t="s">
        <v>1034</v>
      </c>
      <c r="X352" t="s">
        <v>1950</v>
      </c>
    </row>
    <row r="353" spans="1:24" x14ac:dyDescent="0.25">
      <c r="A353" t="s">
        <v>42</v>
      </c>
      <c r="B353" t="s">
        <v>1951</v>
      </c>
      <c r="C353" t="s">
        <v>351</v>
      </c>
      <c r="D353" t="s">
        <v>992</v>
      </c>
      <c r="E353" t="s">
        <v>1015</v>
      </c>
      <c r="F353">
        <v>88711</v>
      </c>
      <c r="G353" t="s">
        <v>1085</v>
      </c>
      <c r="H353" t="s">
        <v>1952</v>
      </c>
      <c r="I353" t="s">
        <v>1925</v>
      </c>
      <c r="J353" t="s">
        <v>1424</v>
      </c>
      <c r="K353" t="s">
        <v>1102</v>
      </c>
      <c r="L353" t="s">
        <v>1103</v>
      </c>
      <c r="M353" t="s">
        <v>1028</v>
      </c>
      <c r="N353" t="s">
        <v>1104</v>
      </c>
      <c r="O353" t="s">
        <v>992</v>
      </c>
      <c r="P353" t="s">
        <v>1106</v>
      </c>
      <c r="Q353" t="b">
        <v>1</v>
      </c>
      <c r="R353" t="b">
        <v>0</v>
      </c>
      <c r="S353" t="s">
        <v>1032</v>
      </c>
      <c r="T353" t="s">
        <v>992</v>
      </c>
      <c r="U353" t="s">
        <v>1139</v>
      </c>
      <c r="V353" t="s">
        <v>995</v>
      </c>
      <c r="W353" t="s">
        <v>1034</v>
      </c>
      <c r="X353" t="s">
        <v>1953</v>
      </c>
    </row>
    <row r="354" spans="1:24" x14ac:dyDescent="0.25">
      <c r="A354" t="s">
        <v>42</v>
      </c>
      <c r="B354" t="s">
        <v>1954</v>
      </c>
      <c r="C354" t="s">
        <v>351</v>
      </c>
      <c r="D354" t="s">
        <v>992</v>
      </c>
      <c r="E354" t="s">
        <v>1017</v>
      </c>
      <c r="F354">
        <v>89806</v>
      </c>
      <c r="G354" t="s">
        <v>1085</v>
      </c>
      <c r="H354" t="s">
        <v>1955</v>
      </c>
      <c r="I354" t="s">
        <v>1925</v>
      </c>
      <c r="J354" t="s">
        <v>1424</v>
      </c>
      <c r="K354" t="s">
        <v>1109</v>
      </c>
      <c r="L354" t="s">
        <v>1110</v>
      </c>
      <c r="M354" t="s">
        <v>1028</v>
      </c>
      <c r="N354" t="s">
        <v>1111</v>
      </c>
      <c r="O354" t="s">
        <v>992</v>
      </c>
      <c r="P354" t="s">
        <v>1113</v>
      </c>
      <c r="Q354" t="b">
        <v>1</v>
      </c>
      <c r="R354" t="b">
        <v>0</v>
      </c>
      <c r="S354" t="s">
        <v>1032</v>
      </c>
      <c r="T354" t="s">
        <v>992</v>
      </c>
      <c r="U354" t="s">
        <v>1139</v>
      </c>
      <c r="V354" t="s">
        <v>995</v>
      </c>
      <c r="W354" t="s">
        <v>1034</v>
      </c>
      <c r="X354" t="s">
        <v>1956</v>
      </c>
    </row>
    <row r="355" spans="1:24" x14ac:dyDescent="0.25">
      <c r="A355" t="s">
        <v>42</v>
      </c>
      <c r="B355" t="s">
        <v>1957</v>
      </c>
      <c r="C355" t="s">
        <v>351</v>
      </c>
      <c r="D355" t="s">
        <v>992</v>
      </c>
      <c r="E355" t="s">
        <v>1019</v>
      </c>
      <c r="F355">
        <v>93568</v>
      </c>
      <c r="G355" t="s">
        <v>1085</v>
      </c>
      <c r="H355" t="s">
        <v>1958</v>
      </c>
      <c r="I355" t="s">
        <v>1925</v>
      </c>
      <c r="J355" t="s">
        <v>1424</v>
      </c>
      <c r="K355" t="s">
        <v>1131</v>
      </c>
      <c r="L355" t="s">
        <v>1132</v>
      </c>
      <c r="M355" t="s">
        <v>1028</v>
      </c>
      <c r="N355" t="s">
        <v>1133</v>
      </c>
      <c r="O355" t="s">
        <v>992</v>
      </c>
      <c r="P355" t="s">
        <v>1119</v>
      </c>
      <c r="Q355" t="b">
        <v>1</v>
      </c>
      <c r="R355" t="b">
        <v>0</v>
      </c>
      <c r="S355" t="s">
        <v>1032</v>
      </c>
      <c r="T355" t="s">
        <v>992</v>
      </c>
      <c r="U355" t="s">
        <v>1139</v>
      </c>
      <c r="V355" t="s">
        <v>995</v>
      </c>
      <c r="W355" t="s">
        <v>1034</v>
      </c>
      <c r="X355" t="s">
        <v>1959</v>
      </c>
    </row>
    <row r="356" spans="1:24" x14ac:dyDescent="0.25">
      <c r="A356" t="s">
        <v>42</v>
      </c>
      <c r="B356" t="s">
        <v>1960</v>
      </c>
      <c r="C356" t="s">
        <v>351</v>
      </c>
      <c r="D356" t="s">
        <v>992</v>
      </c>
      <c r="E356" t="s">
        <v>1021</v>
      </c>
      <c r="F356">
        <v>95221</v>
      </c>
      <c r="G356" t="s">
        <v>1085</v>
      </c>
      <c r="H356" t="s">
        <v>1961</v>
      </c>
      <c r="I356" t="s">
        <v>1925</v>
      </c>
      <c r="J356" t="s">
        <v>1424</v>
      </c>
      <c r="K356" t="s">
        <v>1123</v>
      </c>
      <c r="L356" t="s">
        <v>1124</v>
      </c>
      <c r="M356" t="s">
        <v>1028</v>
      </c>
      <c r="N356" t="s">
        <v>1125</v>
      </c>
      <c r="O356" t="s">
        <v>992</v>
      </c>
      <c r="P356" t="s">
        <v>1127</v>
      </c>
      <c r="Q356" t="b">
        <v>1</v>
      </c>
      <c r="R356" t="b">
        <v>0</v>
      </c>
      <c r="S356" t="s">
        <v>1032</v>
      </c>
      <c r="T356" t="s">
        <v>992</v>
      </c>
      <c r="U356" t="s">
        <v>1139</v>
      </c>
      <c r="V356" t="s">
        <v>995</v>
      </c>
      <c r="W356" t="s">
        <v>1034</v>
      </c>
      <c r="X356" t="s">
        <v>1962</v>
      </c>
    </row>
    <row r="357" spans="1:24" x14ac:dyDescent="0.25">
      <c r="A357" t="s">
        <v>42</v>
      </c>
      <c r="B357" t="s">
        <v>1963</v>
      </c>
      <c r="C357" t="s">
        <v>351</v>
      </c>
      <c r="D357" t="s">
        <v>992</v>
      </c>
      <c r="E357" t="s">
        <v>1129</v>
      </c>
      <c r="F357">
        <v>99507</v>
      </c>
      <c r="G357" t="s">
        <v>1085</v>
      </c>
      <c r="H357" t="s">
        <v>1964</v>
      </c>
      <c r="I357" t="s">
        <v>1925</v>
      </c>
      <c r="J357" t="s">
        <v>1424</v>
      </c>
      <c r="K357" t="s">
        <v>1131</v>
      </c>
      <c r="L357" t="s">
        <v>1132</v>
      </c>
      <c r="M357" t="s">
        <v>1028</v>
      </c>
      <c r="N357" t="s">
        <v>1133</v>
      </c>
      <c r="O357" t="s">
        <v>992</v>
      </c>
      <c r="P357" t="s">
        <v>1135</v>
      </c>
      <c r="Q357" t="b">
        <v>1</v>
      </c>
      <c r="R357" t="b">
        <v>0</v>
      </c>
      <c r="S357" t="s">
        <v>1032</v>
      </c>
      <c r="T357" t="s">
        <v>992</v>
      </c>
      <c r="U357" t="s">
        <v>1139</v>
      </c>
      <c r="V357" t="s">
        <v>995</v>
      </c>
      <c r="W357" t="s">
        <v>1034</v>
      </c>
      <c r="X357" t="s">
        <v>1965</v>
      </c>
    </row>
    <row r="358" spans="1:24" x14ac:dyDescent="0.25">
      <c r="A358" t="s">
        <v>42</v>
      </c>
      <c r="B358" t="s">
        <v>1966</v>
      </c>
      <c r="C358" t="s">
        <v>352</v>
      </c>
      <c r="D358" t="s">
        <v>992</v>
      </c>
      <c r="E358" t="s">
        <v>990</v>
      </c>
      <c r="F358">
        <v>3240</v>
      </c>
      <c r="G358" t="s">
        <v>1023</v>
      </c>
      <c r="H358" t="s">
        <v>1967</v>
      </c>
      <c r="I358" t="s">
        <v>1968</v>
      </c>
      <c r="J358" t="s">
        <v>1424</v>
      </c>
      <c r="K358" t="s">
        <v>1026</v>
      </c>
      <c r="L358" t="s">
        <v>1027</v>
      </c>
      <c r="M358" t="s">
        <v>1028</v>
      </c>
      <c r="N358" t="s">
        <v>1029</v>
      </c>
      <c r="O358" t="s">
        <v>992</v>
      </c>
      <c r="P358" t="s">
        <v>1031</v>
      </c>
      <c r="Q358" t="b">
        <v>1</v>
      </c>
      <c r="R358" t="b">
        <v>0</v>
      </c>
      <c r="S358" t="s">
        <v>1032</v>
      </c>
      <c r="T358" t="s">
        <v>992</v>
      </c>
      <c r="U358" t="s">
        <v>1139</v>
      </c>
      <c r="V358" t="s">
        <v>995</v>
      </c>
      <c r="W358" t="s">
        <v>1034</v>
      </c>
      <c r="X358" t="s">
        <v>992</v>
      </c>
    </row>
    <row r="359" spans="1:24" x14ac:dyDescent="0.25">
      <c r="A359" t="s">
        <v>42</v>
      </c>
      <c r="B359" t="s">
        <v>1969</v>
      </c>
      <c r="C359" t="s">
        <v>352</v>
      </c>
      <c r="D359" t="s">
        <v>992</v>
      </c>
      <c r="E359" t="s">
        <v>999</v>
      </c>
      <c r="F359">
        <v>4336</v>
      </c>
      <c r="G359" t="s">
        <v>1023</v>
      </c>
      <c r="H359" t="s">
        <v>1970</v>
      </c>
      <c r="I359" t="s">
        <v>1968</v>
      </c>
      <c r="J359" t="s">
        <v>1424</v>
      </c>
      <c r="K359" t="s">
        <v>1038</v>
      </c>
      <c r="L359" t="s">
        <v>1039</v>
      </c>
      <c r="M359" t="s">
        <v>1028</v>
      </c>
      <c r="N359" t="s">
        <v>1040</v>
      </c>
      <c r="O359" t="s">
        <v>992</v>
      </c>
      <c r="P359" t="s">
        <v>1042</v>
      </c>
      <c r="Q359" t="b">
        <v>1</v>
      </c>
      <c r="R359" t="b">
        <v>0</v>
      </c>
      <c r="S359" t="s">
        <v>1032</v>
      </c>
      <c r="T359" t="s">
        <v>992</v>
      </c>
      <c r="U359" t="s">
        <v>1139</v>
      </c>
      <c r="V359" t="s">
        <v>995</v>
      </c>
      <c r="W359" t="s">
        <v>1034</v>
      </c>
      <c r="X359" t="s">
        <v>992</v>
      </c>
    </row>
    <row r="360" spans="1:24" x14ac:dyDescent="0.25">
      <c r="A360" t="s">
        <v>42</v>
      </c>
      <c r="B360" t="s">
        <v>1971</v>
      </c>
      <c r="C360" t="s">
        <v>352</v>
      </c>
      <c r="D360" t="s">
        <v>992</v>
      </c>
      <c r="E360" t="s">
        <v>1001</v>
      </c>
      <c r="F360">
        <v>1408</v>
      </c>
      <c r="G360" t="s">
        <v>1023</v>
      </c>
      <c r="H360" t="s">
        <v>1972</v>
      </c>
      <c r="I360" t="s">
        <v>1968</v>
      </c>
      <c r="J360" t="s">
        <v>1424</v>
      </c>
      <c r="K360" t="s">
        <v>1045</v>
      </c>
      <c r="L360" t="s">
        <v>1046</v>
      </c>
      <c r="M360" t="s">
        <v>1028</v>
      </c>
      <c r="N360" t="s">
        <v>1047</v>
      </c>
      <c r="O360" t="s">
        <v>992</v>
      </c>
      <c r="P360" t="s">
        <v>1049</v>
      </c>
      <c r="Q360" t="b">
        <v>1</v>
      </c>
      <c r="R360" t="b">
        <v>0</v>
      </c>
      <c r="S360" t="s">
        <v>1032</v>
      </c>
      <c r="T360" t="s">
        <v>992</v>
      </c>
      <c r="U360" t="s">
        <v>1139</v>
      </c>
      <c r="V360" t="s">
        <v>995</v>
      </c>
      <c r="W360" t="s">
        <v>1034</v>
      </c>
      <c r="X360" t="s">
        <v>992</v>
      </c>
    </row>
    <row r="361" spans="1:24" x14ac:dyDescent="0.25">
      <c r="A361" t="s">
        <v>42</v>
      </c>
      <c r="B361" t="s">
        <v>1973</v>
      </c>
      <c r="C361" t="s">
        <v>352</v>
      </c>
      <c r="D361" t="s">
        <v>992</v>
      </c>
      <c r="E361" t="s">
        <v>1003</v>
      </c>
      <c r="F361">
        <v>-214</v>
      </c>
      <c r="G361" t="s">
        <v>1023</v>
      </c>
      <c r="H361" t="s">
        <v>1974</v>
      </c>
      <c r="I361" t="s">
        <v>1968</v>
      </c>
      <c r="J361" t="s">
        <v>1424</v>
      </c>
      <c r="K361" t="s">
        <v>1087</v>
      </c>
      <c r="L361" t="s">
        <v>1088</v>
      </c>
      <c r="M361" t="s">
        <v>1056</v>
      </c>
      <c r="N361" t="s">
        <v>1089</v>
      </c>
      <c r="O361" t="s">
        <v>992</v>
      </c>
      <c r="P361" t="s">
        <v>1058</v>
      </c>
      <c r="Q361" t="b">
        <v>1</v>
      </c>
      <c r="R361" t="b">
        <v>0</v>
      </c>
      <c r="S361" t="s">
        <v>1032</v>
      </c>
      <c r="T361" t="s">
        <v>992</v>
      </c>
      <c r="U361" t="s">
        <v>1139</v>
      </c>
      <c r="V361" t="s">
        <v>995</v>
      </c>
      <c r="W361" t="s">
        <v>1034</v>
      </c>
      <c r="X361" t="s">
        <v>992</v>
      </c>
    </row>
    <row r="362" spans="1:24" x14ac:dyDescent="0.25">
      <c r="A362" t="s">
        <v>42</v>
      </c>
      <c r="B362" t="s">
        <v>1975</v>
      </c>
      <c r="C362" t="s">
        <v>352</v>
      </c>
      <c r="D362" t="s">
        <v>992</v>
      </c>
      <c r="E362" t="s">
        <v>1005</v>
      </c>
      <c r="F362">
        <v>8242</v>
      </c>
      <c r="G362" t="s">
        <v>1023</v>
      </c>
      <c r="H362" t="s">
        <v>1976</v>
      </c>
      <c r="I362" t="s">
        <v>1968</v>
      </c>
      <c r="J362" t="s">
        <v>1424</v>
      </c>
      <c r="K362" t="s">
        <v>1065</v>
      </c>
      <c r="L362" t="s">
        <v>1066</v>
      </c>
      <c r="M362" t="s">
        <v>1028</v>
      </c>
      <c r="N362" t="s">
        <v>1067</v>
      </c>
      <c r="O362" t="s">
        <v>992</v>
      </c>
      <c r="P362" t="s">
        <v>1069</v>
      </c>
      <c r="Q362" t="b">
        <v>1</v>
      </c>
      <c r="R362" t="b">
        <v>0</v>
      </c>
      <c r="S362" t="s">
        <v>1032</v>
      </c>
      <c r="T362" t="s">
        <v>992</v>
      </c>
      <c r="U362" t="s">
        <v>1139</v>
      </c>
      <c r="V362" t="s">
        <v>995</v>
      </c>
      <c r="W362" t="s">
        <v>1034</v>
      </c>
      <c r="X362" t="s">
        <v>992</v>
      </c>
    </row>
    <row r="363" spans="1:24" x14ac:dyDescent="0.25">
      <c r="A363" t="s">
        <v>42</v>
      </c>
      <c r="B363" t="s">
        <v>1977</v>
      </c>
      <c r="C363" t="s">
        <v>352</v>
      </c>
      <c r="D363" t="s">
        <v>992</v>
      </c>
      <c r="E363" t="s">
        <v>1007</v>
      </c>
      <c r="F363">
        <v>4339</v>
      </c>
      <c r="G363" t="s">
        <v>1023</v>
      </c>
      <c r="H363" t="s">
        <v>1978</v>
      </c>
      <c r="I363" t="s">
        <v>1968</v>
      </c>
      <c r="J363" t="s">
        <v>1424</v>
      </c>
      <c r="K363" t="s">
        <v>1072</v>
      </c>
      <c r="L363" t="s">
        <v>1073</v>
      </c>
      <c r="M363" t="s">
        <v>1028</v>
      </c>
      <c r="N363" t="s">
        <v>1074</v>
      </c>
      <c r="O363" t="s">
        <v>992</v>
      </c>
      <c r="P363" t="s">
        <v>1076</v>
      </c>
      <c r="Q363" t="b">
        <v>1</v>
      </c>
      <c r="R363" t="b">
        <v>0</v>
      </c>
      <c r="S363" t="s">
        <v>1032</v>
      </c>
      <c r="T363" t="s">
        <v>992</v>
      </c>
      <c r="U363" t="s">
        <v>1139</v>
      </c>
      <c r="V363" t="s">
        <v>995</v>
      </c>
      <c r="W363" t="s">
        <v>1034</v>
      </c>
      <c r="X363" t="s">
        <v>992</v>
      </c>
    </row>
    <row r="364" spans="1:24" x14ac:dyDescent="0.25">
      <c r="A364" t="s">
        <v>42</v>
      </c>
      <c r="B364" t="s">
        <v>1979</v>
      </c>
      <c r="C364" t="s">
        <v>352</v>
      </c>
      <c r="D364" t="s">
        <v>992</v>
      </c>
      <c r="E364" t="s">
        <v>1009</v>
      </c>
      <c r="F364">
        <v>-4726</v>
      </c>
      <c r="G364" t="s">
        <v>1023</v>
      </c>
      <c r="H364" t="s">
        <v>1980</v>
      </c>
      <c r="I364" t="s">
        <v>1968</v>
      </c>
      <c r="J364" t="s">
        <v>1424</v>
      </c>
      <c r="K364" t="s">
        <v>1079</v>
      </c>
      <c r="L364" t="s">
        <v>1080</v>
      </c>
      <c r="M364" t="s">
        <v>1028</v>
      </c>
      <c r="N364" t="s">
        <v>1081</v>
      </c>
      <c r="O364" t="s">
        <v>992</v>
      </c>
      <c r="P364" t="s">
        <v>1083</v>
      </c>
      <c r="Q364" t="b">
        <v>1</v>
      </c>
      <c r="R364" t="b">
        <v>0</v>
      </c>
      <c r="S364" t="s">
        <v>1032</v>
      </c>
      <c r="T364" t="s">
        <v>992</v>
      </c>
      <c r="U364" t="s">
        <v>1139</v>
      </c>
      <c r="V364" t="s">
        <v>995</v>
      </c>
      <c r="W364" t="s">
        <v>1034</v>
      </c>
      <c r="X364" t="s">
        <v>992</v>
      </c>
    </row>
    <row r="365" spans="1:24" x14ac:dyDescent="0.25">
      <c r="A365" t="s">
        <v>42</v>
      </c>
      <c r="B365" t="s">
        <v>1981</v>
      </c>
      <c r="C365" t="s">
        <v>352</v>
      </c>
      <c r="D365" t="s">
        <v>992</v>
      </c>
      <c r="E365" t="s">
        <v>1011</v>
      </c>
      <c r="F365">
        <v>-19154</v>
      </c>
      <c r="G365" t="s">
        <v>1023</v>
      </c>
      <c r="H365" t="s">
        <v>1982</v>
      </c>
      <c r="I365" t="s">
        <v>1968</v>
      </c>
      <c r="J365" t="s">
        <v>1424</v>
      </c>
      <c r="K365" t="s">
        <v>1116</v>
      </c>
      <c r="L365" t="s">
        <v>1117</v>
      </c>
      <c r="M365" t="s">
        <v>1056</v>
      </c>
      <c r="N365" t="s">
        <v>1118</v>
      </c>
      <c r="O365" t="s">
        <v>992</v>
      </c>
      <c r="P365" t="s">
        <v>1090</v>
      </c>
      <c r="Q365" t="b">
        <v>1</v>
      </c>
      <c r="R365" t="b">
        <v>0</v>
      </c>
      <c r="S365" t="s">
        <v>1032</v>
      </c>
      <c r="T365" t="s">
        <v>992</v>
      </c>
      <c r="U365" t="s">
        <v>1139</v>
      </c>
      <c r="V365" t="s">
        <v>995</v>
      </c>
      <c r="W365" t="s">
        <v>1034</v>
      </c>
      <c r="X365" t="s">
        <v>992</v>
      </c>
    </row>
    <row r="366" spans="1:24" x14ac:dyDescent="0.25">
      <c r="A366" t="s">
        <v>42</v>
      </c>
      <c r="B366" t="s">
        <v>1983</v>
      </c>
      <c r="C366" t="s">
        <v>352</v>
      </c>
      <c r="D366" t="s">
        <v>992</v>
      </c>
      <c r="E366" t="s">
        <v>1013</v>
      </c>
      <c r="F366">
        <v>-11221</v>
      </c>
      <c r="G366" t="s">
        <v>1023</v>
      </c>
      <c r="H366" t="s">
        <v>1984</v>
      </c>
      <c r="I366" t="s">
        <v>1968</v>
      </c>
      <c r="J366" t="s">
        <v>1424</v>
      </c>
      <c r="K366" t="s">
        <v>1094</v>
      </c>
      <c r="L366" t="s">
        <v>1095</v>
      </c>
      <c r="M366" t="s">
        <v>1028</v>
      </c>
      <c r="N366" t="s">
        <v>1096</v>
      </c>
      <c r="O366" t="s">
        <v>992</v>
      </c>
      <c r="P366" t="s">
        <v>1098</v>
      </c>
      <c r="Q366" t="b">
        <v>1</v>
      </c>
      <c r="R366" t="b">
        <v>0</v>
      </c>
      <c r="S366" t="s">
        <v>1032</v>
      </c>
      <c r="T366" t="s">
        <v>992</v>
      </c>
      <c r="U366" t="s">
        <v>1139</v>
      </c>
      <c r="V366" t="s">
        <v>995</v>
      </c>
      <c r="W366" t="s">
        <v>1034</v>
      </c>
      <c r="X366" t="s">
        <v>992</v>
      </c>
    </row>
    <row r="367" spans="1:24" x14ac:dyDescent="0.25">
      <c r="A367" t="s">
        <v>42</v>
      </c>
      <c r="B367" t="s">
        <v>1985</v>
      </c>
      <c r="C367" t="s">
        <v>352</v>
      </c>
      <c r="D367" t="s">
        <v>992</v>
      </c>
      <c r="E367" t="s">
        <v>1015</v>
      </c>
      <c r="F367">
        <v>-15552</v>
      </c>
      <c r="G367" t="s">
        <v>1023</v>
      </c>
      <c r="H367" t="s">
        <v>1986</v>
      </c>
      <c r="I367" t="s">
        <v>1968</v>
      </c>
      <c r="J367" t="s">
        <v>1424</v>
      </c>
      <c r="K367" t="s">
        <v>1102</v>
      </c>
      <c r="L367" t="s">
        <v>1103</v>
      </c>
      <c r="M367" t="s">
        <v>1028</v>
      </c>
      <c r="N367" t="s">
        <v>1104</v>
      </c>
      <c r="O367" t="s">
        <v>992</v>
      </c>
      <c r="P367" t="s">
        <v>1106</v>
      </c>
      <c r="Q367" t="b">
        <v>1</v>
      </c>
      <c r="R367" t="b">
        <v>0</v>
      </c>
      <c r="S367" t="s">
        <v>1032</v>
      </c>
      <c r="T367" t="s">
        <v>992</v>
      </c>
      <c r="U367" t="s">
        <v>1139</v>
      </c>
      <c r="V367" t="s">
        <v>995</v>
      </c>
      <c r="W367" t="s">
        <v>1034</v>
      </c>
      <c r="X367" t="s">
        <v>992</v>
      </c>
    </row>
    <row r="368" spans="1:24" x14ac:dyDescent="0.25">
      <c r="A368" t="s">
        <v>42</v>
      </c>
      <c r="B368" t="s">
        <v>1987</v>
      </c>
      <c r="C368" t="s">
        <v>352</v>
      </c>
      <c r="D368" t="s">
        <v>992</v>
      </c>
      <c r="E368" t="s">
        <v>1017</v>
      </c>
      <c r="F368">
        <v>-17607</v>
      </c>
      <c r="G368" t="s">
        <v>1023</v>
      </c>
      <c r="H368" t="s">
        <v>1988</v>
      </c>
      <c r="I368" t="s">
        <v>1968</v>
      </c>
      <c r="J368" t="s">
        <v>1424</v>
      </c>
      <c r="K368" t="s">
        <v>1109</v>
      </c>
      <c r="L368" t="s">
        <v>1110</v>
      </c>
      <c r="M368" t="s">
        <v>1028</v>
      </c>
      <c r="N368" t="s">
        <v>1111</v>
      </c>
      <c r="O368" t="s">
        <v>992</v>
      </c>
      <c r="P368" t="s">
        <v>1113</v>
      </c>
      <c r="Q368" t="b">
        <v>1</v>
      </c>
      <c r="R368" t="b">
        <v>0</v>
      </c>
      <c r="S368" t="s">
        <v>1032</v>
      </c>
      <c r="T368" t="s">
        <v>992</v>
      </c>
      <c r="U368" t="s">
        <v>1139</v>
      </c>
      <c r="V368" t="s">
        <v>995</v>
      </c>
      <c r="W368" t="s">
        <v>1034</v>
      </c>
      <c r="X368" t="s">
        <v>992</v>
      </c>
    </row>
    <row r="369" spans="1:24" x14ac:dyDescent="0.25">
      <c r="A369" t="s">
        <v>42</v>
      </c>
      <c r="B369" t="s">
        <v>1989</v>
      </c>
      <c r="C369" t="s">
        <v>352</v>
      </c>
      <c r="D369" t="s">
        <v>992</v>
      </c>
      <c r="E369" t="s">
        <v>1019</v>
      </c>
      <c r="F369">
        <v>-14264</v>
      </c>
      <c r="G369" t="s">
        <v>1023</v>
      </c>
      <c r="H369" t="s">
        <v>1990</v>
      </c>
      <c r="I369" t="s">
        <v>1968</v>
      </c>
      <c r="J369" t="s">
        <v>1424</v>
      </c>
      <c r="K369" t="s">
        <v>1131</v>
      </c>
      <c r="L369" t="s">
        <v>1132</v>
      </c>
      <c r="M369" t="s">
        <v>1028</v>
      </c>
      <c r="N369" t="s">
        <v>1133</v>
      </c>
      <c r="O369" t="s">
        <v>992</v>
      </c>
      <c r="P369" t="s">
        <v>1119</v>
      </c>
      <c r="Q369" t="b">
        <v>1</v>
      </c>
      <c r="R369" t="b">
        <v>0</v>
      </c>
      <c r="S369" t="s">
        <v>1032</v>
      </c>
      <c r="T369" t="s">
        <v>992</v>
      </c>
      <c r="U369" t="s">
        <v>1139</v>
      </c>
      <c r="V369" t="s">
        <v>995</v>
      </c>
      <c r="W369" t="s">
        <v>1034</v>
      </c>
      <c r="X369" t="s">
        <v>992</v>
      </c>
    </row>
    <row r="370" spans="1:24" x14ac:dyDescent="0.25">
      <c r="A370" t="s">
        <v>42</v>
      </c>
      <c r="B370" t="s">
        <v>1991</v>
      </c>
      <c r="C370" t="s">
        <v>352</v>
      </c>
      <c r="D370" t="s">
        <v>992</v>
      </c>
      <c r="E370" t="s">
        <v>1021</v>
      </c>
      <c r="F370">
        <v>-2177</v>
      </c>
      <c r="G370" t="s">
        <v>1023</v>
      </c>
      <c r="H370" t="s">
        <v>1992</v>
      </c>
      <c r="I370" t="s">
        <v>1968</v>
      </c>
      <c r="J370" t="s">
        <v>1424</v>
      </c>
      <c r="K370" t="s">
        <v>1123</v>
      </c>
      <c r="L370" t="s">
        <v>1124</v>
      </c>
      <c r="M370" t="s">
        <v>1028</v>
      </c>
      <c r="N370" t="s">
        <v>1125</v>
      </c>
      <c r="O370" t="s">
        <v>992</v>
      </c>
      <c r="P370" t="s">
        <v>1127</v>
      </c>
      <c r="Q370" t="b">
        <v>1</v>
      </c>
      <c r="R370" t="b">
        <v>0</v>
      </c>
      <c r="S370" t="s">
        <v>1032</v>
      </c>
      <c r="T370" t="s">
        <v>992</v>
      </c>
      <c r="U370" t="s">
        <v>1139</v>
      </c>
      <c r="V370" t="s">
        <v>995</v>
      </c>
      <c r="W370" t="s">
        <v>1034</v>
      </c>
      <c r="X370" t="s">
        <v>992</v>
      </c>
    </row>
    <row r="371" spans="1:24" x14ac:dyDescent="0.25">
      <c r="A371" t="s">
        <v>42</v>
      </c>
      <c r="B371" t="s">
        <v>1993</v>
      </c>
      <c r="C371" t="s">
        <v>352</v>
      </c>
      <c r="E371" t="s">
        <v>1129</v>
      </c>
      <c r="F371">
        <v>12359</v>
      </c>
      <c r="G371" t="s">
        <v>1051</v>
      </c>
      <c r="H371" t="s">
        <v>1994</v>
      </c>
      <c r="I371" t="s">
        <v>1968</v>
      </c>
      <c r="J371" t="s">
        <v>1424</v>
      </c>
      <c r="K371" t="s">
        <v>1131</v>
      </c>
      <c r="L371" t="s">
        <v>1132</v>
      </c>
      <c r="M371" t="s">
        <v>1028</v>
      </c>
      <c r="N371" t="s">
        <v>1133</v>
      </c>
      <c r="O371" t="s">
        <v>992</v>
      </c>
      <c r="P371" t="s">
        <v>1135</v>
      </c>
      <c r="Q371" t="b">
        <v>1</v>
      </c>
      <c r="R371" t="b">
        <v>0</v>
      </c>
      <c r="S371" t="s">
        <v>1375</v>
      </c>
      <c r="T371" t="s">
        <v>992</v>
      </c>
      <c r="U371" t="s">
        <v>1060</v>
      </c>
      <c r="V371" t="s">
        <v>995</v>
      </c>
      <c r="W371" t="s">
        <v>1034</v>
      </c>
      <c r="X371" t="s">
        <v>1425</v>
      </c>
    </row>
    <row r="372" spans="1:24" x14ac:dyDescent="0.25">
      <c r="A372" t="s">
        <v>42</v>
      </c>
      <c r="B372" t="s">
        <v>1995</v>
      </c>
      <c r="C372" t="s">
        <v>353</v>
      </c>
      <c r="D372" t="s">
        <v>992</v>
      </c>
      <c r="E372" t="s">
        <v>990</v>
      </c>
      <c r="F372">
        <v>0</v>
      </c>
      <c r="G372" t="s">
        <v>1085</v>
      </c>
      <c r="H372" t="s">
        <v>1996</v>
      </c>
      <c r="I372" t="s">
        <v>1997</v>
      </c>
      <c r="J372" t="s">
        <v>1424</v>
      </c>
      <c r="K372" t="s">
        <v>992</v>
      </c>
      <c r="L372" t="s">
        <v>992</v>
      </c>
      <c r="M372" t="s">
        <v>992</v>
      </c>
      <c r="N372" t="s">
        <v>992</v>
      </c>
      <c r="O372" t="s">
        <v>992</v>
      </c>
      <c r="P372" t="s">
        <v>992</v>
      </c>
      <c r="Q372" t="b">
        <v>1</v>
      </c>
      <c r="R372" t="b">
        <v>0</v>
      </c>
      <c r="S372" t="s">
        <v>1032</v>
      </c>
      <c r="T372" t="s">
        <v>992</v>
      </c>
      <c r="U372" t="s">
        <v>1139</v>
      </c>
      <c r="V372" t="s">
        <v>1061</v>
      </c>
      <c r="W372" t="s">
        <v>1206</v>
      </c>
      <c r="X372" t="s">
        <v>1998</v>
      </c>
    </row>
    <row r="373" spans="1:24" x14ac:dyDescent="0.25">
      <c r="A373" t="s">
        <v>42</v>
      </c>
      <c r="B373" t="s">
        <v>1999</v>
      </c>
      <c r="C373" t="s">
        <v>353</v>
      </c>
      <c r="D373" t="s">
        <v>992</v>
      </c>
      <c r="E373" t="s">
        <v>999</v>
      </c>
      <c r="F373">
        <v>0</v>
      </c>
      <c r="G373" t="s">
        <v>1085</v>
      </c>
      <c r="H373" t="s">
        <v>1996</v>
      </c>
      <c r="I373" t="s">
        <v>1997</v>
      </c>
      <c r="J373" t="s">
        <v>1424</v>
      </c>
      <c r="K373" t="s">
        <v>992</v>
      </c>
      <c r="L373" t="s">
        <v>992</v>
      </c>
      <c r="M373" t="s">
        <v>992</v>
      </c>
      <c r="N373" t="s">
        <v>992</v>
      </c>
      <c r="O373" t="s">
        <v>992</v>
      </c>
      <c r="P373" t="s">
        <v>992</v>
      </c>
      <c r="Q373" t="b">
        <v>1</v>
      </c>
      <c r="R373" t="b">
        <v>0</v>
      </c>
      <c r="S373" t="s">
        <v>1032</v>
      </c>
      <c r="T373" t="s">
        <v>992</v>
      </c>
      <c r="U373" t="s">
        <v>1139</v>
      </c>
      <c r="V373" t="s">
        <v>1061</v>
      </c>
      <c r="W373" t="s">
        <v>1206</v>
      </c>
      <c r="X373" t="s">
        <v>2000</v>
      </c>
    </row>
    <row r="374" spans="1:24" x14ac:dyDescent="0.25">
      <c r="A374" t="s">
        <v>42</v>
      </c>
      <c r="B374" t="s">
        <v>2001</v>
      </c>
      <c r="C374" t="s">
        <v>353</v>
      </c>
      <c r="D374" t="s">
        <v>992</v>
      </c>
      <c r="E374" t="s">
        <v>1001</v>
      </c>
      <c r="F374">
        <v>0</v>
      </c>
      <c r="G374" t="s">
        <v>1085</v>
      </c>
      <c r="H374" t="s">
        <v>1996</v>
      </c>
      <c r="I374" t="s">
        <v>1997</v>
      </c>
      <c r="J374" t="s">
        <v>1424</v>
      </c>
      <c r="K374" t="s">
        <v>992</v>
      </c>
      <c r="L374" t="s">
        <v>992</v>
      </c>
      <c r="M374" t="s">
        <v>992</v>
      </c>
      <c r="N374" t="s">
        <v>992</v>
      </c>
      <c r="O374" t="s">
        <v>992</v>
      </c>
      <c r="P374" t="s">
        <v>992</v>
      </c>
      <c r="Q374" t="b">
        <v>1</v>
      </c>
      <c r="R374" t="b">
        <v>0</v>
      </c>
      <c r="S374" t="s">
        <v>1032</v>
      </c>
      <c r="T374" t="s">
        <v>992</v>
      </c>
      <c r="U374" t="s">
        <v>1139</v>
      </c>
      <c r="V374" t="s">
        <v>1061</v>
      </c>
      <c r="W374" t="s">
        <v>1206</v>
      </c>
      <c r="X374" t="s">
        <v>2002</v>
      </c>
    </row>
    <row r="375" spans="1:24" x14ac:dyDescent="0.25">
      <c r="A375" t="s">
        <v>42</v>
      </c>
      <c r="B375" t="s">
        <v>2003</v>
      </c>
      <c r="C375" t="s">
        <v>353</v>
      </c>
      <c r="D375" t="s">
        <v>992</v>
      </c>
      <c r="E375" t="s">
        <v>1003</v>
      </c>
      <c r="F375">
        <v>0</v>
      </c>
      <c r="G375" t="s">
        <v>1085</v>
      </c>
      <c r="H375" t="s">
        <v>1996</v>
      </c>
      <c r="I375" t="s">
        <v>1997</v>
      </c>
      <c r="J375" t="s">
        <v>1424</v>
      </c>
      <c r="K375" t="s">
        <v>992</v>
      </c>
      <c r="L375" t="s">
        <v>992</v>
      </c>
      <c r="M375" t="s">
        <v>992</v>
      </c>
      <c r="N375" t="s">
        <v>992</v>
      </c>
      <c r="O375" t="s">
        <v>992</v>
      </c>
      <c r="P375" t="s">
        <v>992</v>
      </c>
      <c r="Q375" t="b">
        <v>1</v>
      </c>
      <c r="R375" t="b">
        <v>0</v>
      </c>
      <c r="S375" t="s">
        <v>1032</v>
      </c>
      <c r="T375" t="s">
        <v>992</v>
      </c>
      <c r="U375" t="s">
        <v>1139</v>
      </c>
      <c r="V375" t="s">
        <v>1061</v>
      </c>
      <c r="W375" t="s">
        <v>1206</v>
      </c>
      <c r="X375" t="s">
        <v>2004</v>
      </c>
    </row>
    <row r="376" spans="1:24" x14ac:dyDescent="0.25">
      <c r="A376" t="s">
        <v>42</v>
      </c>
      <c r="B376" t="s">
        <v>2005</v>
      </c>
      <c r="C376" t="s">
        <v>353</v>
      </c>
      <c r="D376" t="s">
        <v>992</v>
      </c>
      <c r="E376" t="s">
        <v>1005</v>
      </c>
      <c r="F376">
        <v>0</v>
      </c>
      <c r="G376" t="s">
        <v>1085</v>
      </c>
      <c r="H376" t="s">
        <v>1996</v>
      </c>
      <c r="I376" t="s">
        <v>1997</v>
      </c>
      <c r="J376" t="s">
        <v>1424</v>
      </c>
      <c r="K376" t="s">
        <v>992</v>
      </c>
      <c r="L376" t="s">
        <v>992</v>
      </c>
      <c r="M376" t="s">
        <v>992</v>
      </c>
      <c r="N376" t="s">
        <v>992</v>
      </c>
      <c r="O376" t="s">
        <v>992</v>
      </c>
      <c r="P376" t="s">
        <v>992</v>
      </c>
      <c r="Q376" t="b">
        <v>1</v>
      </c>
      <c r="R376" t="b">
        <v>0</v>
      </c>
      <c r="S376" t="s">
        <v>1032</v>
      </c>
      <c r="T376" t="s">
        <v>992</v>
      </c>
      <c r="U376" t="s">
        <v>1139</v>
      </c>
      <c r="V376" t="s">
        <v>1061</v>
      </c>
      <c r="W376" t="s">
        <v>1206</v>
      </c>
      <c r="X376" t="s">
        <v>2006</v>
      </c>
    </row>
    <row r="377" spans="1:24" x14ac:dyDescent="0.25">
      <c r="A377" t="s">
        <v>42</v>
      </c>
      <c r="B377" t="s">
        <v>2007</v>
      </c>
      <c r="C377" t="s">
        <v>353</v>
      </c>
      <c r="D377" t="s">
        <v>992</v>
      </c>
      <c r="E377" t="s">
        <v>1007</v>
      </c>
      <c r="F377">
        <v>0</v>
      </c>
      <c r="G377" t="s">
        <v>1085</v>
      </c>
      <c r="H377" t="s">
        <v>1996</v>
      </c>
      <c r="I377" t="s">
        <v>1997</v>
      </c>
      <c r="J377" t="s">
        <v>1424</v>
      </c>
      <c r="K377" t="s">
        <v>992</v>
      </c>
      <c r="L377" t="s">
        <v>992</v>
      </c>
      <c r="M377" t="s">
        <v>992</v>
      </c>
      <c r="N377" t="s">
        <v>992</v>
      </c>
      <c r="O377" t="s">
        <v>992</v>
      </c>
      <c r="P377" t="s">
        <v>992</v>
      </c>
      <c r="Q377" t="b">
        <v>1</v>
      </c>
      <c r="R377" t="b">
        <v>0</v>
      </c>
      <c r="S377" t="s">
        <v>1032</v>
      </c>
      <c r="T377" t="s">
        <v>992</v>
      </c>
      <c r="U377" t="s">
        <v>1139</v>
      </c>
      <c r="V377" t="s">
        <v>1061</v>
      </c>
      <c r="W377" t="s">
        <v>1206</v>
      </c>
      <c r="X377" t="s">
        <v>2008</v>
      </c>
    </row>
    <row r="378" spans="1:24" x14ac:dyDescent="0.25">
      <c r="A378" t="s">
        <v>42</v>
      </c>
      <c r="B378" t="s">
        <v>2009</v>
      </c>
      <c r="C378" t="s">
        <v>353</v>
      </c>
      <c r="D378" t="s">
        <v>992</v>
      </c>
      <c r="E378" t="s">
        <v>1009</v>
      </c>
      <c r="F378">
        <v>0</v>
      </c>
      <c r="G378" t="s">
        <v>1085</v>
      </c>
      <c r="H378" t="s">
        <v>1996</v>
      </c>
      <c r="I378" t="s">
        <v>1997</v>
      </c>
      <c r="J378" t="s">
        <v>1424</v>
      </c>
      <c r="K378" t="s">
        <v>992</v>
      </c>
      <c r="L378" t="s">
        <v>992</v>
      </c>
      <c r="M378" t="s">
        <v>992</v>
      </c>
      <c r="N378" t="s">
        <v>992</v>
      </c>
      <c r="O378" t="s">
        <v>992</v>
      </c>
      <c r="P378" t="s">
        <v>992</v>
      </c>
      <c r="Q378" t="b">
        <v>1</v>
      </c>
      <c r="R378" t="b">
        <v>0</v>
      </c>
      <c r="S378" t="s">
        <v>1032</v>
      </c>
      <c r="T378" t="s">
        <v>992</v>
      </c>
      <c r="U378" t="s">
        <v>1139</v>
      </c>
      <c r="V378" t="s">
        <v>1061</v>
      </c>
      <c r="W378" t="s">
        <v>1206</v>
      </c>
      <c r="X378" t="s">
        <v>2010</v>
      </c>
    </row>
    <row r="379" spans="1:24" x14ac:dyDescent="0.25">
      <c r="A379" t="s">
        <v>42</v>
      </c>
      <c r="B379" t="s">
        <v>2011</v>
      </c>
      <c r="C379" t="s">
        <v>353</v>
      </c>
      <c r="D379" t="s">
        <v>992</v>
      </c>
      <c r="E379" t="s">
        <v>1011</v>
      </c>
      <c r="F379">
        <v>0</v>
      </c>
      <c r="G379" t="s">
        <v>1085</v>
      </c>
      <c r="H379" t="s">
        <v>1996</v>
      </c>
      <c r="I379" t="s">
        <v>1997</v>
      </c>
      <c r="J379" t="s">
        <v>1424</v>
      </c>
      <c r="K379" t="s">
        <v>992</v>
      </c>
      <c r="L379" t="s">
        <v>992</v>
      </c>
      <c r="M379" t="s">
        <v>992</v>
      </c>
      <c r="N379" t="s">
        <v>992</v>
      </c>
      <c r="O379" t="s">
        <v>992</v>
      </c>
      <c r="P379" t="s">
        <v>992</v>
      </c>
      <c r="Q379" t="b">
        <v>1</v>
      </c>
      <c r="R379" t="b">
        <v>0</v>
      </c>
      <c r="S379" t="s">
        <v>1032</v>
      </c>
      <c r="T379" t="s">
        <v>992</v>
      </c>
      <c r="U379" t="s">
        <v>1139</v>
      </c>
      <c r="V379" t="s">
        <v>1061</v>
      </c>
      <c r="W379" t="s">
        <v>1206</v>
      </c>
      <c r="X379" t="s">
        <v>2012</v>
      </c>
    </row>
    <row r="380" spans="1:24" x14ac:dyDescent="0.25">
      <c r="A380" t="s">
        <v>42</v>
      </c>
      <c r="B380" t="s">
        <v>2013</v>
      </c>
      <c r="C380" t="s">
        <v>353</v>
      </c>
      <c r="D380" t="s">
        <v>992</v>
      </c>
      <c r="E380" t="s">
        <v>1013</v>
      </c>
      <c r="F380">
        <v>0</v>
      </c>
      <c r="G380" t="s">
        <v>1085</v>
      </c>
      <c r="H380" t="s">
        <v>1996</v>
      </c>
      <c r="I380" t="s">
        <v>1997</v>
      </c>
      <c r="J380" t="s">
        <v>1424</v>
      </c>
      <c r="K380" t="s">
        <v>992</v>
      </c>
      <c r="L380" t="s">
        <v>992</v>
      </c>
      <c r="M380" t="s">
        <v>992</v>
      </c>
      <c r="N380" t="s">
        <v>992</v>
      </c>
      <c r="O380" t="s">
        <v>992</v>
      </c>
      <c r="P380" t="s">
        <v>992</v>
      </c>
      <c r="Q380" t="b">
        <v>1</v>
      </c>
      <c r="R380" t="b">
        <v>0</v>
      </c>
      <c r="S380" t="s">
        <v>1032</v>
      </c>
      <c r="T380" t="s">
        <v>992</v>
      </c>
      <c r="U380" t="s">
        <v>1139</v>
      </c>
      <c r="V380" t="s">
        <v>1061</v>
      </c>
      <c r="W380" t="s">
        <v>1206</v>
      </c>
      <c r="X380" t="s">
        <v>2014</v>
      </c>
    </row>
    <row r="381" spans="1:24" x14ac:dyDescent="0.25">
      <c r="A381" t="s">
        <v>42</v>
      </c>
      <c r="B381" t="s">
        <v>2015</v>
      </c>
      <c r="C381" t="s">
        <v>353</v>
      </c>
      <c r="D381" t="s">
        <v>992</v>
      </c>
      <c r="E381" t="s">
        <v>1015</v>
      </c>
      <c r="F381">
        <v>0</v>
      </c>
      <c r="G381" t="s">
        <v>1085</v>
      </c>
      <c r="H381" t="s">
        <v>1996</v>
      </c>
      <c r="I381" t="s">
        <v>1997</v>
      </c>
      <c r="J381" t="s">
        <v>1424</v>
      </c>
      <c r="K381" t="s">
        <v>992</v>
      </c>
      <c r="L381" t="s">
        <v>992</v>
      </c>
      <c r="M381" t="s">
        <v>992</v>
      </c>
      <c r="N381" t="s">
        <v>992</v>
      </c>
      <c r="O381" t="s">
        <v>992</v>
      </c>
      <c r="P381" t="s">
        <v>992</v>
      </c>
      <c r="Q381" t="b">
        <v>1</v>
      </c>
      <c r="R381" t="b">
        <v>0</v>
      </c>
      <c r="S381" t="s">
        <v>1032</v>
      </c>
      <c r="T381" t="s">
        <v>992</v>
      </c>
      <c r="U381" t="s">
        <v>1139</v>
      </c>
      <c r="V381" t="s">
        <v>1061</v>
      </c>
      <c r="W381" t="s">
        <v>1206</v>
      </c>
      <c r="X381" t="s">
        <v>2016</v>
      </c>
    </row>
    <row r="382" spans="1:24" x14ac:dyDescent="0.25">
      <c r="A382" t="s">
        <v>42</v>
      </c>
      <c r="B382" t="s">
        <v>2017</v>
      </c>
      <c r="C382" t="s">
        <v>353</v>
      </c>
      <c r="D382" t="s">
        <v>992</v>
      </c>
      <c r="E382" t="s">
        <v>1017</v>
      </c>
      <c r="F382">
        <v>0</v>
      </c>
      <c r="G382" t="s">
        <v>1085</v>
      </c>
      <c r="H382" t="s">
        <v>1996</v>
      </c>
      <c r="I382" t="s">
        <v>1997</v>
      </c>
      <c r="J382" t="s">
        <v>1424</v>
      </c>
      <c r="K382" t="s">
        <v>992</v>
      </c>
      <c r="L382" t="s">
        <v>992</v>
      </c>
      <c r="M382" t="s">
        <v>992</v>
      </c>
      <c r="N382" t="s">
        <v>992</v>
      </c>
      <c r="O382" t="s">
        <v>992</v>
      </c>
      <c r="P382" t="s">
        <v>992</v>
      </c>
      <c r="Q382" t="b">
        <v>1</v>
      </c>
      <c r="R382" t="b">
        <v>0</v>
      </c>
      <c r="S382" t="s">
        <v>1032</v>
      </c>
      <c r="T382" t="s">
        <v>992</v>
      </c>
      <c r="U382" t="s">
        <v>1139</v>
      </c>
      <c r="V382" t="s">
        <v>1061</v>
      </c>
      <c r="W382" t="s">
        <v>1206</v>
      </c>
      <c r="X382" t="s">
        <v>2018</v>
      </c>
    </row>
    <row r="383" spans="1:24" x14ac:dyDescent="0.25">
      <c r="A383" t="s">
        <v>42</v>
      </c>
      <c r="B383" t="s">
        <v>2019</v>
      </c>
      <c r="C383" t="s">
        <v>353</v>
      </c>
      <c r="D383" t="s">
        <v>992</v>
      </c>
      <c r="E383" t="s">
        <v>1019</v>
      </c>
      <c r="F383">
        <v>0</v>
      </c>
      <c r="G383" t="s">
        <v>1085</v>
      </c>
      <c r="H383" t="s">
        <v>1996</v>
      </c>
      <c r="I383" t="s">
        <v>1997</v>
      </c>
      <c r="J383" t="s">
        <v>1424</v>
      </c>
      <c r="K383" t="s">
        <v>992</v>
      </c>
      <c r="L383" t="s">
        <v>992</v>
      </c>
      <c r="M383" t="s">
        <v>992</v>
      </c>
      <c r="N383" t="s">
        <v>992</v>
      </c>
      <c r="O383" t="s">
        <v>992</v>
      </c>
      <c r="P383" t="s">
        <v>992</v>
      </c>
      <c r="Q383" t="b">
        <v>1</v>
      </c>
      <c r="R383" t="b">
        <v>0</v>
      </c>
      <c r="S383" t="s">
        <v>1032</v>
      </c>
      <c r="T383" t="s">
        <v>992</v>
      </c>
      <c r="U383" t="s">
        <v>1139</v>
      </c>
      <c r="V383" t="s">
        <v>1061</v>
      </c>
      <c r="W383" t="s">
        <v>1206</v>
      </c>
      <c r="X383" t="s">
        <v>2020</v>
      </c>
    </row>
    <row r="384" spans="1:24" x14ac:dyDescent="0.25">
      <c r="A384" t="s">
        <v>42</v>
      </c>
      <c r="B384" t="s">
        <v>2021</v>
      </c>
      <c r="C384" t="s">
        <v>353</v>
      </c>
      <c r="D384" t="s">
        <v>992</v>
      </c>
      <c r="E384" t="s">
        <v>1021</v>
      </c>
      <c r="F384">
        <v>0</v>
      </c>
      <c r="G384" t="s">
        <v>1085</v>
      </c>
      <c r="H384" t="s">
        <v>1996</v>
      </c>
      <c r="I384" t="s">
        <v>1997</v>
      </c>
      <c r="J384" t="s">
        <v>1424</v>
      </c>
      <c r="K384" t="s">
        <v>992</v>
      </c>
      <c r="L384" t="s">
        <v>992</v>
      </c>
      <c r="M384" t="s">
        <v>992</v>
      </c>
      <c r="N384" t="s">
        <v>992</v>
      </c>
      <c r="O384" t="s">
        <v>992</v>
      </c>
      <c r="P384" t="s">
        <v>992</v>
      </c>
      <c r="Q384" t="b">
        <v>1</v>
      </c>
      <c r="R384" t="b">
        <v>0</v>
      </c>
      <c r="S384" t="s">
        <v>1032</v>
      </c>
      <c r="T384" t="s">
        <v>992</v>
      </c>
      <c r="U384" t="s">
        <v>1139</v>
      </c>
      <c r="V384" t="s">
        <v>1061</v>
      </c>
      <c r="W384" t="s">
        <v>1206</v>
      </c>
      <c r="X384" t="s">
        <v>2022</v>
      </c>
    </row>
    <row r="385" spans="1:24" x14ac:dyDescent="0.25">
      <c r="A385" t="s">
        <v>42</v>
      </c>
      <c r="B385" t="s">
        <v>2023</v>
      </c>
      <c r="C385" t="s">
        <v>353</v>
      </c>
      <c r="D385" t="s">
        <v>992</v>
      </c>
      <c r="E385" t="s">
        <v>1129</v>
      </c>
      <c r="F385">
        <v>0</v>
      </c>
      <c r="G385" t="s">
        <v>1085</v>
      </c>
      <c r="H385" t="s">
        <v>1996</v>
      </c>
      <c r="I385" t="s">
        <v>1997</v>
      </c>
      <c r="J385" t="s">
        <v>1424</v>
      </c>
      <c r="K385" t="s">
        <v>992</v>
      </c>
      <c r="L385" t="s">
        <v>992</v>
      </c>
      <c r="M385" t="s">
        <v>992</v>
      </c>
      <c r="N385" t="s">
        <v>992</v>
      </c>
      <c r="O385" t="s">
        <v>992</v>
      </c>
      <c r="P385" t="s">
        <v>992</v>
      </c>
      <c r="Q385" t="b">
        <v>1</v>
      </c>
      <c r="R385" t="b">
        <v>0</v>
      </c>
      <c r="S385" t="s">
        <v>1032</v>
      </c>
      <c r="T385" t="s">
        <v>992</v>
      </c>
      <c r="U385" t="s">
        <v>1139</v>
      </c>
      <c r="V385" t="s">
        <v>1061</v>
      </c>
      <c r="W385" t="s">
        <v>1206</v>
      </c>
      <c r="X385" t="s">
        <v>2024</v>
      </c>
    </row>
    <row r="386" spans="1:24" x14ac:dyDescent="0.25">
      <c r="A386" t="s">
        <v>42</v>
      </c>
      <c r="B386" t="s">
        <v>2025</v>
      </c>
      <c r="C386" t="s">
        <v>354</v>
      </c>
      <c r="D386" t="s">
        <v>992</v>
      </c>
      <c r="E386" t="s">
        <v>990</v>
      </c>
      <c r="F386">
        <v>-12912</v>
      </c>
      <c r="G386" t="s">
        <v>1023</v>
      </c>
      <c r="H386" t="s">
        <v>2026</v>
      </c>
      <c r="I386" t="s">
        <v>2027</v>
      </c>
      <c r="J386" t="s">
        <v>1424</v>
      </c>
      <c r="K386" t="s">
        <v>1026</v>
      </c>
      <c r="L386" t="s">
        <v>1027</v>
      </c>
      <c r="M386" t="s">
        <v>1028</v>
      </c>
      <c r="N386" t="s">
        <v>1029</v>
      </c>
      <c r="O386" t="s">
        <v>992</v>
      </c>
      <c r="P386" t="s">
        <v>1031</v>
      </c>
      <c r="Q386" t="b">
        <v>1</v>
      </c>
      <c r="R386" t="b">
        <v>0</v>
      </c>
      <c r="S386" t="s">
        <v>1032</v>
      </c>
      <c r="T386" t="s">
        <v>992</v>
      </c>
      <c r="U386" t="s">
        <v>1139</v>
      </c>
      <c r="V386" t="s">
        <v>995</v>
      </c>
      <c r="W386" t="s">
        <v>1034</v>
      </c>
      <c r="X386" t="s">
        <v>992</v>
      </c>
    </row>
    <row r="387" spans="1:24" x14ac:dyDescent="0.25">
      <c r="A387" t="s">
        <v>42</v>
      </c>
      <c r="B387" t="s">
        <v>2028</v>
      </c>
      <c r="C387" t="s">
        <v>354</v>
      </c>
      <c r="D387" t="s">
        <v>992</v>
      </c>
      <c r="E387" t="s">
        <v>999</v>
      </c>
      <c r="F387">
        <v>-11746</v>
      </c>
      <c r="G387" t="s">
        <v>1023</v>
      </c>
      <c r="H387" t="s">
        <v>2029</v>
      </c>
      <c r="I387" t="s">
        <v>2027</v>
      </c>
      <c r="J387" t="s">
        <v>1424</v>
      </c>
      <c r="K387" t="s">
        <v>1038</v>
      </c>
      <c r="L387" t="s">
        <v>1039</v>
      </c>
      <c r="M387" t="s">
        <v>1028</v>
      </c>
      <c r="N387" t="s">
        <v>1040</v>
      </c>
      <c r="O387" t="s">
        <v>992</v>
      </c>
      <c r="P387" t="s">
        <v>1042</v>
      </c>
      <c r="Q387" t="b">
        <v>1</v>
      </c>
      <c r="R387" t="b">
        <v>0</v>
      </c>
      <c r="S387" t="s">
        <v>1032</v>
      </c>
      <c r="T387" t="s">
        <v>992</v>
      </c>
      <c r="U387" t="s">
        <v>1139</v>
      </c>
      <c r="V387" t="s">
        <v>995</v>
      </c>
      <c r="W387" t="s">
        <v>1034</v>
      </c>
      <c r="X387" t="s">
        <v>992</v>
      </c>
    </row>
    <row r="388" spans="1:24" x14ac:dyDescent="0.25">
      <c r="A388" t="s">
        <v>42</v>
      </c>
      <c r="B388" t="s">
        <v>2030</v>
      </c>
      <c r="C388" t="s">
        <v>354</v>
      </c>
      <c r="D388" t="s">
        <v>992</v>
      </c>
      <c r="E388" t="s">
        <v>1001</v>
      </c>
      <c r="F388">
        <v>-11801</v>
      </c>
      <c r="G388" t="s">
        <v>1023</v>
      </c>
      <c r="H388" t="s">
        <v>2031</v>
      </c>
      <c r="I388" t="s">
        <v>2027</v>
      </c>
      <c r="J388" t="s">
        <v>1424</v>
      </c>
      <c r="K388" t="s">
        <v>1045</v>
      </c>
      <c r="L388" t="s">
        <v>1046</v>
      </c>
      <c r="M388" t="s">
        <v>1028</v>
      </c>
      <c r="N388" t="s">
        <v>1047</v>
      </c>
      <c r="O388" t="s">
        <v>992</v>
      </c>
      <c r="P388" t="s">
        <v>1049</v>
      </c>
      <c r="Q388" t="b">
        <v>1</v>
      </c>
      <c r="R388" t="b">
        <v>0</v>
      </c>
      <c r="S388" t="s">
        <v>1032</v>
      </c>
      <c r="T388" t="s">
        <v>992</v>
      </c>
      <c r="U388" t="s">
        <v>1139</v>
      </c>
      <c r="V388" t="s">
        <v>995</v>
      </c>
      <c r="W388" t="s">
        <v>1034</v>
      </c>
      <c r="X388" t="s">
        <v>992</v>
      </c>
    </row>
    <row r="389" spans="1:24" x14ac:dyDescent="0.25">
      <c r="A389" t="s">
        <v>42</v>
      </c>
      <c r="B389" t="s">
        <v>2032</v>
      </c>
      <c r="C389" t="s">
        <v>354</v>
      </c>
      <c r="D389" t="s">
        <v>992</v>
      </c>
      <c r="E389" t="s">
        <v>1003</v>
      </c>
      <c r="F389">
        <v>-11452</v>
      </c>
      <c r="G389" t="s">
        <v>1023</v>
      </c>
      <c r="H389" t="s">
        <v>2033</v>
      </c>
      <c r="I389" t="s">
        <v>2027</v>
      </c>
      <c r="J389" t="s">
        <v>1424</v>
      </c>
      <c r="K389" t="s">
        <v>1087</v>
      </c>
      <c r="L389" t="s">
        <v>1088</v>
      </c>
      <c r="M389" t="s">
        <v>1056</v>
      </c>
      <c r="N389" t="s">
        <v>1089</v>
      </c>
      <c r="O389" t="s">
        <v>992</v>
      </c>
      <c r="P389" t="s">
        <v>1058</v>
      </c>
      <c r="Q389" t="b">
        <v>1</v>
      </c>
      <c r="R389" t="b">
        <v>0</v>
      </c>
      <c r="S389" t="s">
        <v>1032</v>
      </c>
      <c r="T389" t="s">
        <v>992</v>
      </c>
      <c r="U389" t="s">
        <v>1139</v>
      </c>
      <c r="V389" t="s">
        <v>995</v>
      </c>
      <c r="W389" t="s">
        <v>1034</v>
      </c>
      <c r="X389" t="s">
        <v>992</v>
      </c>
    </row>
    <row r="390" spans="1:24" x14ac:dyDescent="0.25">
      <c r="A390" t="s">
        <v>42</v>
      </c>
      <c r="B390" t="s">
        <v>2034</v>
      </c>
      <c r="C390" t="s">
        <v>354</v>
      </c>
      <c r="D390" t="s">
        <v>992</v>
      </c>
      <c r="E390" t="s">
        <v>1005</v>
      </c>
      <c r="F390">
        <v>-9378</v>
      </c>
      <c r="G390" t="s">
        <v>1023</v>
      </c>
      <c r="H390" t="s">
        <v>2035</v>
      </c>
      <c r="I390" t="s">
        <v>2027</v>
      </c>
      <c r="J390" t="s">
        <v>1424</v>
      </c>
      <c r="K390" t="s">
        <v>1065</v>
      </c>
      <c r="L390" t="s">
        <v>1066</v>
      </c>
      <c r="M390" t="s">
        <v>1028</v>
      </c>
      <c r="N390" t="s">
        <v>1067</v>
      </c>
      <c r="O390" t="s">
        <v>992</v>
      </c>
      <c r="P390" t="s">
        <v>1069</v>
      </c>
      <c r="Q390" t="b">
        <v>1</v>
      </c>
      <c r="R390" t="b">
        <v>0</v>
      </c>
      <c r="S390" t="s">
        <v>1032</v>
      </c>
      <c r="T390" t="s">
        <v>992</v>
      </c>
      <c r="U390" t="s">
        <v>1139</v>
      </c>
      <c r="V390" t="s">
        <v>995</v>
      </c>
      <c r="W390" t="s">
        <v>1034</v>
      </c>
      <c r="X390" t="s">
        <v>992</v>
      </c>
    </row>
    <row r="391" spans="1:24" x14ac:dyDescent="0.25">
      <c r="A391" t="s">
        <v>42</v>
      </c>
      <c r="B391" t="s">
        <v>2036</v>
      </c>
      <c r="C391" t="s">
        <v>354</v>
      </c>
      <c r="D391" t="s">
        <v>992</v>
      </c>
      <c r="E391" t="s">
        <v>1007</v>
      </c>
      <c r="F391">
        <v>-8960</v>
      </c>
      <c r="G391" t="s">
        <v>1023</v>
      </c>
      <c r="H391" t="s">
        <v>2037</v>
      </c>
      <c r="I391" t="s">
        <v>2027</v>
      </c>
      <c r="J391" t="s">
        <v>1424</v>
      </c>
      <c r="K391" t="s">
        <v>1072</v>
      </c>
      <c r="L391" t="s">
        <v>1073</v>
      </c>
      <c r="M391" t="s">
        <v>1028</v>
      </c>
      <c r="N391" t="s">
        <v>1074</v>
      </c>
      <c r="O391" t="s">
        <v>992</v>
      </c>
      <c r="P391" t="s">
        <v>1076</v>
      </c>
      <c r="Q391" t="b">
        <v>1</v>
      </c>
      <c r="R391" t="b">
        <v>0</v>
      </c>
      <c r="S391" t="s">
        <v>1032</v>
      </c>
      <c r="T391" t="s">
        <v>992</v>
      </c>
      <c r="U391" t="s">
        <v>1139</v>
      </c>
      <c r="V391" t="s">
        <v>995</v>
      </c>
      <c r="W391" t="s">
        <v>1034</v>
      </c>
      <c r="X391" t="s">
        <v>992</v>
      </c>
    </row>
    <row r="392" spans="1:24" x14ac:dyDescent="0.25">
      <c r="A392" t="s">
        <v>42</v>
      </c>
      <c r="B392" t="s">
        <v>2038</v>
      </c>
      <c r="C392" t="s">
        <v>354</v>
      </c>
      <c r="D392" t="s">
        <v>992</v>
      </c>
      <c r="E392" t="s">
        <v>1009</v>
      </c>
      <c r="F392">
        <v>-8416</v>
      </c>
      <c r="G392" t="s">
        <v>1023</v>
      </c>
      <c r="H392" t="s">
        <v>2039</v>
      </c>
      <c r="I392" t="s">
        <v>2027</v>
      </c>
      <c r="J392" t="s">
        <v>1424</v>
      </c>
      <c r="K392" t="s">
        <v>1079</v>
      </c>
      <c r="L392" t="s">
        <v>1080</v>
      </c>
      <c r="M392" t="s">
        <v>1028</v>
      </c>
      <c r="N392" t="s">
        <v>1081</v>
      </c>
      <c r="O392" t="s">
        <v>992</v>
      </c>
      <c r="P392" t="s">
        <v>1083</v>
      </c>
      <c r="Q392" t="b">
        <v>1</v>
      </c>
      <c r="R392" t="b">
        <v>0</v>
      </c>
      <c r="S392" t="s">
        <v>1032</v>
      </c>
      <c r="T392" t="s">
        <v>992</v>
      </c>
      <c r="U392" t="s">
        <v>1139</v>
      </c>
      <c r="V392" t="s">
        <v>995</v>
      </c>
      <c r="W392" t="s">
        <v>1034</v>
      </c>
      <c r="X392" t="s">
        <v>992</v>
      </c>
    </row>
    <row r="393" spans="1:24" x14ac:dyDescent="0.25">
      <c r="A393" t="s">
        <v>42</v>
      </c>
      <c r="B393" t="s">
        <v>2040</v>
      </c>
      <c r="C393" t="s">
        <v>354</v>
      </c>
      <c r="D393" t="s">
        <v>992</v>
      </c>
      <c r="E393" t="s">
        <v>1011</v>
      </c>
      <c r="F393">
        <v>-7172</v>
      </c>
      <c r="G393" t="s">
        <v>1023</v>
      </c>
      <c r="H393" t="s">
        <v>2041</v>
      </c>
      <c r="I393" t="s">
        <v>2027</v>
      </c>
      <c r="J393" t="s">
        <v>1424</v>
      </c>
      <c r="K393" t="s">
        <v>1116</v>
      </c>
      <c r="L393" t="s">
        <v>1117</v>
      </c>
      <c r="M393" t="s">
        <v>1056</v>
      </c>
      <c r="N393" t="s">
        <v>1118</v>
      </c>
      <c r="O393" t="s">
        <v>992</v>
      </c>
      <c r="P393" t="s">
        <v>1090</v>
      </c>
      <c r="Q393" t="b">
        <v>1</v>
      </c>
      <c r="R393" t="b">
        <v>0</v>
      </c>
      <c r="S393" t="s">
        <v>1032</v>
      </c>
      <c r="T393" t="s">
        <v>992</v>
      </c>
      <c r="U393" t="s">
        <v>1139</v>
      </c>
      <c r="V393" t="s">
        <v>995</v>
      </c>
      <c r="W393" t="s">
        <v>1034</v>
      </c>
      <c r="X393" t="s">
        <v>992</v>
      </c>
    </row>
    <row r="394" spans="1:24" x14ac:dyDescent="0.25">
      <c r="A394" t="s">
        <v>42</v>
      </c>
      <c r="B394" t="s">
        <v>2042</v>
      </c>
      <c r="C394" t="s">
        <v>354</v>
      </c>
      <c r="D394" t="s">
        <v>992</v>
      </c>
      <c r="E394" t="s">
        <v>1013</v>
      </c>
      <c r="F394">
        <v>-6789</v>
      </c>
      <c r="G394" t="s">
        <v>1023</v>
      </c>
      <c r="H394" t="s">
        <v>2043</v>
      </c>
      <c r="I394" t="s">
        <v>2027</v>
      </c>
      <c r="J394" t="s">
        <v>1424</v>
      </c>
      <c r="K394" t="s">
        <v>1094</v>
      </c>
      <c r="L394" t="s">
        <v>1095</v>
      </c>
      <c r="M394" t="s">
        <v>1028</v>
      </c>
      <c r="N394" t="s">
        <v>1096</v>
      </c>
      <c r="O394" t="s">
        <v>992</v>
      </c>
      <c r="P394" t="s">
        <v>1098</v>
      </c>
      <c r="Q394" t="b">
        <v>1</v>
      </c>
      <c r="R394" t="b">
        <v>0</v>
      </c>
      <c r="S394" t="s">
        <v>1032</v>
      </c>
      <c r="T394" t="s">
        <v>992</v>
      </c>
      <c r="U394" t="s">
        <v>1139</v>
      </c>
      <c r="V394" t="s">
        <v>995</v>
      </c>
      <c r="W394" t="s">
        <v>1034</v>
      </c>
      <c r="X394" t="s">
        <v>992</v>
      </c>
    </row>
    <row r="395" spans="1:24" x14ac:dyDescent="0.25">
      <c r="A395" t="s">
        <v>42</v>
      </c>
      <c r="B395" t="s">
        <v>2044</v>
      </c>
      <c r="C395" t="s">
        <v>354</v>
      </c>
      <c r="D395" t="s">
        <v>992</v>
      </c>
      <c r="E395" t="s">
        <v>1015</v>
      </c>
      <c r="F395">
        <v>-6363</v>
      </c>
      <c r="G395" t="s">
        <v>1023</v>
      </c>
      <c r="H395" t="s">
        <v>2045</v>
      </c>
      <c r="I395" t="s">
        <v>2027</v>
      </c>
      <c r="J395" t="s">
        <v>1424</v>
      </c>
      <c r="K395" t="s">
        <v>1102</v>
      </c>
      <c r="L395" t="s">
        <v>1103</v>
      </c>
      <c r="M395" t="s">
        <v>1028</v>
      </c>
      <c r="N395" t="s">
        <v>1104</v>
      </c>
      <c r="O395" t="s">
        <v>992</v>
      </c>
      <c r="P395" t="s">
        <v>1106</v>
      </c>
      <c r="Q395" t="b">
        <v>1</v>
      </c>
      <c r="R395" t="b">
        <v>0</v>
      </c>
      <c r="S395" t="s">
        <v>1032</v>
      </c>
      <c r="T395" t="s">
        <v>992</v>
      </c>
      <c r="U395" t="s">
        <v>1139</v>
      </c>
      <c r="V395" t="s">
        <v>995</v>
      </c>
      <c r="W395" t="s">
        <v>1034</v>
      </c>
      <c r="X395" t="s">
        <v>992</v>
      </c>
    </row>
    <row r="396" spans="1:24" x14ac:dyDescent="0.25">
      <c r="A396" t="s">
        <v>42</v>
      </c>
      <c r="B396" t="s">
        <v>2046</v>
      </c>
      <c r="C396" t="s">
        <v>354</v>
      </c>
      <c r="D396" t="s">
        <v>992</v>
      </c>
      <c r="E396" t="s">
        <v>1017</v>
      </c>
      <c r="F396">
        <v>-6369</v>
      </c>
      <c r="G396" t="s">
        <v>1023</v>
      </c>
      <c r="H396" t="s">
        <v>2047</v>
      </c>
      <c r="I396" t="s">
        <v>2027</v>
      </c>
      <c r="J396" t="s">
        <v>1424</v>
      </c>
      <c r="K396" t="s">
        <v>1109</v>
      </c>
      <c r="L396" t="s">
        <v>1110</v>
      </c>
      <c r="M396" t="s">
        <v>1028</v>
      </c>
      <c r="N396" t="s">
        <v>1111</v>
      </c>
      <c r="O396" t="s">
        <v>992</v>
      </c>
      <c r="P396" t="s">
        <v>1113</v>
      </c>
      <c r="Q396" t="b">
        <v>1</v>
      </c>
      <c r="R396" t="b">
        <v>0</v>
      </c>
      <c r="S396" t="s">
        <v>1032</v>
      </c>
      <c r="T396" t="s">
        <v>992</v>
      </c>
      <c r="U396" t="s">
        <v>1139</v>
      </c>
      <c r="V396" t="s">
        <v>995</v>
      </c>
      <c r="W396" t="s">
        <v>1034</v>
      </c>
      <c r="X396" t="s">
        <v>992</v>
      </c>
    </row>
    <row r="397" spans="1:24" x14ac:dyDescent="0.25">
      <c r="A397" t="s">
        <v>42</v>
      </c>
      <c r="B397" t="s">
        <v>2048</v>
      </c>
      <c r="C397" t="s">
        <v>354</v>
      </c>
      <c r="D397" t="s">
        <v>992</v>
      </c>
      <c r="E397" t="s">
        <v>1019</v>
      </c>
      <c r="F397">
        <v>-5571</v>
      </c>
      <c r="G397" t="s">
        <v>1023</v>
      </c>
      <c r="H397" t="s">
        <v>2049</v>
      </c>
      <c r="I397" t="s">
        <v>2027</v>
      </c>
      <c r="J397" t="s">
        <v>1424</v>
      </c>
      <c r="K397" t="s">
        <v>1131</v>
      </c>
      <c r="L397" t="s">
        <v>1132</v>
      </c>
      <c r="M397" t="s">
        <v>1028</v>
      </c>
      <c r="N397" t="s">
        <v>1133</v>
      </c>
      <c r="O397" t="s">
        <v>992</v>
      </c>
      <c r="P397" t="s">
        <v>1119</v>
      </c>
      <c r="Q397" t="b">
        <v>1</v>
      </c>
      <c r="R397" t="b">
        <v>0</v>
      </c>
      <c r="S397" t="s">
        <v>1032</v>
      </c>
      <c r="T397" t="s">
        <v>992</v>
      </c>
      <c r="U397" t="s">
        <v>1139</v>
      </c>
      <c r="V397" t="s">
        <v>995</v>
      </c>
      <c r="W397" t="s">
        <v>1034</v>
      </c>
      <c r="X397" t="s">
        <v>992</v>
      </c>
    </row>
    <row r="398" spans="1:24" x14ac:dyDescent="0.25">
      <c r="A398" t="s">
        <v>42</v>
      </c>
      <c r="B398" t="s">
        <v>2050</v>
      </c>
      <c r="C398" t="s">
        <v>354</v>
      </c>
      <c r="E398" t="s">
        <v>1021</v>
      </c>
      <c r="F398">
        <v>-4854</v>
      </c>
      <c r="G398" t="s">
        <v>1051</v>
      </c>
      <c r="H398" t="s">
        <v>2051</v>
      </c>
      <c r="I398" t="s">
        <v>2027</v>
      </c>
      <c r="J398" t="s">
        <v>1424</v>
      </c>
      <c r="K398" t="s">
        <v>1123</v>
      </c>
      <c r="L398" t="s">
        <v>1124</v>
      </c>
      <c r="M398" t="s">
        <v>1028</v>
      </c>
      <c r="N398" t="s">
        <v>1125</v>
      </c>
      <c r="O398" t="s">
        <v>992</v>
      </c>
      <c r="P398" t="s">
        <v>1127</v>
      </c>
      <c r="Q398" t="b">
        <v>1</v>
      </c>
      <c r="R398" t="b">
        <v>0</v>
      </c>
      <c r="S398" t="s">
        <v>1375</v>
      </c>
      <c r="T398" t="s">
        <v>992</v>
      </c>
      <c r="U398" t="s">
        <v>1060</v>
      </c>
      <c r="V398" t="s">
        <v>995</v>
      </c>
      <c r="W398" t="s">
        <v>1034</v>
      </c>
      <c r="X398" t="s">
        <v>1425</v>
      </c>
    </row>
    <row r="399" spans="1:24" x14ac:dyDescent="0.25">
      <c r="A399" t="s">
        <v>42</v>
      </c>
      <c r="B399" t="s">
        <v>2052</v>
      </c>
      <c r="C399" t="s">
        <v>354</v>
      </c>
      <c r="E399" t="s">
        <v>1129</v>
      </c>
      <c r="F399">
        <v>-5375</v>
      </c>
      <c r="G399" t="s">
        <v>1051</v>
      </c>
      <c r="H399" t="s">
        <v>2053</v>
      </c>
      <c r="I399" t="s">
        <v>2027</v>
      </c>
      <c r="J399" t="s">
        <v>1424</v>
      </c>
      <c r="K399" t="s">
        <v>1131</v>
      </c>
      <c r="L399" t="s">
        <v>1132</v>
      </c>
      <c r="M399" t="s">
        <v>1028</v>
      </c>
      <c r="N399" t="s">
        <v>1133</v>
      </c>
      <c r="O399" t="s">
        <v>992</v>
      </c>
      <c r="P399" t="s">
        <v>1135</v>
      </c>
      <c r="Q399" t="b">
        <v>1</v>
      </c>
      <c r="R399" t="b">
        <v>0</v>
      </c>
      <c r="S399" t="s">
        <v>1375</v>
      </c>
      <c r="T399" t="s">
        <v>992</v>
      </c>
      <c r="U399" t="s">
        <v>1060</v>
      </c>
      <c r="V399" t="s">
        <v>995</v>
      </c>
      <c r="W399" t="s">
        <v>1034</v>
      </c>
      <c r="X399" t="s">
        <v>1425</v>
      </c>
    </row>
    <row r="400" spans="1:24" x14ac:dyDescent="0.25">
      <c r="A400" t="s">
        <v>42</v>
      </c>
      <c r="B400" t="s">
        <v>2054</v>
      </c>
      <c r="C400" t="s">
        <v>405</v>
      </c>
      <c r="D400" t="s">
        <v>403</v>
      </c>
      <c r="E400" t="s">
        <v>990</v>
      </c>
      <c r="F400">
        <v>2905</v>
      </c>
      <c r="G400" t="s">
        <v>2055</v>
      </c>
      <c r="H400" t="s">
        <v>2056</v>
      </c>
      <c r="I400" t="s">
        <v>2057</v>
      </c>
      <c r="J400" t="s">
        <v>2058</v>
      </c>
      <c r="K400" t="s">
        <v>1026</v>
      </c>
      <c r="L400" t="s">
        <v>1027</v>
      </c>
      <c r="M400" t="s">
        <v>1028</v>
      </c>
      <c r="N400" t="s">
        <v>1029</v>
      </c>
      <c r="O400" t="s">
        <v>1030</v>
      </c>
      <c r="P400" t="s">
        <v>1031</v>
      </c>
      <c r="Q400" t="b">
        <v>1</v>
      </c>
      <c r="R400" t="b">
        <v>0</v>
      </c>
      <c r="S400" t="s">
        <v>994</v>
      </c>
      <c r="T400" t="s">
        <v>2059</v>
      </c>
      <c r="U400" t="s">
        <v>2060</v>
      </c>
      <c r="V400" t="s">
        <v>1288</v>
      </c>
      <c r="W400" t="s">
        <v>2061</v>
      </c>
      <c r="X400" t="s">
        <v>2062</v>
      </c>
    </row>
    <row r="401" spans="1:24" x14ac:dyDescent="0.25">
      <c r="A401" t="s">
        <v>42</v>
      </c>
      <c r="B401" t="s">
        <v>2063</v>
      </c>
      <c r="C401" t="s">
        <v>405</v>
      </c>
      <c r="D401" t="s">
        <v>403</v>
      </c>
      <c r="E401" t="s">
        <v>999</v>
      </c>
      <c r="F401">
        <v>2686</v>
      </c>
      <c r="G401" t="s">
        <v>2055</v>
      </c>
      <c r="H401" t="s">
        <v>2064</v>
      </c>
      <c r="I401" t="s">
        <v>2065</v>
      </c>
      <c r="J401" t="s">
        <v>2058</v>
      </c>
      <c r="K401" t="s">
        <v>1038</v>
      </c>
      <c r="L401" t="s">
        <v>1039</v>
      </c>
      <c r="M401" t="s">
        <v>1028</v>
      </c>
      <c r="N401" t="s">
        <v>1040</v>
      </c>
      <c r="O401" t="s">
        <v>1030</v>
      </c>
      <c r="P401" t="s">
        <v>1042</v>
      </c>
      <c r="Q401" t="b">
        <v>0</v>
      </c>
      <c r="R401" t="b">
        <v>1</v>
      </c>
      <c r="S401" t="s">
        <v>1286</v>
      </c>
      <c r="T401" t="s">
        <v>2059</v>
      </c>
      <c r="U401" t="s">
        <v>2060</v>
      </c>
      <c r="V401" t="s">
        <v>1288</v>
      </c>
      <c r="W401" t="s">
        <v>2061</v>
      </c>
      <c r="X401" t="s">
        <v>2062</v>
      </c>
    </row>
    <row r="402" spans="1:24" x14ac:dyDescent="0.25">
      <c r="A402" t="s">
        <v>42</v>
      </c>
      <c r="B402" t="s">
        <v>2066</v>
      </c>
      <c r="C402" t="s">
        <v>405</v>
      </c>
      <c r="D402" t="s">
        <v>403</v>
      </c>
      <c r="E402" t="s">
        <v>1001</v>
      </c>
      <c r="F402">
        <v>2617</v>
      </c>
      <c r="G402" t="s">
        <v>2055</v>
      </c>
      <c r="H402" t="s">
        <v>2067</v>
      </c>
      <c r="I402" t="s">
        <v>2068</v>
      </c>
      <c r="J402" t="s">
        <v>2058</v>
      </c>
      <c r="K402" t="s">
        <v>1045</v>
      </c>
      <c r="L402" t="s">
        <v>1046</v>
      </c>
      <c r="M402" t="s">
        <v>1028</v>
      </c>
      <c r="N402" t="s">
        <v>1047</v>
      </c>
      <c r="O402" t="s">
        <v>1030</v>
      </c>
      <c r="P402" t="s">
        <v>1049</v>
      </c>
      <c r="Q402" t="b">
        <v>0</v>
      </c>
      <c r="R402" t="b">
        <v>1</v>
      </c>
      <c r="S402" t="s">
        <v>1286</v>
      </c>
      <c r="T402" t="s">
        <v>2059</v>
      </c>
      <c r="U402" t="s">
        <v>2060</v>
      </c>
      <c r="V402" t="s">
        <v>1288</v>
      </c>
      <c r="W402" t="s">
        <v>2061</v>
      </c>
      <c r="X402" t="s">
        <v>2062</v>
      </c>
    </row>
    <row r="403" spans="1:24" x14ac:dyDescent="0.25">
      <c r="A403" t="s">
        <v>42</v>
      </c>
      <c r="B403" t="s">
        <v>2069</v>
      </c>
      <c r="C403" t="s">
        <v>405</v>
      </c>
      <c r="D403" t="s">
        <v>403</v>
      </c>
      <c r="E403" t="s">
        <v>1003</v>
      </c>
      <c r="F403">
        <v>2625</v>
      </c>
      <c r="G403" t="s">
        <v>2055</v>
      </c>
      <c r="H403" t="s">
        <v>2070</v>
      </c>
      <c r="I403" t="s">
        <v>2071</v>
      </c>
      <c r="J403" t="s">
        <v>2058</v>
      </c>
      <c r="K403" t="s">
        <v>1054</v>
      </c>
      <c r="L403" t="s">
        <v>1055</v>
      </c>
      <c r="M403" t="s">
        <v>1056</v>
      </c>
      <c r="N403" t="s">
        <v>1057</v>
      </c>
      <c r="O403" t="s">
        <v>1030</v>
      </c>
      <c r="P403" t="s">
        <v>1058</v>
      </c>
      <c r="Q403" t="b">
        <v>1</v>
      </c>
      <c r="R403" t="b">
        <v>0</v>
      </c>
      <c r="S403" t="s">
        <v>994</v>
      </c>
      <c r="T403" t="s">
        <v>2059</v>
      </c>
      <c r="U403" t="s">
        <v>2060</v>
      </c>
      <c r="V403" t="s">
        <v>1288</v>
      </c>
      <c r="W403" t="s">
        <v>2061</v>
      </c>
      <c r="X403" t="s">
        <v>2062</v>
      </c>
    </row>
    <row r="404" spans="1:24" x14ac:dyDescent="0.25">
      <c r="A404" t="s">
        <v>42</v>
      </c>
      <c r="B404" t="s">
        <v>2072</v>
      </c>
      <c r="C404" t="s">
        <v>405</v>
      </c>
      <c r="D404" t="s">
        <v>403</v>
      </c>
      <c r="E404" t="s">
        <v>1005</v>
      </c>
      <c r="F404">
        <v>2997</v>
      </c>
      <c r="G404" t="s">
        <v>2055</v>
      </c>
      <c r="H404" t="s">
        <v>2073</v>
      </c>
      <c r="I404" t="s">
        <v>2057</v>
      </c>
      <c r="J404" t="s">
        <v>2058</v>
      </c>
      <c r="K404" t="s">
        <v>1065</v>
      </c>
      <c r="L404" t="s">
        <v>1066</v>
      </c>
      <c r="M404" t="s">
        <v>1028</v>
      </c>
      <c r="N404" t="s">
        <v>1067</v>
      </c>
      <c r="O404" t="s">
        <v>1068</v>
      </c>
      <c r="P404" t="s">
        <v>1069</v>
      </c>
      <c r="Q404" t="b">
        <v>1</v>
      </c>
      <c r="R404" t="b">
        <v>0</v>
      </c>
      <c r="S404" t="s">
        <v>994</v>
      </c>
      <c r="T404" t="s">
        <v>2059</v>
      </c>
      <c r="U404" t="s">
        <v>2060</v>
      </c>
      <c r="V404" t="s">
        <v>1288</v>
      </c>
      <c r="W404" t="s">
        <v>2061</v>
      </c>
      <c r="X404" t="s">
        <v>2062</v>
      </c>
    </row>
    <row r="405" spans="1:24" x14ac:dyDescent="0.25">
      <c r="A405" t="s">
        <v>42</v>
      </c>
      <c r="B405" t="s">
        <v>2074</v>
      </c>
      <c r="C405" t="s">
        <v>405</v>
      </c>
      <c r="D405" t="s">
        <v>403</v>
      </c>
      <c r="E405" t="s">
        <v>1007</v>
      </c>
      <c r="F405">
        <v>2964</v>
      </c>
      <c r="G405" t="s">
        <v>2055</v>
      </c>
      <c r="H405" t="s">
        <v>2075</v>
      </c>
      <c r="I405" t="s">
        <v>2065</v>
      </c>
      <c r="J405" t="s">
        <v>2058</v>
      </c>
      <c r="K405" t="s">
        <v>1072</v>
      </c>
      <c r="L405" t="s">
        <v>1073</v>
      </c>
      <c r="M405" t="s">
        <v>1028</v>
      </c>
      <c r="N405" t="s">
        <v>1074</v>
      </c>
      <c r="O405" t="s">
        <v>1068</v>
      </c>
      <c r="P405" t="s">
        <v>1076</v>
      </c>
      <c r="Q405" t="b">
        <v>0</v>
      </c>
      <c r="R405" t="b">
        <v>1</v>
      </c>
      <c r="S405" t="s">
        <v>1286</v>
      </c>
      <c r="T405" t="s">
        <v>2059</v>
      </c>
      <c r="U405" t="s">
        <v>2060</v>
      </c>
      <c r="V405" t="s">
        <v>1288</v>
      </c>
      <c r="W405" t="s">
        <v>2061</v>
      </c>
      <c r="X405" t="s">
        <v>2062</v>
      </c>
    </row>
    <row r="406" spans="1:24" x14ac:dyDescent="0.25">
      <c r="A406" t="s">
        <v>42</v>
      </c>
      <c r="B406" t="s">
        <v>2076</v>
      </c>
      <c r="C406" t="s">
        <v>405</v>
      </c>
      <c r="D406" t="s">
        <v>403</v>
      </c>
      <c r="E406" t="s">
        <v>1009</v>
      </c>
      <c r="F406">
        <v>2869</v>
      </c>
      <c r="G406" t="s">
        <v>2055</v>
      </c>
      <c r="H406" t="s">
        <v>2077</v>
      </c>
      <c r="I406" t="s">
        <v>2068</v>
      </c>
      <c r="J406" t="s">
        <v>2058</v>
      </c>
      <c r="K406" t="s">
        <v>1079</v>
      </c>
      <c r="L406" t="s">
        <v>1080</v>
      </c>
      <c r="M406" t="s">
        <v>1028</v>
      </c>
      <c r="N406" t="s">
        <v>1081</v>
      </c>
      <c r="O406" t="s">
        <v>1068</v>
      </c>
      <c r="P406" t="s">
        <v>1083</v>
      </c>
      <c r="Q406" t="b">
        <v>1</v>
      </c>
      <c r="R406" t="b">
        <v>0</v>
      </c>
      <c r="S406" t="s">
        <v>994</v>
      </c>
      <c r="T406" t="s">
        <v>2059</v>
      </c>
      <c r="U406" t="s">
        <v>2060</v>
      </c>
      <c r="V406" t="s">
        <v>1288</v>
      </c>
      <c r="W406" t="s">
        <v>2061</v>
      </c>
      <c r="X406" t="s">
        <v>2062</v>
      </c>
    </row>
    <row r="407" spans="1:24" x14ac:dyDescent="0.25">
      <c r="A407" t="s">
        <v>42</v>
      </c>
      <c r="B407" t="s">
        <v>2078</v>
      </c>
      <c r="C407" t="s">
        <v>405</v>
      </c>
      <c r="D407" t="s">
        <v>403</v>
      </c>
      <c r="E407" t="s">
        <v>1011</v>
      </c>
      <c r="F407">
        <v>2858</v>
      </c>
      <c r="G407" t="s">
        <v>2055</v>
      </c>
      <c r="H407" t="s">
        <v>2079</v>
      </c>
      <c r="I407" t="s">
        <v>2071</v>
      </c>
      <c r="J407" t="s">
        <v>2058</v>
      </c>
      <c r="K407" t="s">
        <v>1087</v>
      </c>
      <c r="L407" t="s">
        <v>1088</v>
      </c>
      <c r="M407" t="s">
        <v>1056</v>
      </c>
      <c r="N407" t="s">
        <v>1089</v>
      </c>
      <c r="O407" t="s">
        <v>1068</v>
      </c>
      <c r="P407" t="s">
        <v>1090</v>
      </c>
      <c r="Q407" t="b">
        <v>0</v>
      </c>
      <c r="R407" t="b">
        <v>1</v>
      </c>
      <c r="S407" t="s">
        <v>1286</v>
      </c>
      <c r="T407" t="s">
        <v>2059</v>
      </c>
      <c r="U407" t="s">
        <v>2060</v>
      </c>
      <c r="V407" t="s">
        <v>1288</v>
      </c>
      <c r="W407" t="s">
        <v>2061</v>
      </c>
      <c r="X407" t="s">
        <v>2062</v>
      </c>
    </row>
    <row r="408" spans="1:24" x14ac:dyDescent="0.25">
      <c r="A408" t="s">
        <v>42</v>
      </c>
      <c r="B408" t="s">
        <v>2080</v>
      </c>
      <c r="C408" t="s">
        <v>405</v>
      </c>
      <c r="D408" t="s">
        <v>403</v>
      </c>
      <c r="E408" t="s">
        <v>1013</v>
      </c>
      <c r="F408">
        <v>3286</v>
      </c>
      <c r="G408" t="s">
        <v>2055</v>
      </c>
      <c r="H408" t="s">
        <v>2081</v>
      </c>
      <c r="I408" t="s">
        <v>2057</v>
      </c>
      <c r="J408" t="s">
        <v>2058</v>
      </c>
      <c r="K408" t="s">
        <v>1094</v>
      </c>
      <c r="L408" t="s">
        <v>1095</v>
      </c>
      <c r="M408" t="s">
        <v>1028</v>
      </c>
      <c r="N408" t="s">
        <v>1096</v>
      </c>
      <c r="O408" t="s">
        <v>1097</v>
      </c>
      <c r="P408" t="s">
        <v>1098</v>
      </c>
      <c r="Q408" t="b">
        <v>1</v>
      </c>
      <c r="R408" t="b">
        <v>0</v>
      </c>
      <c r="S408" t="s">
        <v>994</v>
      </c>
      <c r="T408" t="s">
        <v>2059</v>
      </c>
      <c r="U408" t="s">
        <v>2060</v>
      </c>
      <c r="V408" t="s">
        <v>1288</v>
      </c>
      <c r="W408" t="s">
        <v>2061</v>
      </c>
      <c r="X408" t="s">
        <v>2062</v>
      </c>
    </row>
    <row r="409" spans="1:24" x14ac:dyDescent="0.25">
      <c r="A409" t="s">
        <v>42</v>
      </c>
      <c r="B409" t="s">
        <v>2082</v>
      </c>
      <c r="C409" t="s">
        <v>405</v>
      </c>
      <c r="D409" t="s">
        <v>403</v>
      </c>
      <c r="E409" t="s">
        <v>1015</v>
      </c>
      <c r="F409">
        <v>3226</v>
      </c>
      <c r="G409" t="s">
        <v>2055</v>
      </c>
      <c r="H409" t="s">
        <v>2083</v>
      </c>
      <c r="I409" t="s">
        <v>2065</v>
      </c>
      <c r="J409" t="s">
        <v>2058</v>
      </c>
      <c r="K409" t="s">
        <v>1102</v>
      </c>
      <c r="L409" t="s">
        <v>1103</v>
      </c>
      <c r="M409" t="s">
        <v>1028</v>
      </c>
      <c r="N409" t="s">
        <v>1104</v>
      </c>
      <c r="O409" t="s">
        <v>1097</v>
      </c>
      <c r="P409" t="s">
        <v>1106</v>
      </c>
      <c r="Q409" t="b">
        <v>1</v>
      </c>
      <c r="R409" t="b">
        <v>0</v>
      </c>
      <c r="S409" t="s">
        <v>994</v>
      </c>
      <c r="T409" t="s">
        <v>2059</v>
      </c>
      <c r="U409" t="s">
        <v>2060</v>
      </c>
      <c r="V409" t="s">
        <v>1288</v>
      </c>
      <c r="W409" t="s">
        <v>2061</v>
      </c>
      <c r="X409" t="s">
        <v>2062</v>
      </c>
    </row>
    <row r="410" spans="1:24" x14ac:dyDescent="0.25">
      <c r="A410" t="s">
        <v>42</v>
      </c>
      <c r="B410" t="s">
        <v>2084</v>
      </c>
      <c r="C410" t="s">
        <v>405</v>
      </c>
      <c r="D410" t="s">
        <v>403</v>
      </c>
      <c r="E410" t="s">
        <v>1017</v>
      </c>
      <c r="F410">
        <v>3168</v>
      </c>
      <c r="G410" t="s">
        <v>2055</v>
      </c>
      <c r="H410" t="s">
        <v>2085</v>
      </c>
      <c r="I410" t="s">
        <v>2068</v>
      </c>
      <c r="J410" t="s">
        <v>2058</v>
      </c>
      <c r="K410" t="s">
        <v>1109</v>
      </c>
      <c r="L410" t="s">
        <v>1110</v>
      </c>
      <c r="M410" t="s">
        <v>1028</v>
      </c>
      <c r="N410" t="s">
        <v>1111</v>
      </c>
      <c r="O410" t="s">
        <v>1097</v>
      </c>
      <c r="P410" t="s">
        <v>1113</v>
      </c>
      <c r="Q410" t="b">
        <v>1</v>
      </c>
      <c r="R410" t="b">
        <v>0</v>
      </c>
      <c r="S410" t="s">
        <v>994</v>
      </c>
      <c r="T410" t="s">
        <v>2059</v>
      </c>
      <c r="U410" t="s">
        <v>2060</v>
      </c>
      <c r="V410" t="s">
        <v>1288</v>
      </c>
      <c r="W410" t="s">
        <v>2061</v>
      </c>
      <c r="X410" t="s">
        <v>2062</v>
      </c>
    </row>
    <row r="411" spans="1:24" x14ac:dyDescent="0.25">
      <c r="A411" t="s">
        <v>42</v>
      </c>
      <c r="B411" t="s">
        <v>2086</v>
      </c>
      <c r="C411" t="s">
        <v>405</v>
      </c>
      <c r="D411" t="s">
        <v>403</v>
      </c>
      <c r="E411" t="s">
        <v>1019</v>
      </c>
      <c r="F411">
        <v>3183</v>
      </c>
      <c r="G411" t="s">
        <v>2055</v>
      </c>
      <c r="H411" t="s">
        <v>2087</v>
      </c>
      <c r="I411" t="s">
        <v>2071</v>
      </c>
      <c r="J411" t="s">
        <v>2058</v>
      </c>
      <c r="K411" t="s">
        <v>1116</v>
      </c>
      <c r="L411" t="s">
        <v>1117</v>
      </c>
      <c r="M411" t="s">
        <v>1056</v>
      </c>
      <c r="N411" t="s">
        <v>1118</v>
      </c>
      <c r="O411" t="s">
        <v>1097</v>
      </c>
      <c r="P411" t="s">
        <v>1119</v>
      </c>
      <c r="Q411" t="b">
        <v>0</v>
      </c>
      <c r="R411" t="b">
        <v>1</v>
      </c>
      <c r="S411" t="s">
        <v>1286</v>
      </c>
      <c r="T411" t="s">
        <v>2059</v>
      </c>
      <c r="U411" t="s">
        <v>2060</v>
      </c>
      <c r="V411" t="s">
        <v>1288</v>
      </c>
      <c r="W411" t="s">
        <v>2061</v>
      </c>
      <c r="X411" t="s">
        <v>2062</v>
      </c>
    </row>
    <row r="412" spans="1:24" x14ac:dyDescent="0.25">
      <c r="A412" t="s">
        <v>42</v>
      </c>
      <c r="B412" t="s">
        <v>2088</v>
      </c>
      <c r="C412" t="s">
        <v>405</v>
      </c>
      <c r="D412" t="s">
        <v>403</v>
      </c>
      <c r="E412" t="s">
        <v>1021</v>
      </c>
      <c r="F412">
        <v>3594</v>
      </c>
      <c r="G412" t="s">
        <v>2055</v>
      </c>
      <c r="H412" t="s">
        <v>2089</v>
      </c>
      <c r="I412" t="s">
        <v>2057</v>
      </c>
      <c r="J412" t="s">
        <v>2058</v>
      </c>
      <c r="K412" t="s">
        <v>1123</v>
      </c>
      <c r="L412" t="s">
        <v>1124</v>
      </c>
      <c r="M412" t="s">
        <v>1028</v>
      </c>
      <c r="N412" t="s">
        <v>1125</v>
      </c>
      <c r="O412" t="s">
        <v>1126</v>
      </c>
      <c r="P412" t="s">
        <v>1127</v>
      </c>
      <c r="Q412" t="b">
        <v>1</v>
      </c>
      <c r="R412" t="b">
        <v>0</v>
      </c>
      <c r="S412" t="s">
        <v>994</v>
      </c>
      <c r="T412" t="s">
        <v>2059</v>
      </c>
      <c r="U412" t="s">
        <v>2060</v>
      </c>
      <c r="V412" t="s">
        <v>1288</v>
      </c>
      <c r="W412" t="s">
        <v>2061</v>
      </c>
      <c r="X412" t="s">
        <v>2062</v>
      </c>
    </row>
    <row r="413" spans="1:24" x14ac:dyDescent="0.25">
      <c r="A413" t="s">
        <v>42</v>
      </c>
      <c r="B413" t="s">
        <v>2090</v>
      </c>
      <c r="C413" t="s">
        <v>405</v>
      </c>
      <c r="D413" t="s">
        <v>403</v>
      </c>
      <c r="E413" t="s">
        <v>1129</v>
      </c>
      <c r="F413">
        <v>3528</v>
      </c>
      <c r="G413" t="s">
        <v>2055</v>
      </c>
      <c r="H413" t="s">
        <v>2091</v>
      </c>
      <c r="I413" t="s">
        <v>2065</v>
      </c>
      <c r="J413" t="s">
        <v>2058</v>
      </c>
      <c r="K413" t="s">
        <v>1131</v>
      </c>
      <c r="L413" t="s">
        <v>1132</v>
      </c>
      <c r="M413" t="s">
        <v>1028</v>
      </c>
      <c r="N413" t="s">
        <v>1133</v>
      </c>
      <c r="O413" t="s">
        <v>1126</v>
      </c>
      <c r="P413" t="s">
        <v>1135</v>
      </c>
      <c r="Q413" t="b">
        <v>0</v>
      </c>
      <c r="R413" t="b">
        <v>1</v>
      </c>
      <c r="S413" t="s">
        <v>1286</v>
      </c>
      <c r="T413" t="s">
        <v>2059</v>
      </c>
      <c r="U413" t="s">
        <v>2060</v>
      </c>
      <c r="V413" t="s">
        <v>1288</v>
      </c>
      <c r="W413" t="s">
        <v>2061</v>
      </c>
      <c r="X413" t="s">
        <v>2062</v>
      </c>
    </row>
    <row r="414" spans="1:24" x14ac:dyDescent="0.25">
      <c r="A414" t="s">
        <v>42</v>
      </c>
      <c r="B414" t="s">
        <v>2092</v>
      </c>
      <c r="C414" t="s">
        <v>403</v>
      </c>
      <c r="D414" t="s">
        <v>352</v>
      </c>
      <c r="E414" t="s">
        <v>990</v>
      </c>
      <c r="F414">
        <v>0</v>
      </c>
      <c r="G414" t="s">
        <v>982</v>
      </c>
      <c r="H414" t="s">
        <v>992</v>
      </c>
      <c r="I414" t="s">
        <v>992</v>
      </c>
      <c r="J414" t="s">
        <v>2058</v>
      </c>
      <c r="K414" t="s">
        <v>992</v>
      </c>
      <c r="L414" t="s">
        <v>992</v>
      </c>
      <c r="M414" t="s">
        <v>992</v>
      </c>
      <c r="N414" t="s">
        <v>992</v>
      </c>
      <c r="O414" t="s">
        <v>992</v>
      </c>
      <c r="P414" t="s">
        <v>992</v>
      </c>
      <c r="Q414" t="b">
        <v>0</v>
      </c>
      <c r="R414" t="b">
        <v>1</v>
      </c>
      <c r="S414" t="s">
        <v>1286</v>
      </c>
      <c r="T414" t="s">
        <v>1287</v>
      </c>
      <c r="U414" t="s">
        <v>994</v>
      </c>
      <c r="V414" t="s">
        <v>1288</v>
      </c>
      <c r="W414" t="s">
        <v>1289</v>
      </c>
      <c r="X414" t="s">
        <v>1290</v>
      </c>
    </row>
    <row r="415" spans="1:24" x14ac:dyDescent="0.25">
      <c r="A415" t="s">
        <v>42</v>
      </c>
      <c r="B415" t="s">
        <v>2093</v>
      </c>
      <c r="C415" t="s">
        <v>403</v>
      </c>
      <c r="D415" t="s">
        <v>352</v>
      </c>
      <c r="E415" t="s">
        <v>999</v>
      </c>
      <c r="F415">
        <v>5405</v>
      </c>
      <c r="G415" t="s">
        <v>982</v>
      </c>
      <c r="H415" t="s">
        <v>992</v>
      </c>
      <c r="I415" t="s">
        <v>992</v>
      </c>
      <c r="J415" t="s">
        <v>2058</v>
      </c>
      <c r="K415" t="s">
        <v>992</v>
      </c>
      <c r="L415" t="s">
        <v>992</v>
      </c>
      <c r="M415" t="s">
        <v>992</v>
      </c>
      <c r="N415" t="s">
        <v>992</v>
      </c>
      <c r="O415" t="s">
        <v>992</v>
      </c>
      <c r="P415" t="s">
        <v>992</v>
      </c>
      <c r="Q415" t="b">
        <v>0</v>
      </c>
      <c r="R415" t="b">
        <v>1</v>
      </c>
      <c r="S415" t="s">
        <v>1286</v>
      </c>
      <c r="T415" t="s">
        <v>1287</v>
      </c>
      <c r="U415" t="s">
        <v>994</v>
      </c>
      <c r="V415" t="s">
        <v>1288</v>
      </c>
      <c r="W415" t="s">
        <v>1289</v>
      </c>
      <c r="X415" t="s">
        <v>1290</v>
      </c>
    </row>
    <row r="416" spans="1:24" x14ac:dyDescent="0.25">
      <c r="A416" t="s">
        <v>42</v>
      </c>
      <c r="B416" t="s">
        <v>2094</v>
      </c>
      <c r="C416" t="s">
        <v>403</v>
      </c>
      <c r="D416" t="s">
        <v>352</v>
      </c>
      <c r="E416" t="s">
        <v>1001</v>
      </c>
      <c r="F416">
        <v>5517</v>
      </c>
      <c r="G416" t="s">
        <v>982</v>
      </c>
      <c r="H416" t="s">
        <v>992</v>
      </c>
      <c r="I416" t="s">
        <v>992</v>
      </c>
      <c r="J416" t="s">
        <v>2058</v>
      </c>
      <c r="K416" t="s">
        <v>992</v>
      </c>
      <c r="L416" t="s">
        <v>992</v>
      </c>
      <c r="M416" t="s">
        <v>992</v>
      </c>
      <c r="N416" t="s">
        <v>992</v>
      </c>
      <c r="O416" t="s">
        <v>992</v>
      </c>
      <c r="P416" t="s">
        <v>992</v>
      </c>
      <c r="Q416" t="b">
        <v>0</v>
      </c>
      <c r="R416" t="b">
        <v>1</v>
      </c>
      <c r="S416" t="s">
        <v>1286</v>
      </c>
      <c r="T416" t="s">
        <v>1287</v>
      </c>
      <c r="U416" t="s">
        <v>994</v>
      </c>
      <c r="V416" t="s">
        <v>1288</v>
      </c>
      <c r="W416" t="s">
        <v>1289</v>
      </c>
      <c r="X416" t="s">
        <v>1290</v>
      </c>
    </row>
    <row r="417" spans="1:24" x14ac:dyDescent="0.25">
      <c r="A417" t="s">
        <v>42</v>
      </c>
      <c r="B417" t="s">
        <v>2095</v>
      </c>
      <c r="C417" t="s">
        <v>403</v>
      </c>
      <c r="D417" t="s">
        <v>352</v>
      </c>
      <c r="E417" t="s">
        <v>1003</v>
      </c>
      <c r="F417">
        <v>5156</v>
      </c>
      <c r="G417" t="s">
        <v>982</v>
      </c>
      <c r="H417" t="s">
        <v>992</v>
      </c>
      <c r="I417" t="s">
        <v>992</v>
      </c>
      <c r="J417" t="s">
        <v>2058</v>
      </c>
      <c r="K417" t="s">
        <v>992</v>
      </c>
      <c r="L417" t="s">
        <v>992</v>
      </c>
      <c r="M417" t="s">
        <v>992</v>
      </c>
      <c r="N417" t="s">
        <v>992</v>
      </c>
      <c r="O417" t="s">
        <v>992</v>
      </c>
      <c r="P417" t="s">
        <v>992</v>
      </c>
      <c r="Q417" t="b">
        <v>0</v>
      </c>
      <c r="R417" t="b">
        <v>1</v>
      </c>
      <c r="S417" t="s">
        <v>1286</v>
      </c>
      <c r="T417" t="s">
        <v>1287</v>
      </c>
      <c r="U417" t="s">
        <v>994</v>
      </c>
      <c r="V417" t="s">
        <v>1288</v>
      </c>
      <c r="W417" t="s">
        <v>1289</v>
      </c>
      <c r="X417" t="s">
        <v>1290</v>
      </c>
    </row>
    <row r="418" spans="1:24" x14ac:dyDescent="0.25">
      <c r="A418" t="s">
        <v>42</v>
      </c>
      <c r="B418" t="s">
        <v>2096</v>
      </c>
      <c r="C418" t="s">
        <v>403</v>
      </c>
      <c r="D418" t="s">
        <v>352</v>
      </c>
      <c r="E418" t="s">
        <v>1005</v>
      </c>
      <c r="F418">
        <v>3452</v>
      </c>
      <c r="G418" t="s">
        <v>982</v>
      </c>
      <c r="H418" t="s">
        <v>992</v>
      </c>
      <c r="I418" t="s">
        <v>992</v>
      </c>
      <c r="J418" t="s">
        <v>2058</v>
      </c>
      <c r="K418" t="s">
        <v>992</v>
      </c>
      <c r="L418" t="s">
        <v>992</v>
      </c>
      <c r="M418" t="s">
        <v>992</v>
      </c>
      <c r="N418" t="s">
        <v>992</v>
      </c>
      <c r="O418" t="s">
        <v>992</v>
      </c>
      <c r="P418" t="s">
        <v>992</v>
      </c>
      <c r="Q418" t="b">
        <v>0</v>
      </c>
      <c r="R418" t="b">
        <v>1</v>
      </c>
      <c r="S418" t="s">
        <v>1286</v>
      </c>
      <c r="T418" t="s">
        <v>1287</v>
      </c>
      <c r="U418" t="s">
        <v>994</v>
      </c>
      <c r="V418" t="s">
        <v>1288</v>
      </c>
      <c r="W418" t="s">
        <v>1289</v>
      </c>
      <c r="X418" t="s">
        <v>1290</v>
      </c>
    </row>
    <row r="419" spans="1:24" x14ac:dyDescent="0.25">
      <c r="A419" t="s">
        <v>42</v>
      </c>
      <c r="B419" t="s">
        <v>2097</v>
      </c>
      <c r="C419" t="s">
        <v>403</v>
      </c>
      <c r="D419" t="s">
        <v>352</v>
      </c>
      <c r="E419" t="s">
        <v>1007</v>
      </c>
      <c r="F419">
        <v>3095</v>
      </c>
      <c r="G419" t="s">
        <v>982</v>
      </c>
      <c r="H419" t="s">
        <v>992</v>
      </c>
      <c r="I419" t="s">
        <v>992</v>
      </c>
      <c r="J419" t="s">
        <v>2058</v>
      </c>
      <c r="K419" t="s">
        <v>992</v>
      </c>
      <c r="L419" t="s">
        <v>992</v>
      </c>
      <c r="M419" t="s">
        <v>992</v>
      </c>
      <c r="N419" t="s">
        <v>992</v>
      </c>
      <c r="O419" t="s">
        <v>992</v>
      </c>
      <c r="P419" t="s">
        <v>992</v>
      </c>
      <c r="Q419" t="b">
        <v>0</v>
      </c>
      <c r="R419" t="b">
        <v>1</v>
      </c>
      <c r="S419" t="s">
        <v>1286</v>
      </c>
      <c r="T419" t="s">
        <v>1287</v>
      </c>
      <c r="U419" t="s">
        <v>994</v>
      </c>
      <c r="V419" t="s">
        <v>1288</v>
      </c>
      <c r="W419" t="s">
        <v>1289</v>
      </c>
      <c r="X419" t="s">
        <v>1290</v>
      </c>
    </row>
    <row r="420" spans="1:24" x14ac:dyDescent="0.25">
      <c r="A420" t="s">
        <v>42</v>
      </c>
      <c r="B420" t="s">
        <v>2098</v>
      </c>
      <c r="C420" t="s">
        <v>403</v>
      </c>
      <c r="D420" t="s">
        <v>352</v>
      </c>
      <c r="E420" t="s">
        <v>1009</v>
      </c>
      <c r="F420">
        <v>2439</v>
      </c>
      <c r="G420" t="s">
        <v>982</v>
      </c>
      <c r="H420" t="s">
        <v>992</v>
      </c>
      <c r="I420" t="s">
        <v>992</v>
      </c>
      <c r="J420" t="s">
        <v>2058</v>
      </c>
      <c r="K420" t="s">
        <v>992</v>
      </c>
      <c r="L420" t="s">
        <v>992</v>
      </c>
      <c r="M420" t="s">
        <v>992</v>
      </c>
      <c r="N420" t="s">
        <v>992</v>
      </c>
      <c r="O420" t="s">
        <v>992</v>
      </c>
      <c r="P420" t="s">
        <v>992</v>
      </c>
      <c r="Q420" t="b">
        <v>0</v>
      </c>
      <c r="R420" t="b">
        <v>1</v>
      </c>
      <c r="S420" t="s">
        <v>1286</v>
      </c>
      <c r="T420" t="s">
        <v>1287</v>
      </c>
      <c r="U420" t="s">
        <v>994</v>
      </c>
      <c r="V420" t="s">
        <v>1288</v>
      </c>
      <c r="W420" t="s">
        <v>1289</v>
      </c>
      <c r="X420" t="s">
        <v>1290</v>
      </c>
    </row>
    <row r="421" spans="1:24" x14ac:dyDescent="0.25">
      <c r="A421" t="s">
        <v>42</v>
      </c>
      <c r="B421" t="s">
        <v>2099</v>
      </c>
      <c r="C421" t="s">
        <v>403</v>
      </c>
      <c r="D421" t="s">
        <v>352</v>
      </c>
      <c r="E421" t="s">
        <v>1011</v>
      </c>
      <c r="F421">
        <v>2238</v>
      </c>
      <c r="G421" t="s">
        <v>982</v>
      </c>
      <c r="H421" t="s">
        <v>992</v>
      </c>
      <c r="I421" t="s">
        <v>992</v>
      </c>
      <c r="J421" t="s">
        <v>2058</v>
      </c>
      <c r="K421" t="s">
        <v>992</v>
      </c>
      <c r="L421" t="s">
        <v>992</v>
      </c>
      <c r="M421" t="s">
        <v>992</v>
      </c>
      <c r="N421" t="s">
        <v>992</v>
      </c>
      <c r="O421" t="s">
        <v>992</v>
      </c>
      <c r="P421" t="s">
        <v>992</v>
      </c>
      <c r="Q421" t="b">
        <v>0</v>
      </c>
      <c r="R421" t="b">
        <v>1</v>
      </c>
      <c r="S421" t="s">
        <v>1286</v>
      </c>
      <c r="T421" t="s">
        <v>1287</v>
      </c>
      <c r="U421" t="s">
        <v>994</v>
      </c>
      <c r="V421" t="s">
        <v>1288</v>
      </c>
      <c r="W421" t="s">
        <v>1289</v>
      </c>
      <c r="X421" t="s">
        <v>1290</v>
      </c>
    </row>
    <row r="422" spans="1:24" x14ac:dyDescent="0.25">
      <c r="A422" t="s">
        <v>42</v>
      </c>
      <c r="B422" t="s">
        <v>2100</v>
      </c>
      <c r="C422" t="s">
        <v>403</v>
      </c>
      <c r="D422" t="s">
        <v>352</v>
      </c>
      <c r="E422" t="s">
        <v>1013</v>
      </c>
      <c r="F422">
        <v>1727</v>
      </c>
      <c r="G422" t="s">
        <v>982</v>
      </c>
      <c r="H422" t="s">
        <v>992</v>
      </c>
      <c r="I422" t="s">
        <v>992</v>
      </c>
      <c r="J422" t="s">
        <v>2058</v>
      </c>
      <c r="K422" t="s">
        <v>992</v>
      </c>
      <c r="L422" t="s">
        <v>992</v>
      </c>
      <c r="M422" t="s">
        <v>992</v>
      </c>
      <c r="N422" t="s">
        <v>992</v>
      </c>
      <c r="O422" t="s">
        <v>992</v>
      </c>
      <c r="P422" t="s">
        <v>992</v>
      </c>
      <c r="Q422" t="b">
        <v>0</v>
      </c>
      <c r="R422" t="b">
        <v>1</v>
      </c>
      <c r="S422" t="s">
        <v>1286</v>
      </c>
      <c r="T422" t="s">
        <v>1287</v>
      </c>
      <c r="U422" t="s">
        <v>994</v>
      </c>
      <c r="V422" t="s">
        <v>1288</v>
      </c>
      <c r="W422" t="s">
        <v>1289</v>
      </c>
      <c r="X422" t="s">
        <v>1290</v>
      </c>
    </row>
    <row r="423" spans="1:24" x14ac:dyDescent="0.25">
      <c r="A423" t="s">
        <v>42</v>
      </c>
      <c r="B423" t="s">
        <v>2101</v>
      </c>
      <c r="C423" t="s">
        <v>403</v>
      </c>
      <c r="D423" t="s">
        <v>352</v>
      </c>
      <c r="E423" t="s">
        <v>1015</v>
      </c>
      <c r="F423">
        <v>1722</v>
      </c>
      <c r="G423" t="s">
        <v>982</v>
      </c>
      <c r="H423" t="s">
        <v>992</v>
      </c>
      <c r="I423" t="s">
        <v>992</v>
      </c>
      <c r="J423" t="s">
        <v>2058</v>
      </c>
      <c r="K423" t="s">
        <v>992</v>
      </c>
      <c r="L423" t="s">
        <v>992</v>
      </c>
      <c r="M423" t="s">
        <v>992</v>
      </c>
      <c r="N423" t="s">
        <v>992</v>
      </c>
      <c r="O423" t="s">
        <v>992</v>
      </c>
      <c r="P423" t="s">
        <v>992</v>
      </c>
      <c r="Q423" t="b">
        <v>0</v>
      </c>
      <c r="R423" t="b">
        <v>1</v>
      </c>
      <c r="S423" t="s">
        <v>1286</v>
      </c>
      <c r="T423" t="s">
        <v>1287</v>
      </c>
      <c r="U423" t="s">
        <v>994</v>
      </c>
      <c r="V423" t="s">
        <v>1288</v>
      </c>
      <c r="W423" t="s">
        <v>1289</v>
      </c>
      <c r="X423" t="s">
        <v>1290</v>
      </c>
    </row>
    <row r="424" spans="1:24" x14ac:dyDescent="0.25">
      <c r="A424" t="s">
        <v>42</v>
      </c>
      <c r="B424" t="s">
        <v>2102</v>
      </c>
      <c r="C424" t="s">
        <v>403</v>
      </c>
      <c r="D424" t="s">
        <v>352</v>
      </c>
      <c r="E424" t="s">
        <v>1017</v>
      </c>
      <c r="F424">
        <v>4134</v>
      </c>
      <c r="G424" t="s">
        <v>982</v>
      </c>
      <c r="H424" t="s">
        <v>992</v>
      </c>
      <c r="I424" t="s">
        <v>992</v>
      </c>
      <c r="J424" t="s">
        <v>2058</v>
      </c>
      <c r="K424" t="s">
        <v>992</v>
      </c>
      <c r="L424" t="s">
        <v>992</v>
      </c>
      <c r="M424" t="s">
        <v>992</v>
      </c>
      <c r="N424" t="s">
        <v>992</v>
      </c>
      <c r="O424" t="s">
        <v>992</v>
      </c>
      <c r="P424" t="s">
        <v>992</v>
      </c>
      <c r="Q424" t="b">
        <v>0</v>
      </c>
      <c r="R424" t="b">
        <v>1</v>
      </c>
      <c r="S424" t="s">
        <v>1286</v>
      </c>
      <c r="T424" t="s">
        <v>1287</v>
      </c>
      <c r="U424" t="s">
        <v>994</v>
      </c>
      <c r="V424" t="s">
        <v>1288</v>
      </c>
      <c r="W424" t="s">
        <v>1289</v>
      </c>
      <c r="X424" t="s">
        <v>1290</v>
      </c>
    </row>
    <row r="425" spans="1:24" x14ac:dyDescent="0.25">
      <c r="A425" t="s">
        <v>42</v>
      </c>
      <c r="B425" t="s">
        <v>2103</v>
      </c>
      <c r="C425" t="s">
        <v>403</v>
      </c>
      <c r="D425" t="s">
        <v>352</v>
      </c>
      <c r="E425" t="s">
        <v>1019</v>
      </c>
      <c r="F425">
        <v>3942</v>
      </c>
      <c r="G425" t="s">
        <v>982</v>
      </c>
      <c r="H425" t="s">
        <v>992</v>
      </c>
      <c r="I425" t="s">
        <v>992</v>
      </c>
      <c r="J425" t="s">
        <v>2058</v>
      </c>
      <c r="K425" t="s">
        <v>992</v>
      </c>
      <c r="L425" t="s">
        <v>992</v>
      </c>
      <c r="M425" t="s">
        <v>992</v>
      </c>
      <c r="N425" t="s">
        <v>992</v>
      </c>
      <c r="O425" t="s">
        <v>992</v>
      </c>
      <c r="P425" t="s">
        <v>992</v>
      </c>
      <c r="Q425" t="b">
        <v>0</v>
      </c>
      <c r="R425" t="b">
        <v>1</v>
      </c>
      <c r="S425" t="s">
        <v>1286</v>
      </c>
      <c r="T425" t="s">
        <v>1287</v>
      </c>
      <c r="U425" t="s">
        <v>994</v>
      </c>
      <c r="V425" t="s">
        <v>1288</v>
      </c>
      <c r="W425" t="s">
        <v>1289</v>
      </c>
      <c r="X425" t="s">
        <v>1290</v>
      </c>
    </row>
    <row r="426" spans="1:24" x14ac:dyDescent="0.25">
      <c r="A426" t="s">
        <v>42</v>
      </c>
      <c r="B426" t="s">
        <v>2104</v>
      </c>
      <c r="C426" t="s">
        <v>403</v>
      </c>
      <c r="D426" t="s">
        <v>352</v>
      </c>
      <c r="E426" t="s">
        <v>1021</v>
      </c>
      <c r="F426">
        <v>1117</v>
      </c>
      <c r="G426" t="s">
        <v>982</v>
      </c>
      <c r="H426" t="s">
        <v>992</v>
      </c>
      <c r="I426" t="s">
        <v>992</v>
      </c>
      <c r="J426" t="s">
        <v>2058</v>
      </c>
      <c r="K426" t="s">
        <v>992</v>
      </c>
      <c r="L426" t="s">
        <v>992</v>
      </c>
      <c r="M426" t="s">
        <v>992</v>
      </c>
      <c r="N426" t="s">
        <v>992</v>
      </c>
      <c r="O426" t="s">
        <v>992</v>
      </c>
      <c r="P426" t="s">
        <v>992</v>
      </c>
      <c r="Q426" t="b">
        <v>0</v>
      </c>
      <c r="R426" t="b">
        <v>1</v>
      </c>
      <c r="S426" t="s">
        <v>1286</v>
      </c>
      <c r="T426" t="s">
        <v>1287</v>
      </c>
      <c r="U426" t="s">
        <v>994</v>
      </c>
      <c r="V426" t="s">
        <v>1288</v>
      </c>
      <c r="W426" t="s">
        <v>1289</v>
      </c>
      <c r="X426" t="s">
        <v>1290</v>
      </c>
    </row>
    <row r="427" spans="1:24" x14ac:dyDescent="0.25">
      <c r="A427" t="s">
        <v>42</v>
      </c>
      <c r="B427" t="s">
        <v>2105</v>
      </c>
      <c r="C427" t="s">
        <v>403</v>
      </c>
      <c r="D427" t="s">
        <v>352</v>
      </c>
      <c r="E427" t="s">
        <v>1129</v>
      </c>
      <c r="F427">
        <v>98</v>
      </c>
      <c r="G427" t="s">
        <v>982</v>
      </c>
      <c r="H427" t="s">
        <v>992</v>
      </c>
      <c r="I427" t="s">
        <v>992</v>
      </c>
      <c r="J427" t="s">
        <v>2058</v>
      </c>
      <c r="K427" t="s">
        <v>992</v>
      </c>
      <c r="L427" t="s">
        <v>992</v>
      </c>
      <c r="M427" t="s">
        <v>992</v>
      </c>
      <c r="N427" t="s">
        <v>992</v>
      </c>
      <c r="O427" t="s">
        <v>992</v>
      </c>
      <c r="P427" t="s">
        <v>992</v>
      </c>
      <c r="Q427" t="b">
        <v>0</v>
      </c>
      <c r="R427" t="b">
        <v>1</v>
      </c>
      <c r="S427" t="s">
        <v>1286</v>
      </c>
      <c r="T427" t="s">
        <v>1287</v>
      </c>
      <c r="U427" t="s">
        <v>994</v>
      </c>
      <c r="V427" t="s">
        <v>1288</v>
      </c>
      <c r="W427" t="s">
        <v>1289</v>
      </c>
      <c r="X427" t="s">
        <v>1290</v>
      </c>
    </row>
    <row r="428" spans="1:24" x14ac:dyDescent="0.25">
      <c r="A428" t="s">
        <v>42</v>
      </c>
      <c r="B428" t="s">
        <v>2106</v>
      </c>
      <c r="C428" t="s">
        <v>408</v>
      </c>
      <c r="D428" t="s">
        <v>352</v>
      </c>
      <c r="E428" t="s">
        <v>990</v>
      </c>
      <c r="F428">
        <v>-3768</v>
      </c>
      <c r="G428" t="s">
        <v>1023</v>
      </c>
      <c r="H428" t="s">
        <v>2107</v>
      </c>
      <c r="I428" t="s">
        <v>2108</v>
      </c>
      <c r="J428" t="s">
        <v>2058</v>
      </c>
      <c r="K428" t="s">
        <v>1026</v>
      </c>
      <c r="L428" t="s">
        <v>1027</v>
      </c>
      <c r="M428" t="s">
        <v>1028</v>
      </c>
      <c r="N428" t="s">
        <v>1029</v>
      </c>
      <c r="O428" t="s">
        <v>1030</v>
      </c>
      <c r="P428" t="s">
        <v>1031</v>
      </c>
      <c r="Q428" t="b">
        <v>1</v>
      </c>
      <c r="R428" t="b">
        <v>0</v>
      </c>
      <c r="S428" t="s">
        <v>1032</v>
      </c>
      <c r="T428" t="s">
        <v>992</v>
      </c>
      <c r="U428" t="s">
        <v>1033</v>
      </c>
      <c r="V428" t="s">
        <v>995</v>
      </c>
      <c r="W428" t="s">
        <v>1034</v>
      </c>
      <c r="X428" t="s">
        <v>2109</v>
      </c>
    </row>
    <row r="429" spans="1:24" x14ac:dyDescent="0.25">
      <c r="A429" t="s">
        <v>42</v>
      </c>
      <c r="B429" t="s">
        <v>2110</v>
      </c>
      <c r="C429" t="s">
        <v>408</v>
      </c>
      <c r="D429" t="s">
        <v>352</v>
      </c>
      <c r="E429" t="s">
        <v>999</v>
      </c>
      <c r="F429">
        <v>-3650</v>
      </c>
      <c r="G429" t="s">
        <v>1085</v>
      </c>
      <c r="H429" t="s">
        <v>2111</v>
      </c>
      <c r="I429" t="s">
        <v>2112</v>
      </c>
      <c r="J429" t="s">
        <v>2058</v>
      </c>
      <c r="K429" t="s">
        <v>1038</v>
      </c>
      <c r="L429" t="s">
        <v>1039</v>
      </c>
      <c r="M429" t="s">
        <v>1028</v>
      </c>
      <c r="N429" t="s">
        <v>1040</v>
      </c>
      <c r="O429" t="s">
        <v>1030</v>
      </c>
      <c r="P429" t="s">
        <v>1042</v>
      </c>
      <c r="Q429" t="b">
        <v>1</v>
      </c>
      <c r="R429" t="b">
        <v>0</v>
      </c>
      <c r="S429" t="s">
        <v>1032</v>
      </c>
      <c r="T429" t="s">
        <v>992</v>
      </c>
      <c r="U429" t="s">
        <v>1033</v>
      </c>
      <c r="V429" t="s">
        <v>1061</v>
      </c>
      <c r="W429" t="s">
        <v>1034</v>
      </c>
      <c r="X429" t="s">
        <v>2113</v>
      </c>
    </row>
    <row r="430" spans="1:24" x14ac:dyDescent="0.25">
      <c r="A430" t="s">
        <v>42</v>
      </c>
      <c r="B430" t="s">
        <v>2114</v>
      </c>
      <c r="C430" t="s">
        <v>408</v>
      </c>
      <c r="D430" t="s">
        <v>352</v>
      </c>
      <c r="E430" t="s">
        <v>1001</v>
      </c>
      <c r="F430">
        <v>-3849</v>
      </c>
      <c r="G430" t="s">
        <v>1085</v>
      </c>
      <c r="H430" t="s">
        <v>2115</v>
      </c>
      <c r="I430" t="s">
        <v>2116</v>
      </c>
      <c r="J430" t="s">
        <v>2058</v>
      </c>
      <c r="K430" t="s">
        <v>1045</v>
      </c>
      <c r="L430" t="s">
        <v>1046</v>
      </c>
      <c r="M430" t="s">
        <v>1028</v>
      </c>
      <c r="N430" t="s">
        <v>1047</v>
      </c>
      <c r="O430" t="s">
        <v>1030</v>
      </c>
      <c r="P430" t="s">
        <v>1049</v>
      </c>
      <c r="Q430" t="b">
        <v>1</v>
      </c>
      <c r="R430" t="b">
        <v>0</v>
      </c>
      <c r="S430" t="s">
        <v>1032</v>
      </c>
      <c r="T430" t="s">
        <v>992</v>
      </c>
      <c r="U430" t="s">
        <v>1033</v>
      </c>
      <c r="V430" t="s">
        <v>1061</v>
      </c>
      <c r="W430" t="s">
        <v>1034</v>
      </c>
      <c r="X430" t="s">
        <v>2117</v>
      </c>
    </row>
    <row r="431" spans="1:24" x14ac:dyDescent="0.25">
      <c r="A431" t="s">
        <v>42</v>
      </c>
      <c r="B431" t="s">
        <v>2118</v>
      </c>
      <c r="C431" t="s">
        <v>408</v>
      </c>
      <c r="D431" t="s">
        <v>352</v>
      </c>
      <c r="E431" t="s">
        <v>1003</v>
      </c>
      <c r="F431">
        <v>-3758</v>
      </c>
      <c r="G431" t="s">
        <v>1085</v>
      </c>
      <c r="H431" t="s">
        <v>2119</v>
      </c>
      <c r="I431" t="s">
        <v>2120</v>
      </c>
      <c r="J431" t="s">
        <v>2058</v>
      </c>
      <c r="K431" t="s">
        <v>1054</v>
      </c>
      <c r="L431" t="s">
        <v>1055</v>
      </c>
      <c r="M431" t="s">
        <v>1056</v>
      </c>
      <c r="N431" t="s">
        <v>1057</v>
      </c>
      <c r="O431" t="s">
        <v>1030</v>
      </c>
      <c r="P431" t="s">
        <v>1058</v>
      </c>
      <c r="Q431" t="b">
        <v>1</v>
      </c>
      <c r="R431" t="b">
        <v>0</v>
      </c>
      <c r="S431" t="s">
        <v>1032</v>
      </c>
      <c r="T431" t="s">
        <v>992</v>
      </c>
      <c r="U431" t="s">
        <v>1033</v>
      </c>
      <c r="V431" t="s">
        <v>1061</v>
      </c>
      <c r="W431" t="s">
        <v>1034</v>
      </c>
      <c r="X431" t="s">
        <v>2121</v>
      </c>
    </row>
    <row r="432" spans="1:24" x14ac:dyDescent="0.25">
      <c r="A432" t="s">
        <v>42</v>
      </c>
      <c r="B432" t="s">
        <v>2122</v>
      </c>
      <c r="C432" t="s">
        <v>408</v>
      </c>
      <c r="D432" t="s">
        <v>352</v>
      </c>
      <c r="E432" t="s">
        <v>1005</v>
      </c>
      <c r="F432">
        <v>-3825</v>
      </c>
      <c r="G432" t="s">
        <v>1023</v>
      </c>
      <c r="H432" t="s">
        <v>2123</v>
      </c>
      <c r="I432" t="s">
        <v>2108</v>
      </c>
      <c r="J432" t="s">
        <v>2058</v>
      </c>
      <c r="K432" t="s">
        <v>1065</v>
      </c>
      <c r="L432" t="s">
        <v>1066</v>
      </c>
      <c r="M432" t="s">
        <v>1028</v>
      </c>
      <c r="N432" t="s">
        <v>1067</v>
      </c>
      <c r="O432" t="s">
        <v>1068</v>
      </c>
      <c r="P432" t="s">
        <v>1069</v>
      </c>
      <c r="Q432" t="b">
        <v>1</v>
      </c>
      <c r="R432" t="b">
        <v>0</v>
      </c>
      <c r="S432" t="s">
        <v>1032</v>
      </c>
      <c r="T432" t="s">
        <v>992</v>
      </c>
      <c r="U432" t="s">
        <v>1033</v>
      </c>
      <c r="V432" t="s">
        <v>995</v>
      </c>
      <c r="W432" t="s">
        <v>1034</v>
      </c>
      <c r="X432" t="s">
        <v>2109</v>
      </c>
    </row>
    <row r="433" spans="1:24" x14ac:dyDescent="0.25">
      <c r="A433" t="s">
        <v>42</v>
      </c>
      <c r="B433" t="s">
        <v>2124</v>
      </c>
      <c r="C433" t="s">
        <v>408</v>
      </c>
      <c r="D433" t="s">
        <v>352</v>
      </c>
      <c r="E433" t="s">
        <v>1007</v>
      </c>
      <c r="F433">
        <v>-3710</v>
      </c>
      <c r="G433" t="s">
        <v>1085</v>
      </c>
      <c r="H433" t="s">
        <v>2125</v>
      </c>
      <c r="I433" t="s">
        <v>2112</v>
      </c>
      <c r="J433" t="s">
        <v>2058</v>
      </c>
      <c r="K433" t="s">
        <v>1072</v>
      </c>
      <c r="L433" t="s">
        <v>1073</v>
      </c>
      <c r="M433" t="s">
        <v>1028</v>
      </c>
      <c r="N433" t="s">
        <v>1074</v>
      </c>
      <c r="O433" t="s">
        <v>1068</v>
      </c>
      <c r="P433" t="s">
        <v>1076</v>
      </c>
      <c r="Q433" t="b">
        <v>1</v>
      </c>
      <c r="R433" t="b">
        <v>0</v>
      </c>
      <c r="S433" t="s">
        <v>1032</v>
      </c>
      <c r="T433" t="s">
        <v>992</v>
      </c>
      <c r="U433" t="s">
        <v>1033</v>
      </c>
      <c r="V433" t="s">
        <v>1061</v>
      </c>
      <c r="W433" t="s">
        <v>1034</v>
      </c>
      <c r="X433" t="s">
        <v>2126</v>
      </c>
    </row>
    <row r="434" spans="1:24" x14ac:dyDescent="0.25">
      <c r="A434" t="s">
        <v>42</v>
      </c>
      <c r="B434" t="s">
        <v>2127</v>
      </c>
      <c r="C434" t="s">
        <v>408</v>
      </c>
      <c r="D434" t="s">
        <v>352</v>
      </c>
      <c r="E434" t="s">
        <v>1009</v>
      </c>
      <c r="F434">
        <v>-3895</v>
      </c>
      <c r="G434" t="s">
        <v>1085</v>
      </c>
      <c r="H434" t="s">
        <v>2128</v>
      </c>
      <c r="I434" t="s">
        <v>2116</v>
      </c>
      <c r="J434" t="s">
        <v>2058</v>
      </c>
      <c r="K434" t="s">
        <v>1079</v>
      </c>
      <c r="L434" t="s">
        <v>1080</v>
      </c>
      <c r="M434" t="s">
        <v>1028</v>
      </c>
      <c r="N434" t="s">
        <v>1081</v>
      </c>
      <c r="O434" t="s">
        <v>1068</v>
      </c>
      <c r="P434" t="s">
        <v>1083</v>
      </c>
      <c r="Q434" t="b">
        <v>1</v>
      </c>
      <c r="R434" t="b">
        <v>0</v>
      </c>
      <c r="S434" t="s">
        <v>1032</v>
      </c>
      <c r="T434" t="s">
        <v>992</v>
      </c>
      <c r="U434" t="s">
        <v>1033</v>
      </c>
      <c r="V434" t="s">
        <v>1061</v>
      </c>
      <c r="W434" t="s">
        <v>1034</v>
      </c>
      <c r="X434" t="s">
        <v>2129</v>
      </c>
    </row>
    <row r="435" spans="1:24" x14ac:dyDescent="0.25">
      <c r="A435" t="s">
        <v>42</v>
      </c>
      <c r="B435" t="s">
        <v>2130</v>
      </c>
      <c r="C435" t="s">
        <v>408</v>
      </c>
      <c r="D435" t="s">
        <v>352</v>
      </c>
      <c r="E435" t="s">
        <v>1011</v>
      </c>
      <c r="F435">
        <v>-3804</v>
      </c>
      <c r="G435" t="s">
        <v>1085</v>
      </c>
      <c r="H435" t="s">
        <v>2131</v>
      </c>
      <c r="I435" t="s">
        <v>2120</v>
      </c>
      <c r="J435" t="s">
        <v>2058</v>
      </c>
      <c r="K435" t="s">
        <v>1087</v>
      </c>
      <c r="L435" t="s">
        <v>1088</v>
      </c>
      <c r="M435" t="s">
        <v>1056</v>
      </c>
      <c r="N435" t="s">
        <v>1089</v>
      </c>
      <c r="O435" t="s">
        <v>1068</v>
      </c>
      <c r="P435" t="s">
        <v>1090</v>
      </c>
      <c r="Q435" t="b">
        <v>1</v>
      </c>
      <c r="R435" t="b">
        <v>0</v>
      </c>
      <c r="S435" t="s">
        <v>1032</v>
      </c>
      <c r="T435" t="s">
        <v>992</v>
      </c>
      <c r="U435" t="s">
        <v>1033</v>
      </c>
      <c r="V435" t="s">
        <v>1061</v>
      </c>
      <c r="W435" t="s">
        <v>1034</v>
      </c>
      <c r="X435" t="s">
        <v>2132</v>
      </c>
    </row>
    <row r="436" spans="1:24" x14ac:dyDescent="0.25">
      <c r="A436" t="s">
        <v>42</v>
      </c>
      <c r="B436" t="s">
        <v>2133</v>
      </c>
      <c r="C436" t="s">
        <v>408</v>
      </c>
      <c r="D436" t="s">
        <v>352</v>
      </c>
      <c r="E436" t="s">
        <v>1013</v>
      </c>
      <c r="F436">
        <v>-3856</v>
      </c>
      <c r="G436" t="s">
        <v>1023</v>
      </c>
      <c r="H436" t="s">
        <v>2134</v>
      </c>
      <c r="I436" t="s">
        <v>2108</v>
      </c>
      <c r="J436" t="s">
        <v>2058</v>
      </c>
      <c r="K436" t="s">
        <v>1094</v>
      </c>
      <c r="L436" t="s">
        <v>1095</v>
      </c>
      <c r="M436" t="s">
        <v>1028</v>
      </c>
      <c r="N436" t="s">
        <v>1096</v>
      </c>
      <c r="O436" t="s">
        <v>1097</v>
      </c>
      <c r="P436" t="s">
        <v>1098</v>
      </c>
      <c r="Q436" t="b">
        <v>1</v>
      </c>
      <c r="R436" t="b">
        <v>0</v>
      </c>
      <c r="S436" t="s">
        <v>1032</v>
      </c>
      <c r="T436" t="s">
        <v>992</v>
      </c>
      <c r="U436" t="s">
        <v>1033</v>
      </c>
      <c r="V436" t="s">
        <v>995</v>
      </c>
      <c r="W436" t="s">
        <v>1034</v>
      </c>
      <c r="X436" t="s">
        <v>2109</v>
      </c>
    </row>
    <row r="437" spans="1:24" x14ac:dyDescent="0.25">
      <c r="A437" t="s">
        <v>42</v>
      </c>
      <c r="B437" t="s">
        <v>2135</v>
      </c>
      <c r="C437" t="s">
        <v>408</v>
      </c>
      <c r="D437" t="s">
        <v>352</v>
      </c>
      <c r="E437" t="s">
        <v>1015</v>
      </c>
      <c r="F437">
        <v>-3758</v>
      </c>
      <c r="G437" t="s">
        <v>1085</v>
      </c>
      <c r="H437" t="s">
        <v>2119</v>
      </c>
      <c r="I437" t="s">
        <v>2112</v>
      </c>
      <c r="J437" t="s">
        <v>2058</v>
      </c>
      <c r="K437" t="s">
        <v>1102</v>
      </c>
      <c r="L437" t="s">
        <v>1103</v>
      </c>
      <c r="M437" t="s">
        <v>1028</v>
      </c>
      <c r="N437" t="s">
        <v>1104</v>
      </c>
      <c r="O437" t="s">
        <v>1097</v>
      </c>
      <c r="P437" t="s">
        <v>1106</v>
      </c>
      <c r="Q437" t="b">
        <v>1</v>
      </c>
      <c r="R437" t="b">
        <v>0</v>
      </c>
      <c r="S437" t="s">
        <v>1032</v>
      </c>
      <c r="T437" t="s">
        <v>992</v>
      </c>
      <c r="U437" t="s">
        <v>1033</v>
      </c>
      <c r="V437" t="s">
        <v>1061</v>
      </c>
      <c r="W437" t="s">
        <v>1034</v>
      </c>
      <c r="X437" t="s">
        <v>2136</v>
      </c>
    </row>
    <row r="438" spans="1:24" x14ac:dyDescent="0.25">
      <c r="A438" t="s">
        <v>42</v>
      </c>
      <c r="B438" t="s">
        <v>2137</v>
      </c>
      <c r="C438" t="s">
        <v>408</v>
      </c>
      <c r="D438" t="s">
        <v>352</v>
      </c>
      <c r="E438" t="s">
        <v>1017</v>
      </c>
      <c r="F438">
        <v>-3945</v>
      </c>
      <c r="G438" t="s">
        <v>1085</v>
      </c>
      <c r="H438" t="s">
        <v>2138</v>
      </c>
      <c r="I438" t="s">
        <v>2116</v>
      </c>
      <c r="J438" t="s">
        <v>2058</v>
      </c>
      <c r="K438" t="s">
        <v>1109</v>
      </c>
      <c r="L438" t="s">
        <v>1110</v>
      </c>
      <c r="M438" t="s">
        <v>1028</v>
      </c>
      <c r="N438" t="s">
        <v>1111</v>
      </c>
      <c r="O438" t="s">
        <v>1097</v>
      </c>
      <c r="P438" t="s">
        <v>1113</v>
      </c>
      <c r="Q438" t="b">
        <v>1</v>
      </c>
      <c r="R438" t="b">
        <v>0</v>
      </c>
      <c r="S438" t="s">
        <v>1032</v>
      </c>
      <c r="T438" t="s">
        <v>992</v>
      </c>
      <c r="U438" t="s">
        <v>1033</v>
      </c>
      <c r="V438" t="s">
        <v>1061</v>
      </c>
      <c r="W438" t="s">
        <v>1034</v>
      </c>
      <c r="X438" t="s">
        <v>2139</v>
      </c>
    </row>
    <row r="439" spans="1:24" x14ac:dyDescent="0.25">
      <c r="A439" t="s">
        <v>42</v>
      </c>
      <c r="B439" t="s">
        <v>2140</v>
      </c>
      <c r="C439" t="s">
        <v>408</v>
      </c>
      <c r="D439" t="s">
        <v>352</v>
      </c>
      <c r="E439" t="s">
        <v>1019</v>
      </c>
      <c r="F439">
        <v>-3862</v>
      </c>
      <c r="G439" t="s">
        <v>1085</v>
      </c>
      <c r="H439" t="s">
        <v>2141</v>
      </c>
      <c r="I439" t="s">
        <v>2120</v>
      </c>
      <c r="J439" t="s">
        <v>2058</v>
      </c>
      <c r="K439" t="s">
        <v>1116</v>
      </c>
      <c r="L439" t="s">
        <v>1117</v>
      </c>
      <c r="M439" t="s">
        <v>1056</v>
      </c>
      <c r="N439" t="s">
        <v>1118</v>
      </c>
      <c r="O439" t="s">
        <v>1097</v>
      </c>
      <c r="P439" t="s">
        <v>1119</v>
      </c>
      <c r="Q439" t="b">
        <v>1</v>
      </c>
      <c r="R439" t="b">
        <v>0</v>
      </c>
      <c r="S439" t="s">
        <v>1032</v>
      </c>
      <c r="T439" t="s">
        <v>992</v>
      </c>
      <c r="U439" t="s">
        <v>1033</v>
      </c>
      <c r="V439" t="s">
        <v>1061</v>
      </c>
      <c r="W439" t="s">
        <v>1034</v>
      </c>
      <c r="X439" t="s">
        <v>2142</v>
      </c>
    </row>
    <row r="440" spans="1:24" x14ac:dyDescent="0.25">
      <c r="A440" t="s">
        <v>42</v>
      </c>
      <c r="B440" t="s">
        <v>2143</v>
      </c>
      <c r="C440" t="s">
        <v>408</v>
      </c>
      <c r="D440" t="s">
        <v>352</v>
      </c>
      <c r="E440" t="s">
        <v>1021</v>
      </c>
      <c r="F440">
        <v>-3921</v>
      </c>
      <c r="G440" t="s">
        <v>1023</v>
      </c>
      <c r="H440" t="s">
        <v>2144</v>
      </c>
      <c r="I440" t="s">
        <v>2108</v>
      </c>
      <c r="J440" t="s">
        <v>2058</v>
      </c>
      <c r="K440" t="s">
        <v>1123</v>
      </c>
      <c r="L440" t="s">
        <v>1124</v>
      </c>
      <c r="M440" t="s">
        <v>1028</v>
      </c>
      <c r="N440" t="s">
        <v>1125</v>
      </c>
      <c r="O440" t="s">
        <v>1126</v>
      </c>
      <c r="P440" t="s">
        <v>1127</v>
      </c>
      <c r="Q440" t="b">
        <v>1</v>
      </c>
      <c r="R440" t="b">
        <v>0</v>
      </c>
      <c r="S440" t="s">
        <v>1032</v>
      </c>
      <c r="T440" t="s">
        <v>992</v>
      </c>
      <c r="U440" t="s">
        <v>1033</v>
      </c>
      <c r="V440" t="s">
        <v>995</v>
      </c>
      <c r="W440" t="s">
        <v>1034</v>
      </c>
      <c r="X440" t="s">
        <v>2109</v>
      </c>
    </row>
    <row r="441" spans="1:24" x14ac:dyDescent="0.25">
      <c r="A441" t="s">
        <v>42</v>
      </c>
      <c r="B441" t="s">
        <v>2145</v>
      </c>
      <c r="C441" t="s">
        <v>408</v>
      </c>
      <c r="D441" t="s">
        <v>352</v>
      </c>
      <c r="E441" t="s">
        <v>1129</v>
      </c>
      <c r="F441">
        <v>-3822</v>
      </c>
      <c r="G441" t="s">
        <v>1051</v>
      </c>
      <c r="H441" t="s">
        <v>2146</v>
      </c>
      <c r="I441" t="s">
        <v>2112</v>
      </c>
      <c r="J441" t="s">
        <v>2058</v>
      </c>
      <c r="K441" t="s">
        <v>1131</v>
      </c>
      <c r="L441" t="s">
        <v>1132</v>
      </c>
      <c r="M441" t="s">
        <v>1028</v>
      </c>
      <c r="N441" t="s">
        <v>1133</v>
      </c>
      <c r="O441" t="s">
        <v>1126</v>
      </c>
      <c r="P441" t="s">
        <v>1135</v>
      </c>
      <c r="Q441" t="b">
        <v>1</v>
      </c>
      <c r="R441" t="b">
        <v>1</v>
      </c>
      <c r="S441" t="s">
        <v>1099</v>
      </c>
      <c r="T441" t="s">
        <v>992</v>
      </c>
      <c r="U441" t="s">
        <v>1060</v>
      </c>
      <c r="V441" t="s">
        <v>1061</v>
      </c>
      <c r="W441" t="s">
        <v>1034</v>
      </c>
      <c r="X441" t="s">
        <v>1062</v>
      </c>
    </row>
    <row r="442" spans="1:24" x14ac:dyDescent="0.25">
      <c r="A442" t="s">
        <v>42</v>
      </c>
      <c r="B442" t="s">
        <v>2147</v>
      </c>
      <c r="C442" t="s">
        <v>403</v>
      </c>
      <c r="D442" t="s">
        <v>410</v>
      </c>
      <c r="E442" t="s">
        <v>990</v>
      </c>
      <c r="F442">
        <v>0</v>
      </c>
      <c r="G442" t="s">
        <v>982</v>
      </c>
      <c r="H442" t="s">
        <v>992</v>
      </c>
      <c r="I442" t="s">
        <v>992</v>
      </c>
      <c r="J442" t="s">
        <v>2058</v>
      </c>
      <c r="K442" t="s">
        <v>992</v>
      </c>
      <c r="L442" t="s">
        <v>992</v>
      </c>
      <c r="M442" t="s">
        <v>992</v>
      </c>
      <c r="N442" t="s">
        <v>992</v>
      </c>
      <c r="O442" t="s">
        <v>992</v>
      </c>
      <c r="P442" t="s">
        <v>992</v>
      </c>
      <c r="Q442" t="b">
        <v>0</v>
      </c>
      <c r="R442" t="b">
        <v>1</v>
      </c>
      <c r="S442" t="s">
        <v>1286</v>
      </c>
      <c r="T442" t="s">
        <v>1287</v>
      </c>
      <c r="U442" t="s">
        <v>994</v>
      </c>
      <c r="V442" t="s">
        <v>1288</v>
      </c>
      <c r="W442" t="s">
        <v>1289</v>
      </c>
      <c r="X442" t="s">
        <v>1290</v>
      </c>
    </row>
    <row r="443" spans="1:24" x14ac:dyDescent="0.25">
      <c r="A443" t="s">
        <v>42</v>
      </c>
      <c r="B443" t="s">
        <v>2148</v>
      </c>
      <c r="C443" t="s">
        <v>403</v>
      </c>
      <c r="D443" t="s">
        <v>410</v>
      </c>
      <c r="E443" t="s">
        <v>999</v>
      </c>
      <c r="F443">
        <v>-71</v>
      </c>
      <c r="G443" t="s">
        <v>982</v>
      </c>
      <c r="H443" t="s">
        <v>992</v>
      </c>
      <c r="I443" t="s">
        <v>992</v>
      </c>
      <c r="J443" t="s">
        <v>2058</v>
      </c>
      <c r="K443" t="s">
        <v>992</v>
      </c>
      <c r="L443" t="s">
        <v>992</v>
      </c>
      <c r="M443" t="s">
        <v>992</v>
      </c>
      <c r="N443" t="s">
        <v>992</v>
      </c>
      <c r="O443" t="s">
        <v>992</v>
      </c>
      <c r="P443" t="s">
        <v>992</v>
      </c>
      <c r="Q443" t="b">
        <v>0</v>
      </c>
      <c r="R443" t="b">
        <v>1</v>
      </c>
      <c r="S443" t="s">
        <v>1286</v>
      </c>
      <c r="T443" t="s">
        <v>1287</v>
      </c>
      <c r="U443" t="s">
        <v>994</v>
      </c>
      <c r="V443" t="s">
        <v>1288</v>
      </c>
      <c r="W443" t="s">
        <v>1289</v>
      </c>
      <c r="X443" t="s">
        <v>1290</v>
      </c>
    </row>
    <row r="444" spans="1:24" x14ac:dyDescent="0.25">
      <c r="A444" t="s">
        <v>42</v>
      </c>
      <c r="B444" t="s">
        <v>2149</v>
      </c>
      <c r="C444" t="s">
        <v>403</v>
      </c>
      <c r="D444" t="s">
        <v>410</v>
      </c>
      <c r="E444" t="s">
        <v>1001</v>
      </c>
      <c r="F444">
        <v>-142</v>
      </c>
      <c r="G444" t="s">
        <v>982</v>
      </c>
      <c r="H444" t="s">
        <v>992</v>
      </c>
      <c r="I444" t="s">
        <v>992</v>
      </c>
      <c r="J444" t="s">
        <v>2058</v>
      </c>
      <c r="K444" t="s">
        <v>992</v>
      </c>
      <c r="L444" t="s">
        <v>992</v>
      </c>
      <c r="M444" t="s">
        <v>992</v>
      </c>
      <c r="N444" t="s">
        <v>992</v>
      </c>
      <c r="O444" t="s">
        <v>992</v>
      </c>
      <c r="P444" t="s">
        <v>992</v>
      </c>
      <c r="Q444" t="b">
        <v>0</v>
      </c>
      <c r="R444" t="b">
        <v>1</v>
      </c>
      <c r="S444" t="s">
        <v>1286</v>
      </c>
      <c r="T444" t="s">
        <v>1287</v>
      </c>
      <c r="U444" t="s">
        <v>994</v>
      </c>
      <c r="V444" t="s">
        <v>1288</v>
      </c>
      <c r="W444" t="s">
        <v>1289</v>
      </c>
      <c r="X444" t="s">
        <v>1290</v>
      </c>
    </row>
    <row r="445" spans="1:24" x14ac:dyDescent="0.25">
      <c r="A445" t="s">
        <v>42</v>
      </c>
      <c r="B445" t="s">
        <v>2150</v>
      </c>
      <c r="C445" t="s">
        <v>403</v>
      </c>
      <c r="D445" t="s">
        <v>410</v>
      </c>
      <c r="E445" t="s">
        <v>1003</v>
      </c>
      <c r="F445">
        <v>-165</v>
      </c>
      <c r="G445" t="s">
        <v>982</v>
      </c>
      <c r="H445" t="s">
        <v>992</v>
      </c>
      <c r="I445" t="s">
        <v>992</v>
      </c>
      <c r="J445" t="s">
        <v>2058</v>
      </c>
      <c r="K445" t="s">
        <v>992</v>
      </c>
      <c r="L445" t="s">
        <v>992</v>
      </c>
      <c r="M445" t="s">
        <v>992</v>
      </c>
      <c r="N445" t="s">
        <v>992</v>
      </c>
      <c r="O445" t="s">
        <v>992</v>
      </c>
      <c r="P445" t="s">
        <v>992</v>
      </c>
      <c r="Q445" t="b">
        <v>0</v>
      </c>
      <c r="R445" t="b">
        <v>1</v>
      </c>
      <c r="S445" t="s">
        <v>1286</v>
      </c>
      <c r="T445" t="s">
        <v>1287</v>
      </c>
      <c r="U445" t="s">
        <v>994</v>
      </c>
      <c r="V445" t="s">
        <v>1288</v>
      </c>
      <c r="W445" t="s">
        <v>1289</v>
      </c>
      <c r="X445" t="s">
        <v>1290</v>
      </c>
    </row>
    <row r="446" spans="1:24" x14ac:dyDescent="0.25">
      <c r="A446" t="s">
        <v>42</v>
      </c>
      <c r="B446" t="s">
        <v>2151</v>
      </c>
      <c r="C446" t="s">
        <v>403</v>
      </c>
      <c r="D446" t="s">
        <v>410</v>
      </c>
      <c r="E446" t="s">
        <v>1005</v>
      </c>
      <c r="F446">
        <v>-209</v>
      </c>
      <c r="G446" t="s">
        <v>982</v>
      </c>
      <c r="H446" t="s">
        <v>992</v>
      </c>
      <c r="I446" t="s">
        <v>992</v>
      </c>
      <c r="J446" t="s">
        <v>2058</v>
      </c>
      <c r="K446" t="s">
        <v>992</v>
      </c>
      <c r="L446" t="s">
        <v>992</v>
      </c>
      <c r="M446" t="s">
        <v>992</v>
      </c>
      <c r="N446" t="s">
        <v>992</v>
      </c>
      <c r="O446" t="s">
        <v>992</v>
      </c>
      <c r="P446" t="s">
        <v>992</v>
      </c>
      <c r="Q446" t="b">
        <v>0</v>
      </c>
      <c r="R446" t="b">
        <v>1</v>
      </c>
      <c r="S446" t="s">
        <v>1286</v>
      </c>
      <c r="T446" t="s">
        <v>1287</v>
      </c>
      <c r="U446" t="s">
        <v>994</v>
      </c>
      <c r="V446" t="s">
        <v>1288</v>
      </c>
      <c r="W446" t="s">
        <v>1289</v>
      </c>
      <c r="X446" t="s">
        <v>1290</v>
      </c>
    </row>
    <row r="447" spans="1:24" x14ac:dyDescent="0.25">
      <c r="A447" t="s">
        <v>42</v>
      </c>
      <c r="B447" t="s">
        <v>2152</v>
      </c>
      <c r="C447" t="s">
        <v>403</v>
      </c>
      <c r="D447" t="s">
        <v>410</v>
      </c>
      <c r="E447" t="s">
        <v>1007</v>
      </c>
      <c r="F447">
        <v>-256</v>
      </c>
      <c r="G447" t="s">
        <v>982</v>
      </c>
      <c r="H447" t="s">
        <v>992</v>
      </c>
      <c r="I447" t="s">
        <v>992</v>
      </c>
      <c r="J447" t="s">
        <v>2058</v>
      </c>
      <c r="K447" t="s">
        <v>992</v>
      </c>
      <c r="L447" t="s">
        <v>992</v>
      </c>
      <c r="M447" t="s">
        <v>992</v>
      </c>
      <c r="N447" t="s">
        <v>992</v>
      </c>
      <c r="O447" t="s">
        <v>992</v>
      </c>
      <c r="P447" t="s">
        <v>992</v>
      </c>
      <c r="Q447" t="b">
        <v>0</v>
      </c>
      <c r="R447" t="b">
        <v>1</v>
      </c>
      <c r="S447" t="s">
        <v>1286</v>
      </c>
      <c r="T447" t="s">
        <v>1287</v>
      </c>
      <c r="U447" t="s">
        <v>994</v>
      </c>
      <c r="V447" t="s">
        <v>1288</v>
      </c>
      <c r="W447" t="s">
        <v>1289</v>
      </c>
      <c r="X447" t="s">
        <v>1290</v>
      </c>
    </row>
    <row r="448" spans="1:24" x14ac:dyDescent="0.25">
      <c r="A448" t="s">
        <v>42</v>
      </c>
      <c r="B448" t="s">
        <v>2153</v>
      </c>
      <c r="C448" t="s">
        <v>403</v>
      </c>
      <c r="D448" t="s">
        <v>410</v>
      </c>
      <c r="E448" t="s">
        <v>1009</v>
      </c>
      <c r="F448">
        <v>-187</v>
      </c>
      <c r="G448" t="s">
        <v>982</v>
      </c>
      <c r="H448" t="s">
        <v>992</v>
      </c>
      <c r="I448" t="s">
        <v>992</v>
      </c>
      <c r="J448" t="s">
        <v>2058</v>
      </c>
      <c r="K448" t="s">
        <v>992</v>
      </c>
      <c r="L448" t="s">
        <v>992</v>
      </c>
      <c r="M448" t="s">
        <v>992</v>
      </c>
      <c r="N448" t="s">
        <v>992</v>
      </c>
      <c r="O448" t="s">
        <v>992</v>
      </c>
      <c r="P448" t="s">
        <v>992</v>
      </c>
      <c r="Q448" t="b">
        <v>0</v>
      </c>
      <c r="R448" t="b">
        <v>1</v>
      </c>
      <c r="S448" t="s">
        <v>1286</v>
      </c>
      <c r="T448" t="s">
        <v>1287</v>
      </c>
      <c r="U448" t="s">
        <v>994</v>
      </c>
      <c r="V448" t="s">
        <v>1288</v>
      </c>
      <c r="W448" t="s">
        <v>1289</v>
      </c>
      <c r="X448" t="s">
        <v>1290</v>
      </c>
    </row>
    <row r="449" spans="1:24" x14ac:dyDescent="0.25">
      <c r="A449" t="s">
        <v>42</v>
      </c>
      <c r="B449" t="s">
        <v>2154</v>
      </c>
      <c r="C449" t="s">
        <v>403</v>
      </c>
      <c r="D449" t="s">
        <v>410</v>
      </c>
      <c r="E449" t="s">
        <v>1011</v>
      </c>
      <c r="F449">
        <v>-164</v>
      </c>
      <c r="G449" t="s">
        <v>982</v>
      </c>
      <c r="H449" t="s">
        <v>992</v>
      </c>
      <c r="I449" t="s">
        <v>992</v>
      </c>
      <c r="J449" t="s">
        <v>2058</v>
      </c>
      <c r="K449" t="s">
        <v>992</v>
      </c>
      <c r="L449" t="s">
        <v>992</v>
      </c>
      <c r="M449" t="s">
        <v>992</v>
      </c>
      <c r="N449" t="s">
        <v>992</v>
      </c>
      <c r="O449" t="s">
        <v>992</v>
      </c>
      <c r="P449" t="s">
        <v>992</v>
      </c>
      <c r="Q449" t="b">
        <v>0</v>
      </c>
      <c r="R449" t="b">
        <v>1</v>
      </c>
      <c r="S449" t="s">
        <v>1286</v>
      </c>
      <c r="T449" t="s">
        <v>1287</v>
      </c>
      <c r="U449" t="s">
        <v>994</v>
      </c>
      <c r="V449" t="s">
        <v>1288</v>
      </c>
      <c r="W449" t="s">
        <v>1289</v>
      </c>
      <c r="X449" t="s">
        <v>1290</v>
      </c>
    </row>
    <row r="450" spans="1:24" x14ac:dyDescent="0.25">
      <c r="A450" t="s">
        <v>42</v>
      </c>
      <c r="B450" t="s">
        <v>2155</v>
      </c>
      <c r="C450" t="s">
        <v>403</v>
      </c>
      <c r="D450" t="s">
        <v>410</v>
      </c>
      <c r="E450" t="s">
        <v>1013</v>
      </c>
      <c r="F450">
        <v>-136</v>
      </c>
      <c r="G450" t="s">
        <v>982</v>
      </c>
      <c r="H450" t="s">
        <v>992</v>
      </c>
      <c r="I450" t="s">
        <v>992</v>
      </c>
      <c r="J450" t="s">
        <v>2058</v>
      </c>
      <c r="K450" t="s">
        <v>992</v>
      </c>
      <c r="L450" t="s">
        <v>992</v>
      </c>
      <c r="M450" t="s">
        <v>992</v>
      </c>
      <c r="N450" t="s">
        <v>992</v>
      </c>
      <c r="O450" t="s">
        <v>992</v>
      </c>
      <c r="P450" t="s">
        <v>992</v>
      </c>
      <c r="Q450" t="b">
        <v>0</v>
      </c>
      <c r="R450" t="b">
        <v>1</v>
      </c>
      <c r="S450" t="s">
        <v>1286</v>
      </c>
      <c r="T450" t="s">
        <v>1287</v>
      </c>
      <c r="U450" t="s">
        <v>994</v>
      </c>
      <c r="V450" t="s">
        <v>1288</v>
      </c>
      <c r="W450" t="s">
        <v>1289</v>
      </c>
      <c r="X450" t="s">
        <v>1290</v>
      </c>
    </row>
    <row r="451" spans="1:24" x14ac:dyDescent="0.25">
      <c r="A451" t="s">
        <v>42</v>
      </c>
      <c r="B451" t="s">
        <v>2156</v>
      </c>
      <c r="C451" t="s">
        <v>403</v>
      </c>
      <c r="D451" t="s">
        <v>410</v>
      </c>
      <c r="E451" t="s">
        <v>1015</v>
      </c>
      <c r="F451">
        <v>-393</v>
      </c>
      <c r="G451" t="s">
        <v>982</v>
      </c>
      <c r="H451" t="s">
        <v>992</v>
      </c>
      <c r="I451" t="s">
        <v>992</v>
      </c>
      <c r="J451" t="s">
        <v>2058</v>
      </c>
      <c r="K451" t="s">
        <v>992</v>
      </c>
      <c r="L451" t="s">
        <v>992</v>
      </c>
      <c r="M451" t="s">
        <v>992</v>
      </c>
      <c r="N451" t="s">
        <v>992</v>
      </c>
      <c r="O451" t="s">
        <v>992</v>
      </c>
      <c r="P451" t="s">
        <v>992</v>
      </c>
      <c r="Q451" t="b">
        <v>0</v>
      </c>
      <c r="R451" t="b">
        <v>1</v>
      </c>
      <c r="S451" t="s">
        <v>1286</v>
      </c>
      <c r="T451" t="s">
        <v>1287</v>
      </c>
      <c r="U451" t="s">
        <v>994</v>
      </c>
      <c r="V451" t="s">
        <v>1288</v>
      </c>
      <c r="W451" t="s">
        <v>1289</v>
      </c>
      <c r="X451" t="s">
        <v>1290</v>
      </c>
    </row>
    <row r="452" spans="1:24" x14ac:dyDescent="0.25">
      <c r="A452" t="s">
        <v>42</v>
      </c>
      <c r="B452" t="s">
        <v>2157</v>
      </c>
      <c r="C452" t="s">
        <v>403</v>
      </c>
      <c r="D452" t="s">
        <v>410</v>
      </c>
      <c r="E452" t="s">
        <v>1017</v>
      </c>
      <c r="F452">
        <v>-285</v>
      </c>
      <c r="G452" t="s">
        <v>982</v>
      </c>
      <c r="H452" t="s">
        <v>992</v>
      </c>
      <c r="I452" t="s">
        <v>992</v>
      </c>
      <c r="J452" t="s">
        <v>2058</v>
      </c>
      <c r="K452" t="s">
        <v>992</v>
      </c>
      <c r="L452" t="s">
        <v>992</v>
      </c>
      <c r="M452" t="s">
        <v>992</v>
      </c>
      <c r="N452" t="s">
        <v>992</v>
      </c>
      <c r="O452" t="s">
        <v>992</v>
      </c>
      <c r="P452" t="s">
        <v>992</v>
      </c>
      <c r="Q452" t="b">
        <v>0</v>
      </c>
      <c r="R452" t="b">
        <v>1</v>
      </c>
      <c r="S452" t="s">
        <v>1286</v>
      </c>
      <c r="T452" t="s">
        <v>1287</v>
      </c>
      <c r="U452" t="s">
        <v>994</v>
      </c>
      <c r="V452" t="s">
        <v>1288</v>
      </c>
      <c r="W452" t="s">
        <v>1289</v>
      </c>
      <c r="X452" t="s">
        <v>1290</v>
      </c>
    </row>
    <row r="453" spans="1:24" x14ac:dyDescent="0.25">
      <c r="A453" t="s">
        <v>42</v>
      </c>
      <c r="B453" t="s">
        <v>2158</v>
      </c>
      <c r="C453" t="s">
        <v>403</v>
      </c>
      <c r="D453" t="s">
        <v>410</v>
      </c>
      <c r="E453" t="s">
        <v>1019</v>
      </c>
      <c r="F453">
        <v>-245</v>
      </c>
      <c r="G453" t="s">
        <v>982</v>
      </c>
      <c r="H453" t="s">
        <v>992</v>
      </c>
      <c r="I453" t="s">
        <v>992</v>
      </c>
      <c r="J453" t="s">
        <v>2058</v>
      </c>
      <c r="K453" t="s">
        <v>992</v>
      </c>
      <c r="L453" t="s">
        <v>992</v>
      </c>
      <c r="M453" t="s">
        <v>992</v>
      </c>
      <c r="N453" t="s">
        <v>992</v>
      </c>
      <c r="O453" t="s">
        <v>992</v>
      </c>
      <c r="P453" t="s">
        <v>992</v>
      </c>
      <c r="Q453" t="b">
        <v>0</v>
      </c>
      <c r="R453" t="b">
        <v>1</v>
      </c>
      <c r="S453" t="s">
        <v>1286</v>
      </c>
      <c r="T453" t="s">
        <v>1287</v>
      </c>
      <c r="U453" t="s">
        <v>994</v>
      </c>
      <c r="V453" t="s">
        <v>1288</v>
      </c>
      <c r="W453" t="s">
        <v>1289</v>
      </c>
      <c r="X453" t="s">
        <v>1290</v>
      </c>
    </row>
    <row r="454" spans="1:24" x14ac:dyDescent="0.25">
      <c r="A454" t="s">
        <v>42</v>
      </c>
      <c r="B454" t="s">
        <v>2159</v>
      </c>
      <c r="C454" t="s">
        <v>403</v>
      </c>
      <c r="D454" t="s">
        <v>410</v>
      </c>
      <c r="E454" t="s">
        <v>1021</v>
      </c>
      <c r="F454">
        <v>-136</v>
      </c>
      <c r="G454" t="s">
        <v>982</v>
      </c>
      <c r="H454" t="s">
        <v>992</v>
      </c>
      <c r="I454" t="s">
        <v>992</v>
      </c>
      <c r="J454" t="s">
        <v>2058</v>
      </c>
      <c r="K454" t="s">
        <v>992</v>
      </c>
      <c r="L454" t="s">
        <v>992</v>
      </c>
      <c r="M454" t="s">
        <v>992</v>
      </c>
      <c r="N454" t="s">
        <v>992</v>
      </c>
      <c r="O454" t="s">
        <v>992</v>
      </c>
      <c r="P454" t="s">
        <v>992</v>
      </c>
      <c r="Q454" t="b">
        <v>0</v>
      </c>
      <c r="R454" t="b">
        <v>1</v>
      </c>
      <c r="S454" t="s">
        <v>1286</v>
      </c>
      <c r="T454" t="s">
        <v>1287</v>
      </c>
      <c r="U454" t="s">
        <v>994</v>
      </c>
      <c r="V454" t="s">
        <v>1288</v>
      </c>
      <c r="W454" t="s">
        <v>1289</v>
      </c>
      <c r="X454" t="s">
        <v>1290</v>
      </c>
    </row>
    <row r="455" spans="1:24" x14ac:dyDescent="0.25">
      <c r="A455" t="s">
        <v>42</v>
      </c>
      <c r="B455" t="s">
        <v>2160</v>
      </c>
      <c r="C455" t="s">
        <v>403</v>
      </c>
      <c r="D455" t="s">
        <v>410</v>
      </c>
      <c r="E455" t="s">
        <v>1129</v>
      </c>
      <c r="F455">
        <v>-11</v>
      </c>
      <c r="G455" t="s">
        <v>982</v>
      </c>
      <c r="H455" t="s">
        <v>992</v>
      </c>
      <c r="I455" t="s">
        <v>992</v>
      </c>
      <c r="J455" t="s">
        <v>2058</v>
      </c>
      <c r="K455" t="s">
        <v>992</v>
      </c>
      <c r="L455" t="s">
        <v>992</v>
      </c>
      <c r="M455" t="s">
        <v>992</v>
      </c>
      <c r="N455" t="s">
        <v>992</v>
      </c>
      <c r="O455" t="s">
        <v>992</v>
      </c>
      <c r="P455" t="s">
        <v>992</v>
      </c>
      <c r="Q455" t="b">
        <v>0</v>
      </c>
      <c r="R455" t="b">
        <v>1</v>
      </c>
      <c r="S455" t="s">
        <v>1286</v>
      </c>
      <c r="T455" t="s">
        <v>1287</v>
      </c>
      <c r="U455" t="s">
        <v>994</v>
      </c>
      <c r="V455" t="s">
        <v>1288</v>
      </c>
      <c r="W455" t="s">
        <v>1289</v>
      </c>
      <c r="X455" t="s">
        <v>1290</v>
      </c>
    </row>
    <row r="456" spans="1:24" x14ac:dyDescent="0.25">
      <c r="A456" t="s">
        <v>42</v>
      </c>
      <c r="B456" t="s">
        <v>2161</v>
      </c>
      <c r="C456" t="s">
        <v>403</v>
      </c>
      <c r="D456" t="s">
        <v>434</v>
      </c>
      <c r="E456" t="s">
        <v>990</v>
      </c>
      <c r="F456">
        <v>0</v>
      </c>
      <c r="G456" t="s">
        <v>982</v>
      </c>
      <c r="H456" t="s">
        <v>992</v>
      </c>
      <c r="I456" t="s">
        <v>992</v>
      </c>
      <c r="J456" t="s">
        <v>2058</v>
      </c>
      <c r="K456" t="s">
        <v>992</v>
      </c>
      <c r="L456" t="s">
        <v>992</v>
      </c>
      <c r="M456" t="s">
        <v>992</v>
      </c>
      <c r="N456" t="s">
        <v>992</v>
      </c>
      <c r="O456" t="s">
        <v>992</v>
      </c>
      <c r="P456" t="s">
        <v>992</v>
      </c>
      <c r="Q456" t="b">
        <v>0</v>
      </c>
      <c r="R456" t="b">
        <v>1</v>
      </c>
      <c r="S456" t="s">
        <v>1286</v>
      </c>
      <c r="T456" t="s">
        <v>1287</v>
      </c>
      <c r="U456" t="s">
        <v>994</v>
      </c>
      <c r="V456" t="s">
        <v>1288</v>
      </c>
      <c r="W456" t="s">
        <v>1289</v>
      </c>
      <c r="X456" t="s">
        <v>1290</v>
      </c>
    </row>
    <row r="457" spans="1:24" x14ac:dyDescent="0.25">
      <c r="A457" t="s">
        <v>42</v>
      </c>
      <c r="B457" t="s">
        <v>2162</v>
      </c>
      <c r="C457" t="s">
        <v>403</v>
      </c>
      <c r="D457" t="s">
        <v>434</v>
      </c>
      <c r="E457" t="s">
        <v>999</v>
      </c>
      <c r="F457">
        <v>0</v>
      </c>
      <c r="G457" t="s">
        <v>982</v>
      </c>
      <c r="H457" t="s">
        <v>992</v>
      </c>
      <c r="I457" t="s">
        <v>992</v>
      </c>
      <c r="J457" t="s">
        <v>2058</v>
      </c>
      <c r="K457" t="s">
        <v>992</v>
      </c>
      <c r="L457" t="s">
        <v>992</v>
      </c>
      <c r="M457" t="s">
        <v>992</v>
      </c>
      <c r="N457" t="s">
        <v>992</v>
      </c>
      <c r="O457" t="s">
        <v>992</v>
      </c>
      <c r="P457" t="s">
        <v>992</v>
      </c>
      <c r="Q457" t="b">
        <v>0</v>
      </c>
      <c r="R457" t="b">
        <v>1</v>
      </c>
      <c r="S457" t="s">
        <v>1286</v>
      </c>
      <c r="T457" t="s">
        <v>1287</v>
      </c>
      <c r="U457" t="s">
        <v>994</v>
      </c>
      <c r="V457" t="s">
        <v>1288</v>
      </c>
      <c r="W457" t="s">
        <v>1289</v>
      </c>
      <c r="X457" t="s">
        <v>1290</v>
      </c>
    </row>
    <row r="458" spans="1:24" x14ac:dyDescent="0.25">
      <c r="A458" t="s">
        <v>42</v>
      </c>
      <c r="B458" t="s">
        <v>2163</v>
      </c>
      <c r="C458" t="s">
        <v>403</v>
      </c>
      <c r="D458" t="s">
        <v>434</v>
      </c>
      <c r="E458" t="s">
        <v>1001</v>
      </c>
      <c r="F458">
        <v>0</v>
      </c>
      <c r="G458" t="s">
        <v>982</v>
      </c>
      <c r="H458" t="s">
        <v>992</v>
      </c>
      <c r="I458" t="s">
        <v>992</v>
      </c>
      <c r="J458" t="s">
        <v>2058</v>
      </c>
      <c r="K458" t="s">
        <v>992</v>
      </c>
      <c r="L458" t="s">
        <v>992</v>
      </c>
      <c r="M458" t="s">
        <v>992</v>
      </c>
      <c r="N458" t="s">
        <v>992</v>
      </c>
      <c r="O458" t="s">
        <v>992</v>
      </c>
      <c r="P458" t="s">
        <v>992</v>
      </c>
      <c r="Q458" t="b">
        <v>0</v>
      </c>
      <c r="R458" t="b">
        <v>1</v>
      </c>
      <c r="S458" t="s">
        <v>1286</v>
      </c>
      <c r="T458" t="s">
        <v>1287</v>
      </c>
      <c r="U458" t="s">
        <v>994</v>
      </c>
      <c r="V458" t="s">
        <v>1288</v>
      </c>
      <c r="W458" t="s">
        <v>1289</v>
      </c>
      <c r="X458" t="s">
        <v>1290</v>
      </c>
    </row>
    <row r="459" spans="1:24" x14ac:dyDescent="0.25">
      <c r="A459" t="s">
        <v>42</v>
      </c>
      <c r="B459" t="s">
        <v>2164</v>
      </c>
      <c r="C459" t="s">
        <v>403</v>
      </c>
      <c r="D459" t="s">
        <v>434</v>
      </c>
      <c r="E459" t="s">
        <v>1003</v>
      </c>
      <c r="F459">
        <v>0</v>
      </c>
      <c r="G459" t="s">
        <v>982</v>
      </c>
      <c r="H459" t="s">
        <v>992</v>
      </c>
      <c r="I459" t="s">
        <v>992</v>
      </c>
      <c r="J459" t="s">
        <v>2058</v>
      </c>
      <c r="K459" t="s">
        <v>992</v>
      </c>
      <c r="L459" t="s">
        <v>992</v>
      </c>
      <c r="M459" t="s">
        <v>992</v>
      </c>
      <c r="N459" t="s">
        <v>992</v>
      </c>
      <c r="O459" t="s">
        <v>992</v>
      </c>
      <c r="P459" t="s">
        <v>992</v>
      </c>
      <c r="Q459" t="b">
        <v>0</v>
      </c>
      <c r="R459" t="b">
        <v>1</v>
      </c>
      <c r="S459" t="s">
        <v>1286</v>
      </c>
      <c r="T459" t="s">
        <v>1287</v>
      </c>
      <c r="U459" t="s">
        <v>994</v>
      </c>
      <c r="V459" t="s">
        <v>1288</v>
      </c>
      <c r="W459" t="s">
        <v>1289</v>
      </c>
      <c r="X459" t="s">
        <v>1290</v>
      </c>
    </row>
    <row r="460" spans="1:24" x14ac:dyDescent="0.25">
      <c r="A460" t="s">
        <v>42</v>
      </c>
      <c r="B460" t="s">
        <v>2165</v>
      </c>
      <c r="C460" t="s">
        <v>403</v>
      </c>
      <c r="D460" t="s">
        <v>434</v>
      </c>
      <c r="E460" t="s">
        <v>1005</v>
      </c>
      <c r="F460">
        <v>0</v>
      </c>
      <c r="G460" t="s">
        <v>982</v>
      </c>
      <c r="H460" t="s">
        <v>992</v>
      </c>
      <c r="I460" t="s">
        <v>992</v>
      </c>
      <c r="J460" t="s">
        <v>2058</v>
      </c>
      <c r="K460" t="s">
        <v>992</v>
      </c>
      <c r="L460" t="s">
        <v>992</v>
      </c>
      <c r="M460" t="s">
        <v>992</v>
      </c>
      <c r="N460" t="s">
        <v>992</v>
      </c>
      <c r="O460" t="s">
        <v>992</v>
      </c>
      <c r="P460" t="s">
        <v>992</v>
      </c>
      <c r="Q460" t="b">
        <v>0</v>
      </c>
      <c r="R460" t="b">
        <v>1</v>
      </c>
      <c r="S460" t="s">
        <v>1286</v>
      </c>
      <c r="T460" t="s">
        <v>1287</v>
      </c>
      <c r="U460" t="s">
        <v>994</v>
      </c>
      <c r="V460" t="s">
        <v>1288</v>
      </c>
      <c r="W460" t="s">
        <v>1289</v>
      </c>
      <c r="X460" t="s">
        <v>1290</v>
      </c>
    </row>
    <row r="461" spans="1:24" x14ac:dyDescent="0.25">
      <c r="A461" t="s">
        <v>42</v>
      </c>
      <c r="B461" t="s">
        <v>2166</v>
      </c>
      <c r="C461" t="s">
        <v>403</v>
      </c>
      <c r="D461" t="s">
        <v>434</v>
      </c>
      <c r="E461" t="s">
        <v>1007</v>
      </c>
      <c r="F461">
        <v>0</v>
      </c>
      <c r="G461" t="s">
        <v>982</v>
      </c>
      <c r="H461" t="s">
        <v>992</v>
      </c>
      <c r="I461" t="s">
        <v>992</v>
      </c>
      <c r="J461" t="s">
        <v>2058</v>
      </c>
      <c r="K461" t="s">
        <v>992</v>
      </c>
      <c r="L461" t="s">
        <v>992</v>
      </c>
      <c r="M461" t="s">
        <v>992</v>
      </c>
      <c r="N461" t="s">
        <v>992</v>
      </c>
      <c r="O461" t="s">
        <v>992</v>
      </c>
      <c r="P461" t="s">
        <v>992</v>
      </c>
      <c r="Q461" t="b">
        <v>0</v>
      </c>
      <c r="R461" t="b">
        <v>1</v>
      </c>
      <c r="S461" t="s">
        <v>1286</v>
      </c>
      <c r="T461" t="s">
        <v>1287</v>
      </c>
      <c r="U461" t="s">
        <v>994</v>
      </c>
      <c r="V461" t="s">
        <v>1288</v>
      </c>
      <c r="W461" t="s">
        <v>1289</v>
      </c>
      <c r="X461" t="s">
        <v>1290</v>
      </c>
    </row>
    <row r="462" spans="1:24" x14ac:dyDescent="0.25">
      <c r="A462" t="s">
        <v>42</v>
      </c>
      <c r="B462" t="s">
        <v>2167</v>
      </c>
      <c r="C462" t="s">
        <v>403</v>
      </c>
      <c r="D462" t="s">
        <v>434</v>
      </c>
      <c r="E462" t="s">
        <v>1009</v>
      </c>
      <c r="F462">
        <v>0</v>
      </c>
      <c r="G462" t="s">
        <v>982</v>
      </c>
      <c r="H462" t="s">
        <v>992</v>
      </c>
      <c r="I462" t="s">
        <v>992</v>
      </c>
      <c r="J462" t="s">
        <v>2058</v>
      </c>
      <c r="K462" t="s">
        <v>992</v>
      </c>
      <c r="L462" t="s">
        <v>992</v>
      </c>
      <c r="M462" t="s">
        <v>992</v>
      </c>
      <c r="N462" t="s">
        <v>992</v>
      </c>
      <c r="O462" t="s">
        <v>992</v>
      </c>
      <c r="P462" t="s">
        <v>992</v>
      </c>
      <c r="Q462" t="b">
        <v>0</v>
      </c>
      <c r="R462" t="b">
        <v>1</v>
      </c>
      <c r="S462" t="s">
        <v>1286</v>
      </c>
      <c r="T462" t="s">
        <v>1287</v>
      </c>
      <c r="U462" t="s">
        <v>994</v>
      </c>
      <c r="V462" t="s">
        <v>1288</v>
      </c>
      <c r="W462" t="s">
        <v>1289</v>
      </c>
      <c r="X462" t="s">
        <v>1290</v>
      </c>
    </row>
    <row r="463" spans="1:24" x14ac:dyDescent="0.25">
      <c r="A463" t="s">
        <v>42</v>
      </c>
      <c r="B463" t="s">
        <v>2168</v>
      </c>
      <c r="C463" t="s">
        <v>403</v>
      </c>
      <c r="D463" t="s">
        <v>434</v>
      </c>
      <c r="E463" t="s">
        <v>1011</v>
      </c>
      <c r="F463">
        <v>0</v>
      </c>
      <c r="G463" t="s">
        <v>982</v>
      </c>
      <c r="H463" t="s">
        <v>992</v>
      </c>
      <c r="I463" t="s">
        <v>992</v>
      </c>
      <c r="J463" t="s">
        <v>2058</v>
      </c>
      <c r="K463" t="s">
        <v>992</v>
      </c>
      <c r="L463" t="s">
        <v>992</v>
      </c>
      <c r="M463" t="s">
        <v>992</v>
      </c>
      <c r="N463" t="s">
        <v>992</v>
      </c>
      <c r="O463" t="s">
        <v>992</v>
      </c>
      <c r="P463" t="s">
        <v>992</v>
      </c>
      <c r="Q463" t="b">
        <v>0</v>
      </c>
      <c r="R463" t="b">
        <v>1</v>
      </c>
      <c r="S463" t="s">
        <v>1286</v>
      </c>
      <c r="T463" t="s">
        <v>1287</v>
      </c>
      <c r="U463" t="s">
        <v>994</v>
      </c>
      <c r="V463" t="s">
        <v>1288</v>
      </c>
      <c r="W463" t="s">
        <v>1289</v>
      </c>
      <c r="X463" t="s">
        <v>1290</v>
      </c>
    </row>
    <row r="464" spans="1:24" x14ac:dyDescent="0.25">
      <c r="A464" t="s">
        <v>42</v>
      </c>
      <c r="B464" t="s">
        <v>2169</v>
      </c>
      <c r="C464" t="s">
        <v>403</v>
      </c>
      <c r="D464" t="s">
        <v>434</v>
      </c>
      <c r="E464" t="s">
        <v>1013</v>
      </c>
      <c r="F464">
        <v>0</v>
      </c>
      <c r="G464" t="s">
        <v>982</v>
      </c>
      <c r="H464" t="s">
        <v>992</v>
      </c>
      <c r="I464" t="s">
        <v>992</v>
      </c>
      <c r="J464" t="s">
        <v>2058</v>
      </c>
      <c r="K464" t="s">
        <v>992</v>
      </c>
      <c r="L464" t="s">
        <v>992</v>
      </c>
      <c r="M464" t="s">
        <v>992</v>
      </c>
      <c r="N464" t="s">
        <v>992</v>
      </c>
      <c r="O464" t="s">
        <v>992</v>
      </c>
      <c r="P464" t="s">
        <v>992</v>
      </c>
      <c r="Q464" t="b">
        <v>0</v>
      </c>
      <c r="R464" t="b">
        <v>1</v>
      </c>
      <c r="S464" t="s">
        <v>1286</v>
      </c>
      <c r="T464" t="s">
        <v>1287</v>
      </c>
      <c r="U464" t="s">
        <v>994</v>
      </c>
      <c r="V464" t="s">
        <v>1288</v>
      </c>
      <c r="W464" t="s">
        <v>1289</v>
      </c>
      <c r="X464" t="s">
        <v>1290</v>
      </c>
    </row>
    <row r="465" spans="1:24" x14ac:dyDescent="0.25">
      <c r="A465" t="s">
        <v>42</v>
      </c>
      <c r="B465" t="s">
        <v>2170</v>
      </c>
      <c r="C465" t="s">
        <v>403</v>
      </c>
      <c r="D465" t="s">
        <v>434</v>
      </c>
      <c r="E465" t="s">
        <v>1015</v>
      </c>
      <c r="F465">
        <v>0</v>
      </c>
      <c r="G465" t="s">
        <v>982</v>
      </c>
      <c r="H465" t="s">
        <v>992</v>
      </c>
      <c r="I465" t="s">
        <v>992</v>
      </c>
      <c r="J465" t="s">
        <v>2058</v>
      </c>
      <c r="K465" t="s">
        <v>992</v>
      </c>
      <c r="L465" t="s">
        <v>992</v>
      </c>
      <c r="M465" t="s">
        <v>992</v>
      </c>
      <c r="N465" t="s">
        <v>992</v>
      </c>
      <c r="O465" t="s">
        <v>992</v>
      </c>
      <c r="P465" t="s">
        <v>992</v>
      </c>
      <c r="Q465" t="b">
        <v>0</v>
      </c>
      <c r="R465" t="b">
        <v>1</v>
      </c>
      <c r="S465" t="s">
        <v>1286</v>
      </c>
      <c r="T465" t="s">
        <v>1287</v>
      </c>
      <c r="U465" t="s">
        <v>994</v>
      </c>
      <c r="V465" t="s">
        <v>1288</v>
      </c>
      <c r="W465" t="s">
        <v>1289</v>
      </c>
      <c r="X465" t="s">
        <v>1290</v>
      </c>
    </row>
    <row r="466" spans="1:24" x14ac:dyDescent="0.25">
      <c r="A466" t="s">
        <v>42</v>
      </c>
      <c r="B466" t="s">
        <v>2171</v>
      </c>
      <c r="C466" t="s">
        <v>403</v>
      </c>
      <c r="D466" t="s">
        <v>434</v>
      </c>
      <c r="E466" t="s">
        <v>1017</v>
      </c>
      <c r="F466">
        <v>0</v>
      </c>
      <c r="G466" t="s">
        <v>982</v>
      </c>
      <c r="H466" t="s">
        <v>992</v>
      </c>
      <c r="I466" t="s">
        <v>992</v>
      </c>
      <c r="J466" t="s">
        <v>2058</v>
      </c>
      <c r="K466" t="s">
        <v>992</v>
      </c>
      <c r="L466" t="s">
        <v>992</v>
      </c>
      <c r="M466" t="s">
        <v>992</v>
      </c>
      <c r="N466" t="s">
        <v>992</v>
      </c>
      <c r="O466" t="s">
        <v>992</v>
      </c>
      <c r="P466" t="s">
        <v>992</v>
      </c>
      <c r="Q466" t="b">
        <v>0</v>
      </c>
      <c r="R466" t="b">
        <v>1</v>
      </c>
      <c r="S466" t="s">
        <v>1286</v>
      </c>
      <c r="T466" t="s">
        <v>1287</v>
      </c>
      <c r="U466" t="s">
        <v>994</v>
      </c>
      <c r="V466" t="s">
        <v>1288</v>
      </c>
      <c r="W466" t="s">
        <v>1289</v>
      </c>
      <c r="X466" t="s">
        <v>1290</v>
      </c>
    </row>
    <row r="467" spans="1:24" x14ac:dyDescent="0.25">
      <c r="A467" t="s">
        <v>42</v>
      </c>
      <c r="B467" t="s">
        <v>2172</v>
      </c>
      <c r="C467" t="s">
        <v>403</v>
      </c>
      <c r="D467" t="s">
        <v>434</v>
      </c>
      <c r="E467" t="s">
        <v>1019</v>
      </c>
      <c r="F467">
        <v>0</v>
      </c>
      <c r="G467" t="s">
        <v>982</v>
      </c>
      <c r="H467" t="s">
        <v>992</v>
      </c>
      <c r="I467" t="s">
        <v>992</v>
      </c>
      <c r="J467" t="s">
        <v>2058</v>
      </c>
      <c r="K467" t="s">
        <v>992</v>
      </c>
      <c r="L467" t="s">
        <v>992</v>
      </c>
      <c r="M467" t="s">
        <v>992</v>
      </c>
      <c r="N467" t="s">
        <v>992</v>
      </c>
      <c r="O467" t="s">
        <v>992</v>
      </c>
      <c r="P467" t="s">
        <v>992</v>
      </c>
      <c r="Q467" t="b">
        <v>0</v>
      </c>
      <c r="R467" t="b">
        <v>1</v>
      </c>
      <c r="S467" t="s">
        <v>1286</v>
      </c>
      <c r="T467" t="s">
        <v>1287</v>
      </c>
      <c r="U467" t="s">
        <v>994</v>
      </c>
      <c r="V467" t="s">
        <v>1288</v>
      </c>
      <c r="W467" t="s">
        <v>1289</v>
      </c>
      <c r="X467" t="s">
        <v>1290</v>
      </c>
    </row>
    <row r="468" spans="1:24" x14ac:dyDescent="0.25">
      <c r="A468" t="s">
        <v>42</v>
      </c>
      <c r="B468" t="s">
        <v>2173</v>
      </c>
      <c r="C468" t="s">
        <v>403</v>
      </c>
      <c r="D468" t="s">
        <v>434</v>
      </c>
      <c r="E468" t="s">
        <v>1021</v>
      </c>
      <c r="F468">
        <v>0</v>
      </c>
      <c r="G468" t="s">
        <v>982</v>
      </c>
      <c r="H468" t="s">
        <v>992</v>
      </c>
      <c r="I468" t="s">
        <v>992</v>
      </c>
      <c r="J468" t="s">
        <v>2058</v>
      </c>
      <c r="K468" t="s">
        <v>992</v>
      </c>
      <c r="L468" t="s">
        <v>992</v>
      </c>
      <c r="M468" t="s">
        <v>992</v>
      </c>
      <c r="N468" t="s">
        <v>992</v>
      </c>
      <c r="O468" t="s">
        <v>992</v>
      </c>
      <c r="P468" t="s">
        <v>992</v>
      </c>
      <c r="Q468" t="b">
        <v>0</v>
      </c>
      <c r="R468" t="b">
        <v>1</v>
      </c>
      <c r="S468" t="s">
        <v>1286</v>
      </c>
      <c r="T468" t="s">
        <v>1287</v>
      </c>
      <c r="U468" t="s">
        <v>994</v>
      </c>
      <c r="V468" t="s">
        <v>1288</v>
      </c>
      <c r="W468" t="s">
        <v>1289</v>
      </c>
      <c r="X468" t="s">
        <v>1290</v>
      </c>
    </row>
    <row r="469" spans="1:24" x14ac:dyDescent="0.25">
      <c r="A469" t="s">
        <v>42</v>
      </c>
      <c r="B469" t="s">
        <v>2174</v>
      </c>
      <c r="C469" t="s">
        <v>403</v>
      </c>
      <c r="D469" t="s">
        <v>434</v>
      </c>
      <c r="E469" t="s">
        <v>1129</v>
      </c>
      <c r="F469">
        <v>0</v>
      </c>
      <c r="G469" t="s">
        <v>982</v>
      </c>
      <c r="H469" t="s">
        <v>992</v>
      </c>
      <c r="I469" t="s">
        <v>992</v>
      </c>
      <c r="J469" t="s">
        <v>2058</v>
      </c>
      <c r="K469" t="s">
        <v>992</v>
      </c>
      <c r="L469" t="s">
        <v>992</v>
      </c>
      <c r="M469" t="s">
        <v>992</v>
      </c>
      <c r="N469" t="s">
        <v>992</v>
      </c>
      <c r="O469" t="s">
        <v>992</v>
      </c>
      <c r="P469" t="s">
        <v>992</v>
      </c>
      <c r="Q469" t="b">
        <v>0</v>
      </c>
      <c r="R469" t="b">
        <v>1</v>
      </c>
      <c r="S469" t="s">
        <v>1286</v>
      </c>
      <c r="T469" t="s">
        <v>1287</v>
      </c>
      <c r="U469" t="s">
        <v>994</v>
      </c>
      <c r="V469" t="s">
        <v>1288</v>
      </c>
      <c r="W469" t="s">
        <v>1289</v>
      </c>
      <c r="X469" t="s">
        <v>1290</v>
      </c>
    </row>
    <row r="470" spans="1:24" x14ac:dyDescent="0.25">
      <c r="A470" t="s">
        <v>42</v>
      </c>
      <c r="B470" t="s">
        <v>2175</v>
      </c>
      <c r="C470" t="s">
        <v>403</v>
      </c>
      <c r="D470" t="s">
        <v>436</v>
      </c>
      <c r="E470" t="s">
        <v>990</v>
      </c>
      <c r="F470">
        <v>0</v>
      </c>
      <c r="G470" t="s">
        <v>982</v>
      </c>
      <c r="H470" t="s">
        <v>992</v>
      </c>
      <c r="I470" t="s">
        <v>992</v>
      </c>
      <c r="J470" t="s">
        <v>2058</v>
      </c>
      <c r="K470" t="s">
        <v>992</v>
      </c>
      <c r="L470" t="s">
        <v>992</v>
      </c>
      <c r="M470" t="s">
        <v>992</v>
      </c>
      <c r="N470" t="s">
        <v>992</v>
      </c>
      <c r="O470" t="s">
        <v>992</v>
      </c>
      <c r="P470" t="s">
        <v>992</v>
      </c>
      <c r="Q470" t="b">
        <v>0</v>
      </c>
      <c r="R470" t="b">
        <v>1</v>
      </c>
      <c r="S470" t="s">
        <v>1286</v>
      </c>
      <c r="T470" t="s">
        <v>1287</v>
      </c>
      <c r="U470" t="s">
        <v>994</v>
      </c>
      <c r="V470" t="s">
        <v>1288</v>
      </c>
      <c r="W470" t="s">
        <v>1289</v>
      </c>
      <c r="X470" t="s">
        <v>1290</v>
      </c>
    </row>
    <row r="471" spans="1:24" x14ac:dyDescent="0.25">
      <c r="A471" t="s">
        <v>42</v>
      </c>
      <c r="B471" t="s">
        <v>2176</v>
      </c>
      <c r="C471" t="s">
        <v>403</v>
      </c>
      <c r="D471" t="s">
        <v>436</v>
      </c>
      <c r="E471" t="s">
        <v>999</v>
      </c>
      <c r="F471">
        <v>15844</v>
      </c>
      <c r="G471" t="s">
        <v>982</v>
      </c>
      <c r="H471" t="s">
        <v>992</v>
      </c>
      <c r="I471" t="s">
        <v>992</v>
      </c>
      <c r="J471" t="s">
        <v>2058</v>
      </c>
      <c r="K471" t="s">
        <v>992</v>
      </c>
      <c r="L471" t="s">
        <v>992</v>
      </c>
      <c r="M471" t="s">
        <v>992</v>
      </c>
      <c r="N471" t="s">
        <v>992</v>
      </c>
      <c r="O471" t="s">
        <v>992</v>
      </c>
      <c r="P471" t="s">
        <v>992</v>
      </c>
      <c r="Q471" t="b">
        <v>0</v>
      </c>
      <c r="R471" t="b">
        <v>1</v>
      </c>
      <c r="S471" t="s">
        <v>1286</v>
      </c>
      <c r="T471" t="s">
        <v>1287</v>
      </c>
      <c r="U471" t="s">
        <v>994</v>
      </c>
      <c r="V471" t="s">
        <v>1288</v>
      </c>
      <c r="W471" t="s">
        <v>1289</v>
      </c>
      <c r="X471" t="s">
        <v>1290</v>
      </c>
    </row>
    <row r="472" spans="1:24" x14ac:dyDescent="0.25">
      <c r="A472" t="s">
        <v>42</v>
      </c>
      <c r="B472" t="s">
        <v>2177</v>
      </c>
      <c r="C472" t="s">
        <v>403</v>
      </c>
      <c r="D472" t="s">
        <v>436</v>
      </c>
      <c r="E472" t="s">
        <v>1001</v>
      </c>
      <c r="F472">
        <v>15831</v>
      </c>
      <c r="G472" t="s">
        <v>982</v>
      </c>
      <c r="H472" t="s">
        <v>992</v>
      </c>
      <c r="I472" t="s">
        <v>992</v>
      </c>
      <c r="J472" t="s">
        <v>2058</v>
      </c>
      <c r="K472" t="s">
        <v>992</v>
      </c>
      <c r="L472" t="s">
        <v>992</v>
      </c>
      <c r="M472" t="s">
        <v>992</v>
      </c>
      <c r="N472" t="s">
        <v>992</v>
      </c>
      <c r="O472" t="s">
        <v>992</v>
      </c>
      <c r="P472" t="s">
        <v>992</v>
      </c>
      <c r="Q472" t="b">
        <v>0</v>
      </c>
      <c r="R472" t="b">
        <v>1</v>
      </c>
      <c r="S472" t="s">
        <v>1286</v>
      </c>
      <c r="T472" t="s">
        <v>1287</v>
      </c>
      <c r="U472" t="s">
        <v>994</v>
      </c>
      <c r="V472" t="s">
        <v>1288</v>
      </c>
      <c r="W472" t="s">
        <v>1289</v>
      </c>
      <c r="X472" t="s">
        <v>1290</v>
      </c>
    </row>
    <row r="473" spans="1:24" x14ac:dyDescent="0.25">
      <c r="A473" t="s">
        <v>42</v>
      </c>
      <c r="B473" t="s">
        <v>2178</v>
      </c>
      <c r="C473" t="s">
        <v>403</v>
      </c>
      <c r="D473" t="s">
        <v>436</v>
      </c>
      <c r="E473" t="s">
        <v>1003</v>
      </c>
      <c r="F473">
        <v>15577</v>
      </c>
      <c r="G473" t="s">
        <v>982</v>
      </c>
      <c r="H473" t="s">
        <v>992</v>
      </c>
      <c r="I473" t="s">
        <v>992</v>
      </c>
      <c r="J473" t="s">
        <v>2058</v>
      </c>
      <c r="K473" t="s">
        <v>992</v>
      </c>
      <c r="L473" t="s">
        <v>992</v>
      </c>
      <c r="M473" t="s">
        <v>992</v>
      </c>
      <c r="N473" t="s">
        <v>992</v>
      </c>
      <c r="O473" t="s">
        <v>992</v>
      </c>
      <c r="P473" t="s">
        <v>992</v>
      </c>
      <c r="Q473" t="b">
        <v>0</v>
      </c>
      <c r="R473" t="b">
        <v>1</v>
      </c>
      <c r="S473" t="s">
        <v>1286</v>
      </c>
      <c r="T473" t="s">
        <v>1287</v>
      </c>
      <c r="U473" t="s">
        <v>994</v>
      </c>
      <c r="V473" t="s">
        <v>1288</v>
      </c>
      <c r="W473" t="s">
        <v>1289</v>
      </c>
      <c r="X473" t="s">
        <v>1290</v>
      </c>
    </row>
    <row r="474" spans="1:24" x14ac:dyDescent="0.25">
      <c r="A474" t="s">
        <v>42</v>
      </c>
      <c r="B474" t="s">
        <v>2179</v>
      </c>
      <c r="C474" t="s">
        <v>403</v>
      </c>
      <c r="D474" t="s">
        <v>436</v>
      </c>
      <c r="E474" t="s">
        <v>1005</v>
      </c>
      <c r="F474">
        <v>15501</v>
      </c>
      <c r="G474" t="s">
        <v>982</v>
      </c>
      <c r="H474" t="s">
        <v>992</v>
      </c>
      <c r="I474" t="s">
        <v>992</v>
      </c>
      <c r="J474" t="s">
        <v>2058</v>
      </c>
      <c r="K474" t="s">
        <v>992</v>
      </c>
      <c r="L474" t="s">
        <v>992</v>
      </c>
      <c r="M474" t="s">
        <v>992</v>
      </c>
      <c r="N474" t="s">
        <v>992</v>
      </c>
      <c r="O474" t="s">
        <v>992</v>
      </c>
      <c r="P474" t="s">
        <v>992</v>
      </c>
      <c r="Q474" t="b">
        <v>0</v>
      </c>
      <c r="R474" t="b">
        <v>1</v>
      </c>
      <c r="S474" t="s">
        <v>1286</v>
      </c>
      <c r="T474" t="s">
        <v>1287</v>
      </c>
      <c r="U474" t="s">
        <v>994</v>
      </c>
      <c r="V474" t="s">
        <v>1288</v>
      </c>
      <c r="W474" t="s">
        <v>1289</v>
      </c>
      <c r="X474" t="s">
        <v>1290</v>
      </c>
    </row>
    <row r="475" spans="1:24" x14ac:dyDescent="0.25">
      <c r="A475" t="s">
        <v>42</v>
      </c>
      <c r="B475" t="s">
        <v>2180</v>
      </c>
      <c r="C475" t="s">
        <v>403</v>
      </c>
      <c r="D475" t="s">
        <v>436</v>
      </c>
      <c r="E475" t="s">
        <v>1007</v>
      </c>
      <c r="F475">
        <v>17550</v>
      </c>
      <c r="G475" t="s">
        <v>982</v>
      </c>
      <c r="H475" t="s">
        <v>992</v>
      </c>
      <c r="I475" t="s">
        <v>992</v>
      </c>
      <c r="J475" t="s">
        <v>2058</v>
      </c>
      <c r="K475" t="s">
        <v>992</v>
      </c>
      <c r="L475" t="s">
        <v>992</v>
      </c>
      <c r="M475" t="s">
        <v>992</v>
      </c>
      <c r="N475" t="s">
        <v>992</v>
      </c>
      <c r="O475" t="s">
        <v>992</v>
      </c>
      <c r="P475" t="s">
        <v>992</v>
      </c>
      <c r="Q475" t="b">
        <v>0</v>
      </c>
      <c r="R475" t="b">
        <v>1</v>
      </c>
      <c r="S475" t="s">
        <v>1286</v>
      </c>
      <c r="T475" t="s">
        <v>1287</v>
      </c>
      <c r="U475" t="s">
        <v>994</v>
      </c>
      <c r="V475" t="s">
        <v>1288</v>
      </c>
      <c r="W475" t="s">
        <v>1289</v>
      </c>
      <c r="X475" t="s">
        <v>1290</v>
      </c>
    </row>
    <row r="476" spans="1:24" x14ac:dyDescent="0.25">
      <c r="A476" t="s">
        <v>42</v>
      </c>
      <c r="B476" t="s">
        <v>2181</v>
      </c>
      <c r="C476" t="s">
        <v>403</v>
      </c>
      <c r="D476" t="s">
        <v>436</v>
      </c>
      <c r="E476" t="s">
        <v>1009</v>
      </c>
      <c r="F476">
        <v>17547</v>
      </c>
      <c r="G476" t="s">
        <v>982</v>
      </c>
      <c r="H476" t="s">
        <v>992</v>
      </c>
      <c r="I476" t="s">
        <v>992</v>
      </c>
      <c r="J476" t="s">
        <v>2058</v>
      </c>
      <c r="K476" t="s">
        <v>992</v>
      </c>
      <c r="L476" t="s">
        <v>992</v>
      </c>
      <c r="M476" t="s">
        <v>992</v>
      </c>
      <c r="N476" t="s">
        <v>992</v>
      </c>
      <c r="O476" t="s">
        <v>992</v>
      </c>
      <c r="P476" t="s">
        <v>992</v>
      </c>
      <c r="Q476" t="b">
        <v>0</v>
      </c>
      <c r="R476" t="b">
        <v>1</v>
      </c>
      <c r="S476" t="s">
        <v>1286</v>
      </c>
      <c r="T476" t="s">
        <v>1287</v>
      </c>
      <c r="U476" t="s">
        <v>994</v>
      </c>
      <c r="V476" t="s">
        <v>1288</v>
      </c>
      <c r="W476" t="s">
        <v>1289</v>
      </c>
      <c r="X476" t="s">
        <v>1290</v>
      </c>
    </row>
    <row r="477" spans="1:24" x14ac:dyDescent="0.25">
      <c r="A477" t="s">
        <v>42</v>
      </c>
      <c r="B477" t="s">
        <v>2182</v>
      </c>
      <c r="C477" t="s">
        <v>403</v>
      </c>
      <c r="D477" t="s">
        <v>436</v>
      </c>
      <c r="E477" t="s">
        <v>1011</v>
      </c>
      <c r="F477">
        <v>17209</v>
      </c>
      <c r="G477" t="s">
        <v>982</v>
      </c>
      <c r="H477" t="s">
        <v>992</v>
      </c>
      <c r="I477" t="s">
        <v>992</v>
      </c>
      <c r="J477" t="s">
        <v>2058</v>
      </c>
      <c r="K477" t="s">
        <v>992</v>
      </c>
      <c r="L477" t="s">
        <v>992</v>
      </c>
      <c r="M477" t="s">
        <v>992</v>
      </c>
      <c r="N477" t="s">
        <v>992</v>
      </c>
      <c r="O477" t="s">
        <v>992</v>
      </c>
      <c r="P477" t="s">
        <v>992</v>
      </c>
      <c r="Q477" t="b">
        <v>0</v>
      </c>
      <c r="R477" t="b">
        <v>1</v>
      </c>
      <c r="S477" t="s">
        <v>1286</v>
      </c>
      <c r="T477" t="s">
        <v>1287</v>
      </c>
      <c r="U477" t="s">
        <v>994</v>
      </c>
      <c r="V477" t="s">
        <v>1288</v>
      </c>
      <c r="W477" t="s">
        <v>1289</v>
      </c>
      <c r="X477" t="s">
        <v>1290</v>
      </c>
    </row>
    <row r="478" spans="1:24" x14ac:dyDescent="0.25">
      <c r="A478" t="s">
        <v>42</v>
      </c>
      <c r="B478" t="s">
        <v>2183</v>
      </c>
      <c r="C478" t="s">
        <v>403</v>
      </c>
      <c r="D478" t="s">
        <v>436</v>
      </c>
      <c r="E478" t="s">
        <v>1013</v>
      </c>
      <c r="F478">
        <v>17365</v>
      </c>
      <c r="G478" t="s">
        <v>982</v>
      </c>
      <c r="H478" t="s">
        <v>992</v>
      </c>
      <c r="I478" t="s">
        <v>992</v>
      </c>
      <c r="J478" t="s">
        <v>2058</v>
      </c>
      <c r="K478" t="s">
        <v>992</v>
      </c>
      <c r="L478" t="s">
        <v>992</v>
      </c>
      <c r="M478" t="s">
        <v>992</v>
      </c>
      <c r="N478" t="s">
        <v>992</v>
      </c>
      <c r="O478" t="s">
        <v>992</v>
      </c>
      <c r="P478" t="s">
        <v>992</v>
      </c>
      <c r="Q478" t="b">
        <v>0</v>
      </c>
      <c r="R478" t="b">
        <v>1</v>
      </c>
      <c r="S478" t="s">
        <v>1286</v>
      </c>
      <c r="T478" t="s">
        <v>1287</v>
      </c>
      <c r="U478" t="s">
        <v>994</v>
      </c>
      <c r="V478" t="s">
        <v>1288</v>
      </c>
      <c r="W478" t="s">
        <v>1289</v>
      </c>
      <c r="X478" t="s">
        <v>1290</v>
      </c>
    </row>
    <row r="479" spans="1:24" x14ac:dyDescent="0.25">
      <c r="A479" t="s">
        <v>42</v>
      </c>
      <c r="B479" t="s">
        <v>2184</v>
      </c>
      <c r="C479" t="s">
        <v>403</v>
      </c>
      <c r="D479" t="s">
        <v>436</v>
      </c>
      <c r="E479" t="s">
        <v>1015</v>
      </c>
      <c r="F479">
        <v>20804</v>
      </c>
      <c r="G479" t="s">
        <v>982</v>
      </c>
      <c r="H479" t="s">
        <v>992</v>
      </c>
      <c r="I479" t="s">
        <v>992</v>
      </c>
      <c r="J479" t="s">
        <v>2058</v>
      </c>
      <c r="K479" t="s">
        <v>992</v>
      </c>
      <c r="L479" t="s">
        <v>992</v>
      </c>
      <c r="M479" t="s">
        <v>992</v>
      </c>
      <c r="N479" t="s">
        <v>992</v>
      </c>
      <c r="O479" t="s">
        <v>992</v>
      </c>
      <c r="P479" t="s">
        <v>992</v>
      </c>
      <c r="Q479" t="b">
        <v>0</v>
      </c>
      <c r="R479" t="b">
        <v>1</v>
      </c>
      <c r="S479" t="s">
        <v>1286</v>
      </c>
      <c r="T479" t="s">
        <v>1287</v>
      </c>
      <c r="U479" t="s">
        <v>994</v>
      </c>
      <c r="V479" t="s">
        <v>1288</v>
      </c>
      <c r="W479" t="s">
        <v>1289</v>
      </c>
      <c r="X479" t="s">
        <v>1290</v>
      </c>
    </row>
    <row r="480" spans="1:24" x14ac:dyDescent="0.25">
      <c r="A480" t="s">
        <v>42</v>
      </c>
      <c r="B480" t="s">
        <v>2185</v>
      </c>
      <c r="C480" t="s">
        <v>403</v>
      </c>
      <c r="D480" t="s">
        <v>436</v>
      </c>
      <c r="E480" t="s">
        <v>1017</v>
      </c>
      <c r="F480">
        <v>20806</v>
      </c>
      <c r="G480" t="s">
        <v>982</v>
      </c>
      <c r="H480" t="s">
        <v>992</v>
      </c>
      <c r="I480" t="s">
        <v>992</v>
      </c>
      <c r="J480" t="s">
        <v>2058</v>
      </c>
      <c r="K480" t="s">
        <v>992</v>
      </c>
      <c r="L480" t="s">
        <v>992</v>
      </c>
      <c r="M480" t="s">
        <v>992</v>
      </c>
      <c r="N480" t="s">
        <v>992</v>
      </c>
      <c r="O480" t="s">
        <v>992</v>
      </c>
      <c r="P480" t="s">
        <v>992</v>
      </c>
      <c r="Q480" t="b">
        <v>0</v>
      </c>
      <c r="R480" t="b">
        <v>1</v>
      </c>
      <c r="S480" t="s">
        <v>1286</v>
      </c>
      <c r="T480" t="s">
        <v>1287</v>
      </c>
      <c r="U480" t="s">
        <v>994</v>
      </c>
      <c r="V480" t="s">
        <v>1288</v>
      </c>
      <c r="W480" t="s">
        <v>1289</v>
      </c>
      <c r="X480" t="s">
        <v>1290</v>
      </c>
    </row>
    <row r="481" spans="1:24" x14ac:dyDescent="0.25">
      <c r="A481" t="s">
        <v>42</v>
      </c>
      <c r="B481" t="s">
        <v>2186</v>
      </c>
      <c r="C481" t="s">
        <v>403</v>
      </c>
      <c r="D481" t="s">
        <v>436</v>
      </c>
      <c r="E481" t="s">
        <v>1019</v>
      </c>
      <c r="F481">
        <v>21794</v>
      </c>
      <c r="G481" t="s">
        <v>982</v>
      </c>
      <c r="H481" t="s">
        <v>992</v>
      </c>
      <c r="I481" t="s">
        <v>992</v>
      </c>
      <c r="J481" t="s">
        <v>2058</v>
      </c>
      <c r="K481" t="s">
        <v>992</v>
      </c>
      <c r="L481" t="s">
        <v>992</v>
      </c>
      <c r="M481" t="s">
        <v>992</v>
      </c>
      <c r="N481" t="s">
        <v>992</v>
      </c>
      <c r="O481" t="s">
        <v>992</v>
      </c>
      <c r="P481" t="s">
        <v>992</v>
      </c>
      <c r="Q481" t="b">
        <v>0</v>
      </c>
      <c r="R481" t="b">
        <v>1</v>
      </c>
      <c r="S481" t="s">
        <v>1286</v>
      </c>
      <c r="T481" t="s">
        <v>1287</v>
      </c>
      <c r="U481" t="s">
        <v>994</v>
      </c>
      <c r="V481" t="s">
        <v>1288</v>
      </c>
      <c r="W481" t="s">
        <v>1289</v>
      </c>
      <c r="X481" t="s">
        <v>1290</v>
      </c>
    </row>
    <row r="482" spans="1:24" x14ac:dyDescent="0.25">
      <c r="A482" t="s">
        <v>42</v>
      </c>
      <c r="B482" t="s">
        <v>2187</v>
      </c>
      <c r="C482" t="s">
        <v>403</v>
      </c>
      <c r="D482" t="s">
        <v>436</v>
      </c>
      <c r="E482" t="s">
        <v>1021</v>
      </c>
      <c r="F482">
        <v>26211</v>
      </c>
      <c r="G482" t="s">
        <v>982</v>
      </c>
      <c r="H482" t="s">
        <v>992</v>
      </c>
      <c r="I482" t="s">
        <v>992</v>
      </c>
      <c r="J482" t="s">
        <v>2058</v>
      </c>
      <c r="K482" t="s">
        <v>992</v>
      </c>
      <c r="L482" t="s">
        <v>992</v>
      </c>
      <c r="M482" t="s">
        <v>992</v>
      </c>
      <c r="N482" t="s">
        <v>992</v>
      </c>
      <c r="O482" t="s">
        <v>992</v>
      </c>
      <c r="P482" t="s">
        <v>992</v>
      </c>
      <c r="Q482" t="b">
        <v>0</v>
      </c>
      <c r="R482" t="b">
        <v>1</v>
      </c>
      <c r="S482" t="s">
        <v>1286</v>
      </c>
      <c r="T482" t="s">
        <v>1287</v>
      </c>
      <c r="U482" t="s">
        <v>994</v>
      </c>
      <c r="V482" t="s">
        <v>1288</v>
      </c>
      <c r="W482" t="s">
        <v>1289</v>
      </c>
      <c r="X482" t="s">
        <v>1290</v>
      </c>
    </row>
    <row r="483" spans="1:24" x14ac:dyDescent="0.25">
      <c r="A483" t="s">
        <v>42</v>
      </c>
      <c r="B483" t="s">
        <v>2188</v>
      </c>
      <c r="C483" t="s">
        <v>403</v>
      </c>
      <c r="D483" t="s">
        <v>436</v>
      </c>
      <c r="E483" t="s">
        <v>1129</v>
      </c>
      <c r="F483">
        <v>23244</v>
      </c>
      <c r="G483" t="s">
        <v>982</v>
      </c>
      <c r="H483" t="s">
        <v>992</v>
      </c>
      <c r="I483" t="s">
        <v>992</v>
      </c>
      <c r="J483" t="s">
        <v>2058</v>
      </c>
      <c r="K483" t="s">
        <v>992</v>
      </c>
      <c r="L483" t="s">
        <v>992</v>
      </c>
      <c r="M483" t="s">
        <v>992</v>
      </c>
      <c r="N483" t="s">
        <v>992</v>
      </c>
      <c r="O483" t="s">
        <v>992</v>
      </c>
      <c r="P483" t="s">
        <v>992</v>
      </c>
      <c r="Q483" t="b">
        <v>0</v>
      </c>
      <c r="R483" t="b">
        <v>1</v>
      </c>
      <c r="S483" t="s">
        <v>1286</v>
      </c>
      <c r="T483" t="s">
        <v>1287</v>
      </c>
      <c r="U483" t="s">
        <v>994</v>
      </c>
      <c r="V483" t="s">
        <v>1288</v>
      </c>
      <c r="W483" t="s">
        <v>1289</v>
      </c>
      <c r="X483" t="s">
        <v>1290</v>
      </c>
    </row>
    <row r="484" spans="1:24" x14ac:dyDescent="0.25">
      <c r="A484" t="s">
        <v>44</v>
      </c>
      <c r="B484" t="s">
        <v>2189</v>
      </c>
      <c r="C484" t="s">
        <v>446</v>
      </c>
      <c r="D484" t="s">
        <v>44</v>
      </c>
      <c r="E484" t="s">
        <v>990</v>
      </c>
      <c r="F484">
        <v>20766</v>
      </c>
      <c r="G484" t="s">
        <v>2190</v>
      </c>
      <c r="H484" t="s">
        <v>2191</v>
      </c>
      <c r="I484" t="s">
        <v>446</v>
      </c>
      <c r="J484" t="s">
        <v>2190</v>
      </c>
      <c r="K484" t="s">
        <v>992</v>
      </c>
      <c r="L484" t="s">
        <v>992</v>
      </c>
      <c r="M484" t="s">
        <v>992</v>
      </c>
      <c r="N484" t="s">
        <v>992</v>
      </c>
      <c r="O484" t="s">
        <v>992</v>
      </c>
      <c r="P484" t="s">
        <v>992</v>
      </c>
      <c r="Q484" t="b">
        <v>1</v>
      </c>
      <c r="R484" t="b">
        <v>0</v>
      </c>
      <c r="S484" t="s">
        <v>1032</v>
      </c>
      <c r="T484" t="s">
        <v>992</v>
      </c>
      <c r="U484" t="s">
        <v>1139</v>
      </c>
      <c r="V484" t="s">
        <v>995</v>
      </c>
      <c r="W484" t="s">
        <v>2192</v>
      </c>
      <c r="X484" t="s">
        <v>2193</v>
      </c>
    </row>
    <row r="485" spans="1:24" x14ac:dyDescent="0.25">
      <c r="A485" t="s">
        <v>44</v>
      </c>
      <c r="B485" t="s">
        <v>2194</v>
      </c>
      <c r="C485" t="s">
        <v>446</v>
      </c>
      <c r="D485" t="s">
        <v>44</v>
      </c>
      <c r="E485" t="s">
        <v>999</v>
      </c>
      <c r="F485">
        <v>20907</v>
      </c>
      <c r="G485" t="s">
        <v>2190</v>
      </c>
      <c r="H485" t="s">
        <v>2195</v>
      </c>
      <c r="I485" t="s">
        <v>446</v>
      </c>
      <c r="J485" t="s">
        <v>2190</v>
      </c>
      <c r="K485" t="s">
        <v>992</v>
      </c>
      <c r="L485" t="s">
        <v>992</v>
      </c>
      <c r="M485" t="s">
        <v>992</v>
      </c>
      <c r="N485" t="s">
        <v>992</v>
      </c>
      <c r="O485" t="s">
        <v>992</v>
      </c>
      <c r="P485" t="s">
        <v>992</v>
      </c>
      <c r="Q485" t="b">
        <v>1</v>
      </c>
      <c r="R485" t="b">
        <v>0</v>
      </c>
      <c r="S485" t="s">
        <v>1032</v>
      </c>
      <c r="T485" t="s">
        <v>992</v>
      </c>
      <c r="U485" t="s">
        <v>1139</v>
      </c>
      <c r="V485" t="s">
        <v>995</v>
      </c>
      <c r="W485" t="s">
        <v>2192</v>
      </c>
      <c r="X485" t="s">
        <v>2193</v>
      </c>
    </row>
    <row r="486" spans="1:24" x14ac:dyDescent="0.25">
      <c r="A486" t="s">
        <v>44</v>
      </c>
      <c r="B486" t="s">
        <v>2196</v>
      </c>
      <c r="C486" t="s">
        <v>446</v>
      </c>
      <c r="D486" t="s">
        <v>44</v>
      </c>
      <c r="E486" t="s">
        <v>1001</v>
      </c>
      <c r="F486">
        <v>21213</v>
      </c>
      <c r="G486" t="s">
        <v>2190</v>
      </c>
      <c r="H486" t="s">
        <v>2197</v>
      </c>
      <c r="I486" t="s">
        <v>446</v>
      </c>
      <c r="J486" t="s">
        <v>2190</v>
      </c>
      <c r="K486" t="s">
        <v>992</v>
      </c>
      <c r="L486" t="s">
        <v>992</v>
      </c>
      <c r="M486" t="s">
        <v>992</v>
      </c>
      <c r="N486" t="s">
        <v>992</v>
      </c>
      <c r="O486" t="s">
        <v>992</v>
      </c>
      <c r="P486" t="s">
        <v>992</v>
      </c>
      <c r="Q486" t="b">
        <v>1</v>
      </c>
      <c r="R486" t="b">
        <v>0</v>
      </c>
      <c r="S486" t="s">
        <v>1032</v>
      </c>
      <c r="T486" t="s">
        <v>992</v>
      </c>
      <c r="U486" t="s">
        <v>1139</v>
      </c>
      <c r="V486" t="s">
        <v>995</v>
      </c>
      <c r="W486" t="s">
        <v>2192</v>
      </c>
      <c r="X486" t="s">
        <v>2193</v>
      </c>
    </row>
    <row r="487" spans="1:24" x14ac:dyDescent="0.25">
      <c r="A487" t="s">
        <v>44</v>
      </c>
      <c r="B487" t="s">
        <v>2198</v>
      </c>
      <c r="C487" t="s">
        <v>446</v>
      </c>
      <c r="D487" t="s">
        <v>44</v>
      </c>
      <c r="E487" t="s">
        <v>1003</v>
      </c>
      <c r="F487">
        <v>22314</v>
      </c>
      <c r="G487" t="s">
        <v>2190</v>
      </c>
      <c r="H487" t="s">
        <v>2199</v>
      </c>
      <c r="I487" t="s">
        <v>446</v>
      </c>
      <c r="J487" t="s">
        <v>2190</v>
      </c>
      <c r="K487" t="s">
        <v>992</v>
      </c>
      <c r="L487" t="s">
        <v>992</v>
      </c>
      <c r="M487" t="s">
        <v>992</v>
      </c>
      <c r="N487" t="s">
        <v>992</v>
      </c>
      <c r="O487" t="s">
        <v>992</v>
      </c>
      <c r="P487" t="s">
        <v>992</v>
      </c>
      <c r="Q487" t="b">
        <v>1</v>
      </c>
      <c r="R487" t="b">
        <v>0</v>
      </c>
      <c r="S487" t="s">
        <v>1032</v>
      </c>
      <c r="T487" t="s">
        <v>992</v>
      </c>
      <c r="U487" t="s">
        <v>1139</v>
      </c>
      <c r="V487" t="s">
        <v>995</v>
      </c>
      <c r="W487" t="s">
        <v>2192</v>
      </c>
      <c r="X487" t="s">
        <v>2193</v>
      </c>
    </row>
    <row r="488" spans="1:24" x14ac:dyDescent="0.25">
      <c r="A488" t="s">
        <v>44</v>
      </c>
      <c r="B488" t="s">
        <v>2200</v>
      </c>
      <c r="C488" t="s">
        <v>446</v>
      </c>
      <c r="D488" t="s">
        <v>44</v>
      </c>
      <c r="E488" t="s">
        <v>1005</v>
      </c>
      <c r="F488">
        <v>23117</v>
      </c>
      <c r="G488" t="s">
        <v>2190</v>
      </c>
      <c r="H488" t="s">
        <v>2201</v>
      </c>
      <c r="I488" t="s">
        <v>446</v>
      </c>
      <c r="J488" t="s">
        <v>2190</v>
      </c>
      <c r="K488" t="s">
        <v>992</v>
      </c>
      <c r="L488" t="s">
        <v>992</v>
      </c>
      <c r="M488" t="s">
        <v>992</v>
      </c>
      <c r="N488" t="s">
        <v>992</v>
      </c>
      <c r="O488" t="s">
        <v>992</v>
      </c>
      <c r="P488" t="s">
        <v>992</v>
      </c>
      <c r="Q488" t="b">
        <v>1</v>
      </c>
      <c r="R488" t="b">
        <v>0</v>
      </c>
      <c r="S488" t="s">
        <v>1032</v>
      </c>
      <c r="T488" t="s">
        <v>992</v>
      </c>
      <c r="U488" t="s">
        <v>1139</v>
      </c>
      <c r="V488" t="s">
        <v>995</v>
      </c>
      <c r="W488" t="s">
        <v>2192</v>
      </c>
      <c r="X488" t="s">
        <v>2193</v>
      </c>
    </row>
    <row r="489" spans="1:24" x14ac:dyDescent="0.25">
      <c r="A489" t="s">
        <v>44</v>
      </c>
      <c r="B489" t="s">
        <v>2202</v>
      </c>
      <c r="C489" t="s">
        <v>446</v>
      </c>
      <c r="D489" t="s">
        <v>44</v>
      </c>
      <c r="E489" t="s">
        <v>1007</v>
      </c>
      <c r="F489">
        <v>23867</v>
      </c>
      <c r="G489" t="s">
        <v>2190</v>
      </c>
      <c r="H489" t="s">
        <v>2203</v>
      </c>
      <c r="I489" t="s">
        <v>446</v>
      </c>
      <c r="J489" t="s">
        <v>2190</v>
      </c>
      <c r="K489" t="s">
        <v>992</v>
      </c>
      <c r="L489" t="s">
        <v>992</v>
      </c>
      <c r="M489" t="s">
        <v>992</v>
      </c>
      <c r="N489" t="s">
        <v>992</v>
      </c>
      <c r="O489" t="s">
        <v>992</v>
      </c>
      <c r="P489" t="s">
        <v>992</v>
      </c>
      <c r="Q489" t="b">
        <v>1</v>
      </c>
      <c r="R489" t="b">
        <v>0</v>
      </c>
      <c r="S489" t="s">
        <v>1032</v>
      </c>
      <c r="T489" t="s">
        <v>992</v>
      </c>
      <c r="U489" t="s">
        <v>1139</v>
      </c>
      <c r="V489" t="s">
        <v>995</v>
      </c>
      <c r="W489" t="s">
        <v>2192</v>
      </c>
      <c r="X489" t="s">
        <v>2193</v>
      </c>
    </row>
    <row r="490" spans="1:24" x14ac:dyDescent="0.25">
      <c r="A490" t="s">
        <v>44</v>
      </c>
      <c r="B490" t="s">
        <v>2204</v>
      </c>
      <c r="C490" t="s">
        <v>446</v>
      </c>
      <c r="D490" t="s">
        <v>44</v>
      </c>
      <c r="E490" t="s">
        <v>1009</v>
      </c>
      <c r="F490">
        <v>24213</v>
      </c>
      <c r="G490" t="s">
        <v>2190</v>
      </c>
      <c r="H490" t="s">
        <v>2205</v>
      </c>
      <c r="I490" t="s">
        <v>446</v>
      </c>
      <c r="J490" t="s">
        <v>2190</v>
      </c>
      <c r="K490" t="s">
        <v>992</v>
      </c>
      <c r="L490" t="s">
        <v>992</v>
      </c>
      <c r="M490" t="s">
        <v>992</v>
      </c>
      <c r="N490" t="s">
        <v>992</v>
      </c>
      <c r="O490" t="s">
        <v>992</v>
      </c>
      <c r="P490" t="s">
        <v>992</v>
      </c>
      <c r="Q490" t="b">
        <v>1</v>
      </c>
      <c r="R490" t="b">
        <v>0</v>
      </c>
      <c r="S490" t="s">
        <v>1032</v>
      </c>
      <c r="T490" t="s">
        <v>992</v>
      </c>
      <c r="U490" t="s">
        <v>1139</v>
      </c>
      <c r="V490" t="s">
        <v>995</v>
      </c>
      <c r="W490" t="s">
        <v>2192</v>
      </c>
      <c r="X490" t="s">
        <v>2193</v>
      </c>
    </row>
    <row r="491" spans="1:24" x14ac:dyDescent="0.25">
      <c r="A491" t="s">
        <v>44</v>
      </c>
      <c r="B491" t="s">
        <v>2206</v>
      </c>
      <c r="C491" t="s">
        <v>446</v>
      </c>
      <c r="D491" t="s">
        <v>44</v>
      </c>
      <c r="E491" t="s">
        <v>1011</v>
      </c>
      <c r="F491">
        <v>24972</v>
      </c>
      <c r="G491" t="s">
        <v>2190</v>
      </c>
      <c r="H491" t="s">
        <v>2207</v>
      </c>
      <c r="I491" t="s">
        <v>446</v>
      </c>
      <c r="J491" t="s">
        <v>2190</v>
      </c>
      <c r="K491" t="s">
        <v>992</v>
      </c>
      <c r="L491" t="s">
        <v>992</v>
      </c>
      <c r="M491" t="s">
        <v>992</v>
      </c>
      <c r="N491" t="s">
        <v>992</v>
      </c>
      <c r="O491" t="s">
        <v>992</v>
      </c>
      <c r="P491" t="s">
        <v>992</v>
      </c>
      <c r="Q491" t="b">
        <v>1</v>
      </c>
      <c r="R491" t="b">
        <v>0</v>
      </c>
      <c r="S491" t="s">
        <v>1032</v>
      </c>
      <c r="T491" t="s">
        <v>992</v>
      </c>
      <c r="U491" t="s">
        <v>1139</v>
      </c>
      <c r="V491" t="s">
        <v>995</v>
      </c>
      <c r="W491" t="s">
        <v>2192</v>
      </c>
      <c r="X491" t="s">
        <v>2193</v>
      </c>
    </row>
    <row r="492" spans="1:24" x14ac:dyDescent="0.25">
      <c r="A492" t="s">
        <v>44</v>
      </c>
      <c r="B492" t="s">
        <v>2208</v>
      </c>
      <c r="C492" t="s">
        <v>446</v>
      </c>
      <c r="D492" t="s">
        <v>44</v>
      </c>
      <c r="E492" t="s">
        <v>1013</v>
      </c>
      <c r="F492">
        <v>26340</v>
      </c>
      <c r="G492" t="s">
        <v>2190</v>
      </c>
      <c r="H492" t="s">
        <v>2209</v>
      </c>
      <c r="I492" t="s">
        <v>446</v>
      </c>
      <c r="J492" t="s">
        <v>2190</v>
      </c>
      <c r="K492" t="s">
        <v>992</v>
      </c>
      <c r="L492" t="s">
        <v>992</v>
      </c>
      <c r="M492" t="s">
        <v>992</v>
      </c>
      <c r="N492" t="s">
        <v>992</v>
      </c>
      <c r="O492" t="s">
        <v>992</v>
      </c>
      <c r="P492" t="s">
        <v>992</v>
      </c>
      <c r="Q492" t="b">
        <v>1</v>
      </c>
      <c r="R492" t="b">
        <v>0</v>
      </c>
      <c r="S492" t="s">
        <v>1032</v>
      </c>
      <c r="T492" t="s">
        <v>992</v>
      </c>
      <c r="U492" t="s">
        <v>1139</v>
      </c>
      <c r="V492" t="s">
        <v>995</v>
      </c>
      <c r="W492" t="s">
        <v>2192</v>
      </c>
      <c r="X492" t="s">
        <v>2193</v>
      </c>
    </row>
    <row r="493" spans="1:24" x14ac:dyDescent="0.25">
      <c r="A493" t="s">
        <v>44</v>
      </c>
      <c r="B493" t="s">
        <v>2210</v>
      </c>
      <c r="C493" t="s">
        <v>446</v>
      </c>
      <c r="D493" t="s">
        <v>44</v>
      </c>
      <c r="E493" t="s">
        <v>1015</v>
      </c>
      <c r="F493">
        <v>26645</v>
      </c>
      <c r="G493" t="s">
        <v>2190</v>
      </c>
      <c r="H493" t="s">
        <v>2211</v>
      </c>
      <c r="I493" t="s">
        <v>446</v>
      </c>
      <c r="J493" t="s">
        <v>2190</v>
      </c>
      <c r="K493" t="s">
        <v>992</v>
      </c>
      <c r="L493" t="s">
        <v>992</v>
      </c>
      <c r="M493" t="s">
        <v>992</v>
      </c>
      <c r="N493" t="s">
        <v>992</v>
      </c>
      <c r="O493" t="s">
        <v>992</v>
      </c>
      <c r="P493" t="s">
        <v>992</v>
      </c>
      <c r="Q493" t="b">
        <v>1</v>
      </c>
      <c r="R493" t="b">
        <v>0</v>
      </c>
      <c r="S493" t="s">
        <v>1032</v>
      </c>
      <c r="T493" t="s">
        <v>992</v>
      </c>
      <c r="U493" t="s">
        <v>1139</v>
      </c>
      <c r="V493" t="s">
        <v>995</v>
      </c>
      <c r="W493" t="s">
        <v>2192</v>
      </c>
      <c r="X493" t="s">
        <v>2193</v>
      </c>
    </row>
    <row r="494" spans="1:24" x14ac:dyDescent="0.25">
      <c r="A494" t="s">
        <v>44</v>
      </c>
      <c r="B494" t="s">
        <v>2212</v>
      </c>
      <c r="C494" t="s">
        <v>446</v>
      </c>
      <c r="D494" t="s">
        <v>44</v>
      </c>
      <c r="E494" t="s">
        <v>1017</v>
      </c>
      <c r="F494">
        <v>27423</v>
      </c>
      <c r="G494" t="s">
        <v>2190</v>
      </c>
      <c r="H494" t="s">
        <v>2213</v>
      </c>
      <c r="I494" t="s">
        <v>446</v>
      </c>
      <c r="J494" t="s">
        <v>2190</v>
      </c>
      <c r="K494" t="s">
        <v>992</v>
      </c>
      <c r="L494" t="s">
        <v>992</v>
      </c>
      <c r="M494" t="s">
        <v>992</v>
      </c>
      <c r="N494" t="s">
        <v>992</v>
      </c>
      <c r="O494" t="s">
        <v>992</v>
      </c>
      <c r="P494" t="s">
        <v>992</v>
      </c>
      <c r="Q494" t="b">
        <v>1</v>
      </c>
      <c r="R494" t="b">
        <v>0</v>
      </c>
      <c r="S494" t="s">
        <v>1032</v>
      </c>
      <c r="T494" t="s">
        <v>992</v>
      </c>
      <c r="U494" t="s">
        <v>1139</v>
      </c>
      <c r="V494" t="s">
        <v>995</v>
      </c>
      <c r="W494" t="s">
        <v>2192</v>
      </c>
      <c r="X494" t="s">
        <v>2193</v>
      </c>
    </row>
    <row r="495" spans="1:24" x14ac:dyDescent="0.25">
      <c r="A495" t="s">
        <v>44</v>
      </c>
      <c r="B495" t="s">
        <v>2214</v>
      </c>
      <c r="C495" t="s">
        <v>446</v>
      </c>
      <c r="D495" t="s">
        <v>44</v>
      </c>
      <c r="E495" t="s">
        <v>1019</v>
      </c>
      <c r="F495">
        <v>28750</v>
      </c>
      <c r="G495" t="s">
        <v>2190</v>
      </c>
      <c r="H495" t="s">
        <v>2215</v>
      </c>
      <c r="I495" t="s">
        <v>446</v>
      </c>
      <c r="J495" t="s">
        <v>2190</v>
      </c>
      <c r="K495" t="s">
        <v>992</v>
      </c>
      <c r="L495" t="s">
        <v>992</v>
      </c>
      <c r="M495" t="s">
        <v>992</v>
      </c>
      <c r="N495" t="s">
        <v>992</v>
      </c>
      <c r="O495" t="s">
        <v>992</v>
      </c>
      <c r="P495" t="s">
        <v>992</v>
      </c>
      <c r="Q495" t="b">
        <v>1</v>
      </c>
      <c r="R495" t="b">
        <v>0</v>
      </c>
      <c r="S495" t="s">
        <v>1032</v>
      </c>
      <c r="T495" t="s">
        <v>992</v>
      </c>
      <c r="U495" t="s">
        <v>1139</v>
      </c>
      <c r="V495" t="s">
        <v>995</v>
      </c>
      <c r="W495" t="s">
        <v>2192</v>
      </c>
      <c r="X495" t="s">
        <v>2193</v>
      </c>
    </row>
    <row r="496" spans="1:24" x14ac:dyDescent="0.25">
      <c r="A496" t="s">
        <v>44</v>
      </c>
      <c r="B496" t="s">
        <v>2216</v>
      </c>
      <c r="C496" t="s">
        <v>446</v>
      </c>
      <c r="D496" t="s">
        <v>44</v>
      </c>
      <c r="E496" t="s">
        <v>1021</v>
      </c>
      <c r="F496">
        <v>30013</v>
      </c>
      <c r="G496" t="s">
        <v>2190</v>
      </c>
      <c r="H496" t="s">
        <v>2217</v>
      </c>
      <c r="I496" t="s">
        <v>446</v>
      </c>
      <c r="J496" t="s">
        <v>2190</v>
      </c>
      <c r="K496" t="s">
        <v>992</v>
      </c>
      <c r="L496" t="s">
        <v>992</v>
      </c>
      <c r="M496" t="s">
        <v>992</v>
      </c>
      <c r="N496" t="s">
        <v>992</v>
      </c>
      <c r="O496" t="s">
        <v>992</v>
      </c>
      <c r="P496" t="s">
        <v>992</v>
      </c>
      <c r="Q496" t="b">
        <v>1</v>
      </c>
      <c r="R496" t="b">
        <v>0</v>
      </c>
      <c r="S496" t="s">
        <v>1032</v>
      </c>
      <c r="T496" t="s">
        <v>992</v>
      </c>
      <c r="U496" t="s">
        <v>1139</v>
      </c>
      <c r="V496" t="s">
        <v>995</v>
      </c>
      <c r="W496" t="s">
        <v>2192</v>
      </c>
      <c r="X496" t="s">
        <v>2193</v>
      </c>
    </row>
    <row r="497" spans="1:24" x14ac:dyDescent="0.25">
      <c r="A497" t="s">
        <v>44</v>
      </c>
      <c r="B497" t="s">
        <v>2218</v>
      </c>
      <c r="C497" t="s">
        <v>446</v>
      </c>
      <c r="D497" t="s">
        <v>44</v>
      </c>
      <c r="E497" t="s">
        <v>1129</v>
      </c>
      <c r="F497">
        <v>30976</v>
      </c>
      <c r="G497" t="s">
        <v>2190</v>
      </c>
      <c r="H497" t="s">
        <v>2219</v>
      </c>
      <c r="I497" t="s">
        <v>446</v>
      </c>
      <c r="J497" t="s">
        <v>2190</v>
      </c>
      <c r="K497" t="s">
        <v>992</v>
      </c>
      <c r="L497" t="s">
        <v>992</v>
      </c>
      <c r="M497" t="s">
        <v>992</v>
      </c>
      <c r="N497" t="s">
        <v>992</v>
      </c>
      <c r="O497" t="s">
        <v>992</v>
      </c>
      <c r="P497" t="s">
        <v>992</v>
      </c>
      <c r="Q497" t="b">
        <v>1</v>
      </c>
      <c r="R497" t="b">
        <v>0</v>
      </c>
      <c r="S497" t="s">
        <v>1032</v>
      </c>
      <c r="T497" t="s">
        <v>992</v>
      </c>
      <c r="U497" t="s">
        <v>1139</v>
      </c>
      <c r="V497" t="s">
        <v>995</v>
      </c>
      <c r="W497" t="s">
        <v>2192</v>
      </c>
      <c r="X497" t="s">
        <v>2193</v>
      </c>
    </row>
    <row r="498" spans="1:24" x14ac:dyDescent="0.25">
      <c r="A498" t="s">
        <v>44</v>
      </c>
      <c r="B498" t="s">
        <v>2220</v>
      </c>
      <c r="C498" t="s">
        <v>447</v>
      </c>
      <c r="D498" t="s">
        <v>44</v>
      </c>
      <c r="E498" t="s">
        <v>990</v>
      </c>
      <c r="F498">
        <v>65775</v>
      </c>
      <c r="G498" t="s">
        <v>2190</v>
      </c>
      <c r="H498" t="s">
        <v>2221</v>
      </c>
      <c r="I498" t="s">
        <v>447</v>
      </c>
      <c r="J498" t="s">
        <v>2190</v>
      </c>
      <c r="K498" t="s">
        <v>992</v>
      </c>
      <c r="L498" t="s">
        <v>992</v>
      </c>
      <c r="M498" t="s">
        <v>992</v>
      </c>
      <c r="N498" t="s">
        <v>992</v>
      </c>
      <c r="O498" t="s">
        <v>992</v>
      </c>
      <c r="P498" t="s">
        <v>992</v>
      </c>
      <c r="Q498" t="b">
        <v>1</v>
      </c>
      <c r="R498" t="b">
        <v>0</v>
      </c>
      <c r="S498" t="s">
        <v>1032</v>
      </c>
      <c r="T498" t="s">
        <v>992</v>
      </c>
      <c r="U498" t="s">
        <v>1139</v>
      </c>
      <c r="V498" t="s">
        <v>995</v>
      </c>
      <c r="W498" t="s">
        <v>2192</v>
      </c>
      <c r="X498" t="s">
        <v>2222</v>
      </c>
    </row>
    <row r="499" spans="1:24" x14ac:dyDescent="0.25">
      <c r="A499" t="s">
        <v>44</v>
      </c>
      <c r="B499" t="s">
        <v>2223</v>
      </c>
      <c r="C499" t="s">
        <v>447</v>
      </c>
      <c r="D499" t="s">
        <v>44</v>
      </c>
      <c r="E499" t="s">
        <v>999</v>
      </c>
      <c r="F499">
        <v>51334</v>
      </c>
      <c r="G499" t="s">
        <v>2190</v>
      </c>
      <c r="H499" t="s">
        <v>2224</v>
      </c>
      <c r="I499" t="s">
        <v>447</v>
      </c>
      <c r="J499" t="s">
        <v>2190</v>
      </c>
      <c r="K499" t="s">
        <v>992</v>
      </c>
      <c r="L499" t="s">
        <v>992</v>
      </c>
      <c r="M499" t="s">
        <v>992</v>
      </c>
      <c r="N499" t="s">
        <v>992</v>
      </c>
      <c r="O499" t="s">
        <v>992</v>
      </c>
      <c r="P499" t="s">
        <v>992</v>
      </c>
      <c r="Q499" t="b">
        <v>1</v>
      </c>
      <c r="R499" t="b">
        <v>0</v>
      </c>
      <c r="S499" t="s">
        <v>1032</v>
      </c>
      <c r="T499" t="s">
        <v>992</v>
      </c>
      <c r="U499" t="s">
        <v>1139</v>
      </c>
      <c r="V499" t="s">
        <v>995</v>
      </c>
      <c r="W499" t="s">
        <v>2192</v>
      </c>
      <c r="X499" t="s">
        <v>2222</v>
      </c>
    </row>
    <row r="500" spans="1:24" x14ac:dyDescent="0.25">
      <c r="A500" t="s">
        <v>44</v>
      </c>
      <c r="B500" t="s">
        <v>2225</v>
      </c>
      <c r="C500" t="s">
        <v>447</v>
      </c>
      <c r="D500" t="s">
        <v>44</v>
      </c>
      <c r="E500" t="s">
        <v>1001</v>
      </c>
      <c r="F500">
        <v>39669</v>
      </c>
      <c r="G500" t="s">
        <v>2190</v>
      </c>
      <c r="H500" t="s">
        <v>2226</v>
      </c>
      <c r="I500" t="s">
        <v>447</v>
      </c>
      <c r="J500" t="s">
        <v>2190</v>
      </c>
      <c r="K500" t="s">
        <v>992</v>
      </c>
      <c r="L500" t="s">
        <v>992</v>
      </c>
      <c r="M500" t="s">
        <v>992</v>
      </c>
      <c r="N500" t="s">
        <v>992</v>
      </c>
      <c r="O500" t="s">
        <v>992</v>
      </c>
      <c r="P500" t="s">
        <v>992</v>
      </c>
      <c r="Q500" t="b">
        <v>1</v>
      </c>
      <c r="R500" t="b">
        <v>0</v>
      </c>
      <c r="S500" t="s">
        <v>1032</v>
      </c>
      <c r="T500" t="s">
        <v>992</v>
      </c>
      <c r="U500" t="s">
        <v>1139</v>
      </c>
      <c r="V500" t="s">
        <v>995</v>
      </c>
      <c r="W500" t="s">
        <v>2192</v>
      </c>
      <c r="X500" t="s">
        <v>2222</v>
      </c>
    </row>
    <row r="501" spans="1:24" x14ac:dyDescent="0.25">
      <c r="A501" t="s">
        <v>44</v>
      </c>
      <c r="B501" t="s">
        <v>2227</v>
      </c>
      <c r="C501" t="s">
        <v>447</v>
      </c>
      <c r="D501" t="s">
        <v>44</v>
      </c>
      <c r="E501" t="s">
        <v>1003</v>
      </c>
      <c r="F501">
        <v>43805</v>
      </c>
      <c r="G501" t="s">
        <v>2190</v>
      </c>
      <c r="H501" t="s">
        <v>2228</v>
      </c>
      <c r="I501" t="s">
        <v>447</v>
      </c>
      <c r="J501" t="s">
        <v>2190</v>
      </c>
      <c r="K501" t="s">
        <v>992</v>
      </c>
      <c r="L501" t="s">
        <v>992</v>
      </c>
      <c r="M501" t="s">
        <v>992</v>
      </c>
      <c r="N501" t="s">
        <v>992</v>
      </c>
      <c r="O501" t="s">
        <v>992</v>
      </c>
      <c r="P501" t="s">
        <v>992</v>
      </c>
      <c r="Q501" t="b">
        <v>1</v>
      </c>
      <c r="R501" t="b">
        <v>0</v>
      </c>
      <c r="S501" t="s">
        <v>1032</v>
      </c>
      <c r="T501" t="s">
        <v>992</v>
      </c>
      <c r="U501" t="s">
        <v>1139</v>
      </c>
      <c r="V501" t="s">
        <v>995</v>
      </c>
      <c r="W501" t="s">
        <v>2192</v>
      </c>
      <c r="X501" t="s">
        <v>2222</v>
      </c>
    </row>
    <row r="502" spans="1:24" x14ac:dyDescent="0.25">
      <c r="A502" t="s">
        <v>44</v>
      </c>
      <c r="B502" t="s">
        <v>2229</v>
      </c>
      <c r="C502" t="s">
        <v>447</v>
      </c>
      <c r="D502" t="s">
        <v>44</v>
      </c>
      <c r="E502" t="s">
        <v>1005</v>
      </c>
      <c r="F502">
        <v>69702</v>
      </c>
      <c r="G502" t="s">
        <v>2190</v>
      </c>
      <c r="H502" t="s">
        <v>2230</v>
      </c>
      <c r="I502" t="s">
        <v>447</v>
      </c>
      <c r="J502" t="s">
        <v>2190</v>
      </c>
      <c r="K502" t="s">
        <v>992</v>
      </c>
      <c r="L502" t="s">
        <v>992</v>
      </c>
      <c r="M502" t="s">
        <v>992</v>
      </c>
      <c r="N502" t="s">
        <v>992</v>
      </c>
      <c r="O502" t="s">
        <v>992</v>
      </c>
      <c r="P502" t="s">
        <v>992</v>
      </c>
      <c r="Q502" t="b">
        <v>1</v>
      </c>
      <c r="R502" t="b">
        <v>0</v>
      </c>
      <c r="S502" t="s">
        <v>1032</v>
      </c>
      <c r="T502" t="s">
        <v>992</v>
      </c>
      <c r="U502" t="s">
        <v>1139</v>
      </c>
      <c r="V502" t="s">
        <v>995</v>
      </c>
      <c r="W502" t="s">
        <v>2192</v>
      </c>
      <c r="X502" t="s">
        <v>2222</v>
      </c>
    </row>
    <row r="503" spans="1:24" x14ac:dyDescent="0.25">
      <c r="A503" t="s">
        <v>44</v>
      </c>
      <c r="B503" t="s">
        <v>2231</v>
      </c>
      <c r="C503" t="s">
        <v>447</v>
      </c>
      <c r="D503" t="s">
        <v>44</v>
      </c>
      <c r="E503" t="s">
        <v>1007</v>
      </c>
      <c r="F503">
        <v>45963</v>
      </c>
      <c r="G503" t="s">
        <v>2190</v>
      </c>
      <c r="H503" t="s">
        <v>2232</v>
      </c>
      <c r="I503" t="s">
        <v>447</v>
      </c>
      <c r="J503" t="s">
        <v>2190</v>
      </c>
      <c r="K503" t="s">
        <v>992</v>
      </c>
      <c r="L503" t="s">
        <v>992</v>
      </c>
      <c r="M503" t="s">
        <v>992</v>
      </c>
      <c r="N503" t="s">
        <v>992</v>
      </c>
      <c r="O503" t="s">
        <v>992</v>
      </c>
      <c r="P503" t="s">
        <v>992</v>
      </c>
      <c r="Q503" t="b">
        <v>1</v>
      </c>
      <c r="R503" t="b">
        <v>0</v>
      </c>
      <c r="S503" t="s">
        <v>1032</v>
      </c>
      <c r="T503" t="s">
        <v>992</v>
      </c>
      <c r="U503" t="s">
        <v>1139</v>
      </c>
      <c r="V503" t="s">
        <v>995</v>
      </c>
      <c r="W503" t="s">
        <v>2192</v>
      </c>
      <c r="X503" t="s">
        <v>2222</v>
      </c>
    </row>
    <row r="504" spans="1:24" x14ac:dyDescent="0.25">
      <c r="A504" t="s">
        <v>44</v>
      </c>
      <c r="B504" t="s">
        <v>2233</v>
      </c>
      <c r="C504" t="s">
        <v>447</v>
      </c>
      <c r="D504" t="s">
        <v>44</v>
      </c>
      <c r="E504" t="s">
        <v>1009</v>
      </c>
      <c r="F504">
        <v>39296</v>
      </c>
      <c r="G504" t="s">
        <v>2190</v>
      </c>
      <c r="H504" t="s">
        <v>2234</v>
      </c>
      <c r="I504" t="s">
        <v>447</v>
      </c>
      <c r="J504" t="s">
        <v>2190</v>
      </c>
      <c r="K504" t="s">
        <v>992</v>
      </c>
      <c r="L504" t="s">
        <v>992</v>
      </c>
      <c r="M504" t="s">
        <v>992</v>
      </c>
      <c r="N504" t="s">
        <v>992</v>
      </c>
      <c r="O504" t="s">
        <v>992</v>
      </c>
      <c r="P504" t="s">
        <v>992</v>
      </c>
      <c r="Q504" t="b">
        <v>1</v>
      </c>
      <c r="R504" t="b">
        <v>0</v>
      </c>
      <c r="S504" t="s">
        <v>1032</v>
      </c>
      <c r="T504" t="s">
        <v>992</v>
      </c>
      <c r="U504" t="s">
        <v>1139</v>
      </c>
      <c r="V504" t="s">
        <v>995</v>
      </c>
      <c r="W504" t="s">
        <v>2192</v>
      </c>
      <c r="X504" t="s">
        <v>2222</v>
      </c>
    </row>
    <row r="505" spans="1:24" x14ac:dyDescent="0.25">
      <c r="A505" t="s">
        <v>44</v>
      </c>
      <c r="B505" t="s">
        <v>2235</v>
      </c>
      <c r="C505" t="s">
        <v>447</v>
      </c>
      <c r="D505" t="s">
        <v>44</v>
      </c>
      <c r="E505" t="s">
        <v>1011</v>
      </c>
      <c r="F505">
        <v>46222</v>
      </c>
      <c r="G505" t="s">
        <v>2190</v>
      </c>
      <c r="H505" t="s">
        <v>2236</v>
      </c>
      <c r="I505" t="s">
        <v>447</v>
      </c>
      <c r="J505" t="s">
        <v>2190</v>
      </c>
      <c r="K505" t="s">
        <v>992</v>
      </c>
      <c r="L505" t="s">
        <v>992</v>
      </c>
      <c r="M505" t="s">
        <v>992</v>
      </c>
      <c r="N505" t="s">
        <v>992</v>
      </c>
      <c r="O505" t="s">
        <v>992</v>
      </c>
      <c r="P505" t="s">
        <v>992</v>
      </c>
      <c r="Q505" t="b">
        <v>1</v>
      </c>
      <c r="R505" t="b">
        <v>0</v>
      </c>
      <c r="S505" t="s">
        <v>1032</v>
      </c>
      <c r="T505" t="s">
        <v>992</v>
      </c>
      <c r="U505" t="s">
        <v>1139</v>
      </c>
      <c r="V505" t="s">
        <v>995</v>
      </c>
      <c r="W505" t="s">
        <v>2192</v>
      </c>
      <c r="X505" t="s">
        <v>2222</v>
      </c>
    </row>
    <row r="506" spans="1:24" x14ac:dyDescent="0.25">
      <c r="A506" t="s">
        <v>44</v>
      </c>
      <c r="B506" t="s">
        <v>2237</v>
      </c>
      <c r="C506" t="s">
        <v>447</v>
      </c>
      <c r="D506" t="s">
        <v>44</v>
      </c>
      <c r="E506" t="s">
        <v>1013</v>
      </c>
      <c r="F506">
        <v>69138</v>
      </c>
      <c r="G506" t="s">
        <v>2190</v>
      </c>
      <c r="H506" t="s">
        <v>2238</v>
      </c>
      <c r="I506" t="s">
        <v>447</v>
      </c>
      <c r="J506" t="s">
        <v>2190</v>
      </c>
      <c r="K506" t="s">
        <v>992</v>
      </c>
      <c r="L506" t="s">
        <v>992</v>
      </c>
      <c r="M506" t="s">
        <v>992</v>
      </c>
      <c r="N506" t="s">
        <v>992</v>
      </c>
      <c r="O506" t="s">
        <v>992</v>
      </c>
      <c r="P506" t="s">
        <v>992</v>
      </c>
      <c r="Q506" t="b">
        <v>1</v>
      </c>
      <c r="R506" t="b">
        <v>0</v>
      </c>
      <c r="S506" t="s">
        <v>1032</v>
      </c>
      <c r="T506" t="s">
        <v>992</v>
      </c>
      <c r="U506" t="s">
        <v>1139</v>
      </c>
      <c r="V506" t="s">
        <v>995</v>
      </c>
      <c r="W506" t="s">
        <v>2192</v>
      </c>
      <c r="X506" t="s">
        <v>2222</v>
      </c>
    </row>
    <row r="507" spans="1:24" x14ac:dyDescent="0.25">
      <c r="A507" t="s">
        <v>44</v>
      </c>
      <c r="B507" t="s">
        <v>2239</v>
      </c>
      <c r="C507" t="s">
        <v>447</v>
      </c>
      <c r="D507" t="s">
        <v>44</v>
      </c>
      <c r="E507" t="s">
        <v>1015</v>
      </c>
      <c r="F507">
        <v>46841</v>
      </c>
      <c r="G507" t="s">
        <v>2190</v>
      </c>
      <c r="H507" t="s">
        <v>2240</v>
      </c>
      <c r="I507" t="s">
        <v>447</v>
      </c>
      <c r="J507" t="s">
        <v>2190</v>
      </c>
      <c r="K507" t="s">
        <v>992</v>
      </c>
      <c r="L507" t="s">
        <v>992</v>
      </c>
      <c r="M507" t="s">
        <v>992</v>
      </c>
      <c r="N507" t="s">
        <v>992</v>
      </c>
      <c r="O507" t="s">
        <v>992</v>
      </c>
      <c r="P507" t="s">
        <v>992</v>
      </c>
      <c r="Q507" t="b">
        <v>1</v>
      </c>
      <c r="R507" t="b">
        <v>0</v>
      </c>
      <c r="S507" t="s">
        <v>1032</v>
      </c>
      <c r="T507" t="s">
        <v>992</v>
      </c>
      <c r="U507" t="s">
        <v>1139</v>
      </c>
      <c r="V507" t="s">
        <v>995</v>
      </c>
      <c r="W507" t="s">
        <v>2192</v>
      </c>
      <c r="X507" t="s">
        <v>2222</v>
      </c>
    </row>
    <row r="508" spans="1:24" x14ac:dyDescent="0.25">
      <c r="A508" t="s">
        <v>44</v>
      </c>
      <c r="B508" t="s">
        <v>2241</v>
      </c>
      <c r="C508" t="s">
        <v>447</v>
      </c>
      <c r="D508" t="s">
        <v>44</v>
      </c>
      <c r="E508" t="s">
        <v>1017</v>
      </c>
      <c r="F508">
        <v>44582</v>
      </c>
      <c r="G508" t="s">
        <v>2190</v>
      </c>
      <c r="H508" t="s">
        <v>2242</v>
      </c>
      <c r="I508" t="s">
        <v>447</v>
      </c>
      <c r="J508" t="s">
        <v>2190</v>
      </c>
      <c r="K508" t="s">
        <v>992</v>
      </c>
      <c r="L508" t="s">
        <v>992</v>
      </c>
      <c r="M508" t="s">
        <v>992</v>
      </c>
      <c r="N508" t="s">
        <v>992</v>
      </c>
      <c r="O508" t="s">
        <v>992</v>
      </c>
      <c r="P508" t="s">
        <v>992</v>
      </c>
      <c r="Q508" t="b">
        <v>1</v>
      </c>
      <c r="R508" t="b">
        <v>0</v>
      </c>
      <c r="S508" t="s">
        <v>1032</v>
      </c>
      <c r="T508" t="s">
        <v>992</v>
      </c>
      <c r="U508" t="s">
        <v>1139</v>
      </c>
      <c r="V508" t="s">
        <v>995</v>
      </c>
      <c r="W508" t="s">
        <v>2192</v>
      </c>
      <c r="X508" t="s">
        <v>2222</v>
      </c>
    </row>
    <row r="509" spans="1:24" x14ac:dyDescent="0.25">
      <c r="A509" t="s">
        <v>44</v>
      </c>
      <c r="B509" t="s">
        <v>2243</v>
      </c>
      <c r="C509" t="s">
        <v>447</v>
      </c>
      <c r="D509" t="s">
        <v>44</v>
      </c>
      <c r="E509" t="s">
        <v>1019</v>
      </c>
      <c r="F509">
        <v>49025</v>
      </c>
      <c r="G509" t="s">
        <v>2190</v>
      </c>
      <c r="H509" t="s">
        <v>2244</v>
      </c>
      <c r="I509" t="s">
        <v>447</v>
      </c>
      <c r="J509" t="s">
        <v>2190</v>
      </c>
      <c r="K509" t="s">
        <v>992</v>
      </c>
      <c r="L509" t="s">
        <v>992</v>
      </c>
      <c r="M509" t="s">
        <v>992</v>
      </c>
      <c r="N509" t="s">
        <v>992</v>
      </c>
      <c r="O509" t="s">
        <v>992</v>
      </c>
      <c r="P509" t="s">
        <v>992</v>
      </c>
      <c r="Q509" t="b">
        <v>1</v>
      </c>
      <c r="R509" t="b">
        <v>0</v>
      </c>
      <c r="S509" t="s">
        <v>1032</v>
      </c>
      <c r="T509" t="s">
        <v>992</v>
      </c>
      <c r="U509" t="s">
        <v>1139</v>
      </c>
      <c r="V509" t="s">
        <v>995</v>
      </c>
      <c r="W509" t="s">
        <v>2192</v>
      </c>
      <c r="X509" t="s">
        <v>2222</v>
      </c>
    </row>
    <row r="510" spans="1:24" x14ac:dyDescent="0.25">
      <c r="A510" t="s">
        <v>44</v>
      </c>
      <c r="B510" t="s">
        <v>2245</v>
      </c>
      <c r="C510" t="s">
        <v>447</v>
      </c>
      <c r="D510" t="s">
        <v>44</v>
      </c>
      <c r="E510" t="s">
        <v>1021</v>
      </c>
      <c r="F510">
        <v>85269</v>
      </c>
      <c r="G510" t="s">
        <v>2190</v>
      </c>
      <c r="H510" t="s">
        <v>2246</v>
      </c>
      <c r="I510" t="s">
        <v>447</v>
      </c>
      <c r="J510" t="s">
        <v>2190</v>
      </c>
      <c r="K510" t="s">
        <v>992</v>
      </c>
      <c r="L510" t="s">
        <v>992</v>
      </c>
      <c r="M510" t="s">
        <v>992</v>
      </c>
      <c r="N510" t="s">
        <v>992</v>
      </c>
      <c r="O510" t="s">
        <v>992</v>
      </c>
      <c r="P510" t="s">
        <v>992</v>
      </c>
      <c r="Q510" t="b">
        <v>1</v>
      </c>
      <c r="R510" t="b">
        <v>0</v>
      </c>
      <c r="S510" t="s">
        <v>1032</v>
      </c>
      <c r="T510" t="s">
        <v>992</v>
      </c>
      <c r="U510" t="s">
        <v>1139</v>
      </c>
      <c r="V510" t="s">
        <v>995</v>
      </c>
      <c r="W510" t="s">
        <v>2192</v>
      </c>
      <c r="X510" t="s">
        <v>2222</v>
      </c>
    </row>
    <row r="511" spans="1:24" x14ac:dyDescent="0.25">
      <c r="A511" t="s">
        <v>44</v>
      </c>
      <c r="B511" t="s">
        <v>2247</v>
      </c>
      <c r="C511" t="s">
        <v>447</v>
      </c>
      <c r="D511" t="s">
        <v>44</v>
      </c>
      <c r="E511" t="s">
        <v>1129</v>
      </c>
      <c r="F511">
        <v>56994</v>
      </c>
      <c r="G511" t="s">
        <v>2190</v>
      </c>
      <c r="H511" t="s">
        <v>2248</v>
      </c>
      <c r="I511" t="s">
        <v>447</v>
      </c>
      <c r="J511" t="s">
        <v>2190</v>
      </c>
      <c r="K511" t="s">
        <v>992</v>
      </c>
      <c r="L511" t="s">
        <v>992</v>
      </c>
      <c r="M511" t="s">
        <v>992</v>
      </c>
      <c r="N511" t="s">
        <v>992</v>
      </c>
      <c r="O511" t="s">
        <v>992</v>
      </c>
      <c r="P511" t="s">
        <v>992</v>
      </c>
      <c r="Q511" t="b">
        <v>1</v>
      </c>
      <c r="R511" t="b">
        <v>0</v>
      </c>
      <c r="S511" t="s">
        <v>1032</v>
      </c>
      <c r="T511" t="s">
        <v>992</v>
      </c>
      <c r="U511" t="s">
        <v>1139</v>
      </c>
      <c r="V511" t="s">
        <v>995</v>
      </c>
      <c r="W511" t="s">
        <v>2192</v>
      </c>
      <c r="X511" t="s">
        <v>2222</v>
      </c>
    </row>
    <row r="512" spans="1:24" x14ac:dyDescent="0.25">
      <c r="A512" t="s">
        <v>44</v>
      </c>
      <c r="B512" t="s">
        <v>2249</v>
      </c>
      <c r="C512" t="s">
        <v>448</v>
      </c>
      <c r="D512" t="s">
        <v>44</v>
      </c>
      <c r="E512" t="s">
        <v>990</v>
      </c>
      <c r="F512">
        <v>7735</v>
      </c>
      <c r="G512" t="s">
        <v>2190</v>
      </c>
      <c r="H512" t="s">
        <v>2250</v>
      </c>
      <c r="I512" t="s">
        <v>448</v>
      </c>
      <c r="J512" t="s">
        <v>2190</v>
      </c>
      <c r="K512" t="s">
        <v>992</v>
      </c>
      <c r="L512" t="s">
        <v>992</v>
      </c>
      <c r="M512" t="s">
        <v>992</v>
      </c>
      <c r="N512" t="s">
        <v>992</v>
      </c>
      <c r="O512" t="s">
        <v>992</v>
      </c>
      <c r="P512" t="s">
        <v>992</v>
      </c>
      <c r="Q512" t="b">
        <v>1</v>
      </c>
      <c r="R512" t="b">
        <v>0</v>
      </c>
      <c r="S512" t="s">
        <v>1032</v>
      </c>
      <c r="T512" t="s">
        <v>992</v>
      </c>
      <c r="U512" t="s">
        <v>1139</v>
      </c>
      <c r="V512" t="s">
        <v>995</v>
      </c>
      <c r="W512" t="s">
        <v>2192</v>
      </c>
      <c r="X512" t="s">
        <v>2251</v>
      </c>
    </row>
    <row r="513" spans="1:24" x14ac:dyDescent="0.25">
      <c r="A513" t="s">
        <v>44</v>
      </c>
      <c r="B513" t="s">
        <v>2252</v>
      </c>
      <c r="C513" t="s">
        <v>448</v>
      </c>
      <c r="D513" t="s">
        <v>44</v>
      </c>
      <c r="E513" t="s">
        <v>999</v>
      </c>
      <c r="F513">
        <v>7168</v>
      </c>
      <c r="G513" t="s">
        <v>2190</v>
      </c>
      <c r="H513" t="s">
        <v>2253</v>
      </c>
      <c r="I513" t="s">
        <v>448</v>
      </c>
      <c r="J513" t="s">
        <v>2190</v>
      </c>
      <c r="K513" t="s">
        <v>992</v>
      </c>
      <c r="L513" t="s">
        <v>992</v>
      </c>
      <c r="M513" t="s">
        <v>992</v>
      </c>
      <c r="N513" t="s">
        <v>992</v>
      </c>
      <c r="O513" t="s">
        <v>992</v>
      </c>
      <c r="P513" t="s">
        <v>992</v>
      </c>
      <c r="Q513" t="b">
        <v>1</v>
      </c>
      <c r="R513" t="b">
        <v>0</v>
      </c>
      <c r="S513" t="s">
        <v>1032</v>
      </c>
      <c r="T513" t="s">
        <v>992</v>
      </c>
      <c r="U513" t="s">
        <v>1139</v>
      </c>
      <c r="V513" t="s">
        <v>995</v>
      </c>
      <c r="W513" t="s">
        <v>2192</v>
      </c>
      <c r="X513" t="s">
        <v>2251</v>
      </c>
    </row>
    <row r="514" spans="1:24" x14ac:dyDescent="0.25">
      <c r="A514" t="s">
        <v>44</v>
      </c>
      <c r="B514" t="s">
        <v>2254</v>
      </c>
      <c r="C514" t="s">
        <v>448</v>
      </c>
      <c r="D514" t="s">
        <v>44</v>
      </c>
      <c r="E514" t="s">
        <v>1001</v>
      </c>
      <c r="F514">
        <v>6840</v>
      </c>
      <c r="G514" t="s">
        <v>2190</v>
      </c>
      <c r="H514" t="s">
        <v>2255</v>
      </c>
      <c r="I514" t="s">
        <v>448</v>
      </c>
      <c r="J514" t="s">
        <v>2190</v>
      </c>
      <c r="K514" t="s">
        <v>992</v>
      </c>
      <c r="L514" t="s">
        <v>992</v>
      </c>
      <c r="M514" t="s">
        <v>992</v>
      </c>
      <c r="N514" t="s">
        <v>992</v>
      </c>
      <c r="O514" t="s">
        <v>992</v>
      </c>
      <c r="P514" t="s">
        <v>992</v>
      </c>
      <c r="Q514" t="b">
        <v>1</v>
      </c>
      <c r="R514" t="b">
        <v>0</v>
      </c>
      <c r="S514" t="s">
        <v>1032</v>
      </c>
      <c r="T514" t="s">
        <v>992</v>
      </c>
      <c r="U514" t="s">
        <v>1139</v>
      </c>
      <c r="V514" t="s">
        <v>995</v>
      </c>
      <c r="W514" t="s">
        <v>2192</v>
      </c>
      <c r="X514" t="s">
        <v>2251</v>
      </c>
    </row>
    <row r="515" spans="1:24" x14ac:dyDescent="0.25">
      <c r="A515" t="s">
        <v>44</v>
      </c>
      <c r="B515" t="s">
        <v>2256</v>
      </c>
      <c r="C515" t="s">
        <v>448</v>
      </c>
      <c r="D515" t="s">
        <v>44</v>
      </c>
      <c r="E515" t="s">
        <v>1003</v>
      </c>
      <c r="F515">
        <v>7614</v>
      </c>
      <c r="G515" t="s">
        <v>2190</v>
      </c>
      <c r="H515" t="s">
        <v>2257</v>
      </c>
      <c r="I515" t="s">
        <v>448</v>
      </c>
      <c r="J515" t="s">
        <v>2190</v>
      </c>
      <c r="K515" t="s">
        <v>992</v>
      </c>
      <c r="L515" t="s">
        <v>992</v>
      </c>
      <c r="M515" t="s">
        <v>992</v>
      </c>
      <c r="N515" t="s">
        <v>992</v>
      </c>
      <c r="O515" t="s">
        <v>992</v>
      </c>
      <c r="P515" t="s">
        <v>992</v>
      </c>
      <c r="Q515" t="b">
        <v>1</v>
      </c>
      <c r="R515" t="b">
        <v>0</v>
      </c>
      <c r="S515" t="s">
        <v>1032</v>
      </c>
      <c r="T515" t="s">
        <v>992</v>
      </c>
      <c r="U515" t="s">
        <v>1139</v>
      </c>
      <c r="V515" t="s">
        <v>995</v>
      </c>
      <c r="W515" t="s">
        <v>2192</v>
      </c>
      <c r="X515" t="s">
        <v>2251</v>
      </c>
    </row>
    <row r="516" spans="1:24" x14ac:dyDescent="0.25">
      <c r="A516" t="s">
        <v>44</v>
      </c>
      <c r="B516" t="s">
        <v>2258</v>
      </c>
      <c r="C516" t="s">
        <v>448</v>
      </c>
      <c r="D516" t="s">
        <v>44</v>
      </c>
      <c r="E516" t="s">
        <v>1005</v>
      </c>
      <c r="F516">
        <v>7780</v>
      </c>
      <c r="G516" t="s">
        <v>2190</v>
      </c>
      <c r="H516" t="s">
        <v>2259</v>
      </c>
      <c r="I516" t="s">
        <v>448</v>
      </c>
      <c r="J516" t="s">
        <v>2190</v>
      </c>
      <c r="K516" t="s">
        <v>992</v>
      </c>
      <c r="L516" t="s">
        <v>992</v>
      </c>
      <c r="M516" t="s">
        <v>992</v>
      </c>
      <c r="N516" t="s">
        <v>992</v>
      </c>
      <c r="O516" t="s">
        <v>992</v>
      </c>
      <c r="P516" t="s">
        <v>992</v>
      </c>
      <c r="Q516" t="b">
        <v>1</v>
      </c>
      <c r="R516" t="b">
        <v>0</v>
      </c>
      <c r="S516" t="s">
        <v>1032</v>
      </c>
      <c r="T516" t="s">
        <v>992</v>
      </c>
      <c r="U516" t="s">
        <v>1139</v>
      </c>
      <c r="V516" t="s">
        <v>995</v>
      </c>
      <c r="W516" t="s">
        <v>2192</v>
      </c>
      <c r="X516" t="s">
        <v>2251</v>
      </c>
    </row>
    <row r="517" spans="1:24" x14ac:dyDescent="0.25">
      <c r="A517" t="s">
        <v>44</v>
      </c>
      <c r="B517" t="s">
        <v>2260</v>
      </c>
      <c r="C517" t="s">
        <v>448</v>
      </c>
      <c r="D517" t="s">
        <v>44</v>
      </c>
      <c r="E517" t="s">
        <v>1007</v>
      </c>
      <c r="F517">
        <v>7451</v>
      </c>
      <c r="G517" t="s">
        <v>2190</v>
      </c>
      <c r="H517" t="s">
        <v>2261</v>
      </c>
      <c r="I517" t="s">
        <v>448</v>
      </c>
      <c r="J517" t="s">
        <v>2190</v>
      </c>
      <c r="K517" t="s">
        <v>992</v>
      </c>
      <c r="L517" t="s">
        <v>992</v>
      </c>
      <c r="M517" t="s">
        <v>992</v>
      </c>
      <c r="N517" t="s">
        <v>992</v>
      </c>
      <c r="O517" t="s">
        <v>992</v>
      </c>
      <c r="P517" t="s">
        <v>992</v>
      </c>
      <c r="Q517" t="b">
        <v>1</v>
      </c>
      <c r="R517" t="b">
        <v>0</v>
      </c>
      <c r="S517" t="s">
        <v>1032</v>
      </c>
      <c r="T517" t="s">
        <v>992</v>
      </c>
      <c r="U517" t="s">
        <v>1139</v>
      </c>
      <c r="V517" t="s">
        <v>995</v>
      </c>
      <c r="W517" t="s">
        <v>2192</v>
      </c>
      <c r="X517" t="s">
        <v>2251</v>
      </c>
    </row>
    <row r="518" spans="1:24" x14ac:dyDescent="0.25">
      <c r="A518" t="s">
        <v>44</v>
      </c>
      <c r="B518" t="s">
        <v>2262</v>
      </c>
      <c r="C518" t="s">
        <v>448</v>
      </c>
      <c r="D518" t="s">
        <v>44</v>
      </c>
      <c r="E518" t="s">
        <v>1009</v>
      </c>
      <c r="F518">
        <v>7009</v>
      </c>
      <c r="G518" t="s">
        <v>2190</v>
      </c>
      <c r="H518" t="s">
        <v>2263</v>
      </c>
      <c r="I518" t="s">
        <v>448</v>
      </c>
      <c r="J518" t="s">
        <v>2190</v>
      </c>
      <c r="K518" t="s">
        <v>992</v>
      </c>
      <c r="L518" t="s">
        <v>992</v>
      </c>
      <c r="M518" t="s">
        <v>992</v>
      </c>
      <c r="N518" t="s">
        <v>992</v>
      </c>
      <c r="O518" t="s">
        <v>992</v>
      </c>
      <c r="P518" t="s">
        <v>992</v>
      </c>
      <c r="Q518" t="b">
        <v>1</v>
      </c>
      <c r="R518" t="b">
        <v>0</v>
      </c>
      <c r="S518" t="s">
        <v>1032</v>
      </c>
      <c r="T518" t="s">
        <v>992</v>
      </c>
      <c r="U518" t="s">
        <v>1139</v>
      </c>
      <c r="V518" t="s">
        <v>995</v>
      </c>
      <c r="W518" t="s">
        <v>2192</v>
      </c>
      <c r="X518" t="s">
        <v>2251</v>
      </c>
    </row>
    <row r="519" spans="1:24" x14ac:dyDescent="0.25">
      <c r="A519" t="s">
        <v>44</v>
      </c>
      <c r="B519" t="s">
        <v>2264</v>
      </c>
      <c r="C519" t="s">
        <v>448</v>
      </c>
      <c r="D519" t="s">
        <v>44</v>
      </c>
      <c r="E519" t="s">
        <v>1011</v>
      </c>
      <c r="F519">
        <v>7744</v>
      </c>
      <c r="G519" t="s">
        <v>2190</v>
      </c>
      <c r="H519" t="s">
        <v>2265</v>
      </c>
      <c r="I519" t="s">
        <v>448</v>
      </c>
      <c r="J519" t="s">
        <v>2190</v>
      </c>
      <c r="K519" t="s">
        <v>992</v>
      </c>
      <c r="L519" t="s">
        <v>992</v>
      </c>
      <c r="M519" t="s">
        <v>992</v>
      </c>
      <c r="N519" t="s">
        <v>992</v>
      </c>
      <c r="O519" t="s">
        <v>992</v>
      </c>
      <c r="P519" t="s">
        <v>992</v>
      </c>
      <c r="Q519" t="b">
        <v>1</v>
      </c>
      <c r="R519" t="b">
        <v>0</v>
      </c>
      <c r="S519" t="s">
        <v>1032</v>
      </c>
      <c r="T519" t="s">
        <v>992</v>
      </c>
      <c r="U519" t="s">
        <v>1139</v>
      </c>
      <c r="V519" t="s">
        <v>995</v>
      </c>
      <c r="W519" t="s">
        <v>2192</v>
      </c>
      <c r="X519" t="s">
        <v>2251</v>
      </c>
    </row>
    <row r="520" spans="1:24" x14ac:dyDescent="0.25">
      <c r="A520" t="s">
        <v>44</v>
      </c>
      <c r="B520" t="s">
        <v>2266</v>
      </c>
      <c r="C520" t="s">
        <v>448</v>
      </c>
      <c r="D520" t="s">
        <v>44</v>
      </c>
      <c r="E520" t="s">
        <v>1013</v>
      </c>
      <c r="F520">
        <v>8987</v>
      </c>
      <c r="G520" t="s">
        <v>2190</v>
      </c>
      <c r="H520" t="s">
        <v>2267</v>
      </c>
      <c r="I520" t="s">
        <v>448</v>
      </c>
      <c r="J520" t="s">
        <v>2190</v>
      </c>
      <c r="K520" t="s">
        <v>992</v>
      </c>
      <c r="L520" t="s">
        <v>992</v>
      </c>
      <c r="M520" t="s">
        <v>992</v>
      </c>
      <c r="N520" t="s">
        <v>992</v>
      </c>
      <c r="O520" t="s">
        <v>992</v>
      </c>
      <c r="P520" t="s">
        <v>992</v>
      </c>
      <c r="Q520" t="b">
        <v>1</v>
      </c>
      <c r="R520" t="b">
        <v>0</v>
      </c>
      <c r="S520" t="s">
        <v>1032</v>
      </c>
      <c r="T520" t="s">
        <v>992</v>
      </c>
      <c r="U520" t="s">
        <v>1139</v>
      </c>
      <c r="V520" t="s">
        <v>995</v>
      </c>
      <c r="W520" t="s">
        <v>2192</v>
      </c>
      <c r="X520" t="s">
        <v>2251</v>
      </c>
    </row>
    <row r="521" spans="1:24" x14ac:dyDescent="0.25">
      <c r="A521" t="s">
        <v>44</v>
      </c>
      <c r="B521" t="s">
        <v>2268</v>
      </c>
      <c r="C521" t="s">
        <v>448</v>
      </c>
      <c r="D521" t="s">
        <v>44</v>
      </c>
      <c r="E521" t="s">
        <v>1015</v>
      </c>
      <c r="F521">
        <v>7949</v>
      </c>
      <c r="G521" t="s">
        <v>2190</v>
      </c>
      <c r="H521" t="s">
        <v>2269</v>
      </c>
      <c r="I521" t="s">
        <v>448</v>
      </c>
      <c r="J521" t="s">
        <v>2190</v>
      </c>
      <c r="K521" t="s">
        <v>992</v>
      </c>
      <c r="L521" t="s">
        <v>992</v>
      </c>
      <c r="M521" t="s">
        <v>992</v>
      </c>
      <c r="N521" t="s">
        <v>992</v>
      </c>
      <c r="O521" t="s">
        <v>992</v>
      </c>
      <c r="P521" t="s">
        <v>992</v>
      </c>
      <c r="Q521" t="b">
        <v>1</v>
      </c>
      <c r="R521" t="b">
        <v>0</v>
      </c>
      <c r="S521" t="s">
        <v>1032</v>
      </c>
      <c r="T521" t="s">
        <v>992</v>
      </c>
      <c r="U521" t="s">
        <v>1139</v>
      </c>
      <c r="V521" t="s">
        <v>995</v>
      </c>
      <c r="W521" t="s">
        <v>2192</v>
      </c>
      <c r="X521" t="s">
        <v>2251</v>
      </c>
    </row>
    <row r="522" spans="1:24" x14ac:dyDescent="0.25">
      <c r="A522" t="s">
        <v>44</v>
      </c>
      <c r="B522" t="s">
        <v>2270</v>
      </c>
      <c r="C522" t="s">
        <v>448</v>
      </c>
      <c r="D522" t="s">
        <v>44</v>
      </c>
      <c r="E522" t="s">
        <v>1017</v>
      </c>
      <c r="F522">
        <v>8046</v>
      </c>
      <c r="G522" t="s">
        <v>2190</v>
      </c>
      <c r="H522" t="s">
        <v>2271</v>
      </c>
      <c r="I522" t="s">
        <v>448</v>
      </c>
      <c r="J522" t="s">
        <v>2190</v>
      </c>
      <c r="K522" t="s">
        <v>992</v>
      </c>
      <c r="L522" t="s">
        <v>992</v>
      </c>
      <c r="M522" t="s">
        <v>992</v>
      </c>
      <c r="N522" t="s">
        <v>992</v>
      </c>
      <c r="O522" t="s">
        <v>992</v>
      </c>
      <c r="P522" t="s">
        <v>992</v>
      </c>
      <c r="Q522" t="b">
        <v>1</v>
      </c>
      <c r="R522" t="b">
        <v>0</v>
      </c>
      <c r="S522" t="s">
        <v>1032</v>
      </c>
      <c r="T522" t="s">
        <v>992</v>
      </c>
      <c r="U522" t="s">
        <v>1139</v>
      </c>
      <c r="V522" t="s">
        <v>995</v>
      </c>
      <c r="W522" t="s">
        <v>2192</v>
      </c>
      <c r="X522" t="s">
        <v>2251</v>
      </c>
    </row>
    <row r="523" spans="1:24" x14ac:dyDescent="0.25">
      <c r="A523" t="s">
        <v>44</v>
      </c>
      <c r="B523" t="s">
        <v>2272</v>
      </c>
      <c r="C523" t="s">
        <v>448</v>
      </c>
      <c r="D523" t="s">
        <v>44</v>
      </c>
      <c r="E523" t="s">
        <v>1019</v>
      </c>
      <c r="F523">
        <v>8726</v>
      </c>
      <c r="G523" t="s">
        <v>2190</v>
      </c>
      <c r="H523" t="s">
        <v>2273</v>
      </c>
      <c r="I523" t="s">
        <v>448</v>
      </c>
      <c r="J523" t="s">
        <v>2190</v>
      </c>
      <c r="K523" t="s">
        <v>992</v>
      </c>
      <c r="L523" t="s">
        <v>992</v>
      </c>
      <c r="M523" t="s">
        <v>992</v>
      </c>
      <c r="N523" t="s">
        <v>992</v>
      </c>
      <c r="O523" t="s">
        <v>992</v>
      </c>
      <c r="P523" t="s">
        <v>992</v>
      </c>
      <c r="Q523" t="b">
        <v>1</v>
      </c>
      <c r="R523" t="b">
        <v>0</v>
      </c>
      <c r="S523" t="s">
        <v>1032</v>
      </c>
      <c r="T523" t="s">
        <v>992</v>
      </c>
      <c r="U523" t="s">
        <v>1139</v>
      </c>
      <c r="V523" t="s">
        <v>995</v>
      </c>
      <c r="W523" t="s">
        <v>2192</v>
      </c>
      <c r="X523" t="s">
        <v>2251</v>
      </c>
    </row>
    <row r="524" spans="1:24" x14ac:dyDescent="0.25">
      <c r="A524" t="s">
        <v>44</v>
      </c>
      <c r="B524" t="s">
        <v>2274</v>
      </c>
      <c r="C524" t="s">
        <v>448</v>
      </c>
      <c r="D524" t="s">
        <v>44</v>
      </c>
      <c r="E524" t="s">
        <v>1021</v>
      </c>
      <c r="F524">
        <v>8386</v>
      </c>
      <c r="G524" t="s">
        <v>2190</v>
      </c>
      <c r="H524" t="s">
        <v>2275</v>
      </c>
      <c r="I524" t="s">
        <v>448</v>
      </c>
      <c r="J524" t="s">
        <v>2190</v>
      </c>
      <c r="K524" t="s">
        <v>992</v>
      </c>
      <c r="L524" t="s">
        <v>992</v>
      </c>
      <c r="M524" t="s">
        <v>992</v>
      </c>
      <c r="N524" t="s">
        <v>992</v>
      </c>
      <c r="O524" t="s">
        <v>992</v>
      </c>
      <c r="P524" t="s">
        <v>992</v>
      </c>
      <c r="Q524" t="b">
        <v>1</v>
      </c>
      <c r="R524" t="b">
        <v>0</v>
      </c>
      <c r="S524" t="s">
        <v>1032</v>
      </c>
      <c r="T524" t="s">
        <v>992</v>
      </c>
      <c r="U524" t="s">
        <v>1139</v>
      </c>
      <c r="V524" t="s">
        <v>995</v>
      </c>
      <c r="W524" t="s">
        <v>2192</v>
      </c>
      <c r="X524" t="s">
        <v>2251</v>
      </c>
    </row>
    <row r="525" spans="1:24" x14ac:dyDescent="0.25">
      <c r="A525" t="s">
        <v>44</v>
      </c>
      <c r="B525" t="s">
        <v>2276</v>
      </c>
      <c r="C525" t="s">
        <v>448</v>
      </c>
      <c r="D525" t="s">
        <v>44</v>
      </c>
      <c r="E525" t="s">
        <v>1129</v>
      </c>
      <c r="F525">
        <v>8399</v>
      </c>
      <c r="G525" t="s">
        <v>2190</v>
      </c>
      <c r="H525" t="s">
        <v>2277</v>
      </c>
      <c r="I525" t="s">
        <v>448</v>
      </c>
      <c r="J525" t="s">
        <v>2190</v>
      </c>
      <c r="K525" t="s">
        <v>992</v>
      </c>
      <c r="L525" t="s">
        <v>992</v>
      </c>
      <c r="M525" t="s">
        <v>992</v>
      </c>
      <c r="N525" t="s">
        <v>992</v>
      </c>
      <c r="O525" t="s">
        <v>992</v>
      </c>
      <c r="P525" t="s">
        <v>992</v>
      </c>
      <c r="Q525" t="b">
        <v>1</v>
      </c>
      <c r="R525" t="b">
        <v>0</v>
      </c>
      <c r="S525" t="s">
        <v>1032</v>
      </c>
      <c r="T525" t="s">
        <v>992</v>
      </c>
      <c r="U525" t="s">
        <v>1139</v>
      </c>
      <c r="V525" t="s">
        <v>995</v>
      </c>
      <c r="W525" t="s">
        <v>2192</v>
      </c>
      <c r="X525" t="s">
        <v>2251</v>
      </c>
    </row>
    <row r="526" spans="1:24" x14ac:dyDescent="0.25">
      <c r="A526" t="s">
        <v>44</v>
      </c>
      <c r="B526" t="s">
        <v>2278</v>
      </c>
      <c r="C526" t="s">
        <v>2279</v>
      </c>
      <c r="D526" t="s">
        <v>44</v>
      </c>
      <c r="E526" t="s">
        <v>990</v>
      </c>
      <c r="F526">
        <v>9396</v>
      </c>
      <c r="G526" t="s">
        <v>2190</v>
      </c>
      <c r="H526" t="s">
        <v>2280</v>
      </c>
      <c r="I526" t="s">
        <v>2279</v>
      </c>
      <c r="J526" t="s">
        <v>2190</v>
      </c>
      <c r="K526" t="s">
        <v>992</v>
      </c>
      <c r="L526" t="s">
        <v>992</v>
      </c>
      <c r="M526" t="s">
        <v>992</v>
      </c>
      <c r="N526" t="s">
        <v>992</v>
      </c>
      <c r="O526" t="s">
        <v>992</v>
      </c>
      <c r="P526" t="s">
        <v>992</v>
      </c>
      <c r="Q526" t="b">
        <v>1</v>
      </c>
      <c r="R526" t="b">
        <v>0</v>
      </c>
      <c r="S526" t="s">
        <v>1032</v>
      </c>
      <c r="T526" t="s">
        <v>992</v>
      </c>
      <c r="U526" t="s">
        <v>1139</v>
      </c>
      <c r="V526" t="s">
        <v>995</v>
      </c>
      <c r="W526" t="s">
        <v>2192</v>
      </c>
      <c r="X526" t="s">
        <v>2281</v>
      </c>
    </row>
    <row r="527" spans="1:24" x14ac:dyDescent="0.25">
      <c r="A527" t="s">
        <v>44</v>
      </c>
      <c r="B527" t="s">
        <v>2282</v>
      </c>
      <c r="C527" t="s">
        <v>2279</v>
      </c>
      <c r="D527" t="s">
        <v>44</v>
      </c>
      <c r="E527" t="s">
        <v>999</v>
      </c>
      <c r="F527">
        <v>6670</v>
      </c>
      <c r="G527" t="s">
        <v>2190</v>
      </c>
      <c r="H527" t="s">
        <v>2283</v>
      </c>
      <c r="I527" t="s">
        <v>2279</v>
      </c>
      <c r="J527" t="s">
        <v>2190</v>
      </c>
      <c r="K527" t="s">
        <v>992</v>
      </c>
      <c r="L527" t="s">
        <v>992</v>
      </c>
      <c r="M527" t="s">
        <v>992</v>
      </c>
      <c r="N527" t="s">
        <v>992</v>
      </c>
      <c r="O527" t="s">
        <v>992</v>
      </c>
      <c r="P527" t="s">
        <v>992</v>
      </c>
      <c r="Q527" t="b">
        <v>1</v>
      </c>
      <c r="R527" t="b">
        <v>0</v>
      </c>
      <c r="S527" t="s">
        <v>1032</v>
      </c>
      <c r="T527" t="s">
        <v>992</v>
      </c>
      <c r="U527" t="s">
        <v>1139</v>
      </c>
      <c r="V527" t="s">
        <v>995</v>
      </c>
      <c r="W527" t="s">
        <v>2192</v>
      </c>
      <c r="X527" t="s">
        <v>2281</v>
      </c>
    </row>
    <row r="528" spans="1:24" x14ac:dyDescent="0.25">
      <c r="A528" t="s">
        <v>44</v>
      </c>
      <c r="B528" t="s">
        <v>2284</v>
      </c>
      <c r="C528" t="s">
        <v>2279</v>
      </c>
      <c r="D528" t="s">
        <v>44</v>
      </c>
      <c r="E528" t="s">
        <v>1001</v>
      </c>
      <c r="F528">
        <v>5791</v>
      </c>
      <c r="G528" t="s">
        <v>2190</v>
      </c>
      <c r="H528" t="s">
        <v>2285</v>
      </c>
      <c r="I528" t="s">
        <v>2279</v>
      </c>
      <c r="J528" t="s">
        <v>2190</v>
      </c>
      <c r="K528" t="s">
        <v>992</v>
      </c>
      <c r="L528" t="s">
        <v>992</v>
      </c>
      <c r="M528" t="s">
        <v>992</v>
      </c>
      <c r="N528" t="s">
        <v>992</v>
      </c>
      <c r="O528" t="s">
        <v>992</v>
      </c>
      <c r="P528" t="s">
        <v>992</v>
      </c>
      <c r="Q528" t="b">
        <v>1</v>
      </c>
      <c r="R528" t="b">
        <v>0</v>
      </c>
      <c r="S528" t="s">
        <v>1032</v>
      </c>
      <c r="T528" t="s">
        <v>992</v>
      </c>
      <c r="U528" t="s">
        <v>1139</v>
      </c>
      <c r="V528" t="s">
        <v>995</v>
      </c>
      <c r="W528" t="s">
        <v>2192</v>
      </c>
      <c r="X528" t="s">
        <v>2281</v>
      </c>
    </row>
    <row r="529" spans="1:24" x14ac:dyDescent="0.25">
      <c r="A529" t="s">
        <v>44</v>
      </c>
      <c r="B529" t="s">
        <v>2286</v>
      </c>
      <c r="C529" t="s">
        <v>2279</v>
      </c>
      <c r="D529" t="s">
        <v>44</v>
      </c>
      <c r="E529" t="s">
        <v>1003</v>
      </c>
      <c r="F529">
        <v>6443</v>
      </c>
      <c r="G529" t="s">
        <v>2190</v>
      </c>
      <c r="H529" t="s">
        <v>2287</v>
      </c>
      <c r="I529" t="s">
        <v>2279</v>
      </c>
      <c r="J529" t="s">
        <v>2190</v>
      </c>
      <c r="K529" t="s">
        <v>992</v>
      </c>
      <c r="L529" t="s">
        <v>992</v>
      </c>
      <c r="M529" t="s">
        <v>992</v>
      </c>
      <c r="N529" t="s">
        <v>992</v>
      </c>
      <c r="O529" t="s">
        <v>992</v>
      </c>
      <c r="P529" t="s">
        <v>992</v>
      </c>
      <c r="Q529" t="b">
        <v>1</v>
      </c>
      <c r="R529" t="b">
        <v>0</v>
      </c>
      <c r="S529" t="s">
        <v>1032</v>
      </c>
      <c r="T529" t="s">
        <v>992</v>
      </c>
      <c r="U529" t="s">
        <v>1139</v>
      </c>
      <c r="V529" t="s">
        <v>995</v>
      </c>
      <c r="W529" t="s">
        <v>2192</v>
      </c>
      <c r="X529" t="s">
        <v>2281</v>
      </c>
    </row>
    <row r="530" spans="1:24" x14ac:dyDescent="0.25">
      <c r="A530" t="s">
        <v>44</v>
      </c>
      <c r="B530" t="s">
        <v>2288</v>
      </c>
      <c r="C530" t="s">
        <v>2279</v>
      </c>
      <c r="D530" t="s">
        <v>44</v>
      </c>
      <c r="E530" t="s">
        <v>1005</v>
      </c>
      <c r="F530">
        <v>7023</v>
      </c>
      <c r="G530" t="s">
        <v>2190</v>
      </c>
      <c r="H530" t="s">
        <v>2289</v>
      </c>
      <c r="I530" t="s">
        <v>2279</v>
      </c>
      <c r="J530" t="s">
        <v>2190</v>
      </c>
      <c r="K530" t="s">
        <v>992</v>
      </c>
      <c r="L530" t="s">
        <v>992</v>
      </c>
      <c r="M530" t="s">
        <v>992</v>
      </c>
      <c r="N530" t="s">
        <v>992</v>
      </c>
      <c r="O530" t="s">
        <v>992</v>
      </c>
      <c r="P530" t="s">
        <v>992</v>
      </c>
      <c r="Q530" t="b">
        <v>1</v>
      </c>
      <c r="R530" t="b">
        <v>0</v>
      </c>
      <c r="S530" t="s">
        <v>1032</v>
      </c>
      <c r="T530" t="s">
        <v>992</v>
      </c>
      <c r="U530" t="s">
        <v>1139</v>
      </c>
      <c r="V530" t="s">
        <v>995</v>
      </c>
      <c r="W530" t="s">
        <v>2192</v>
      </c>
      <c r="X530" t="s">
        <v>2281</v>
      </c>
    </row>
    <row r="531" spans="1:24" x14ac:dyDescent="0.25">
      <c r="A531" t="s">
        <v>44</v>
      </c>
      <c r="B531" t="s">
        <v>2290</v>
      </c>
      <c r="C531" t="s">
        <v>2279</v>
      </c>
      <c r="D531" t="s">
        <v>44</v>
      </c>
      <c r="E531" t="s">
        <v>1007</v>
      </c>
      <c r="F531">
        <v>5559</v>
      </c>
      <c r="G531" t="s">
        <v>2190</v>
      </c>
      <c r="H531" t="s">
        <v>2291</v>
      </c>
      <c r="I531" t="s">
        <v>2279</v>
      </c>
      <c r="J531" t="s">
        <v>2190</v>
      </c>
      <c r="K531" t="s">
        <v>992</v>
      </c>
      <c r="L531" t="s">
        <v>992</v>
      </c>
      <c r="M531" t="s">
        <v>992</v>
      </c>
      <c r="N531" t="s">
        <v>992</v>
      </c>
      <c r="O531" t="s">
        <v>992</v>
      </c>
      <c r="P531" t="s">
        <v>992</v>
      </c>
      <c r="Q531" t="b">
        <v>1</v>
      </c>
      <c r="R531" t="b">
        <v>0</v>
      </c>
      <c r="S531" t="s">
        <v>1032</v>
      </c>
      <c r="T531" t="s">
        <v>992</v>
      </c>
      <c r="U531" t="s">
        <v>1139</v>
      </c>
      <c r="V531" t="s">
        <v>995</v>
      </c>
      <c r="W531" t="s">
        <v>2192</v>
      </c>
      <c r="X531" t="s">
        <v>2281</v>
      </c>
    </row>
    <row r="532" spans="1:24" x14ac:dyDescent="0.25">
      <c r="A532" t="s">
        <v>44</v>
      </c>
      <c r="B532" t="s">
        <v>2292</v>
      </c>
      <c r="C532" t="s">
        <v>2279</v>
      </c>
      <c r="D532" t="s">
        <v>44</v>
      </c>
      <c r="E532" t="s">
        <v>1009</v>
      </c>
      <c r="F532">
        <v>7162</v>
      </c>
      <c r="G532" t="s">
        <v>2190</v>
      </c>
      <c r="H532" t="s">
        <v>2293</v>
      </c>
      <c r="I532" t="s">
        <v>2279</v>
      </c>
      <c r="J532" t="s">
        <v>2190</v>
      </c>
      <c r="K532" t="s">
        <v>992</v>
      </c>
      <c r="L532" t="s">
        <v>992</v>
      </c>
      <c r="M532" t="s">
        <v>992</v>
      </c>
      <c r="N532" t="s">
        <v>992</v>
      </c>
      <c r="O532" t="s">
        <v>992</v>
      </c>
      <c r="P532" t="s">
        <v>992</v>
      </c>
      <c r="Q532" t="b">
        <v>1</v>
      </c>
      <c r="R532" t="b">
        <v>0</v>
      </c>
      <c r="S532" t="s">
        <v>1032</v>
      </c>
      <c r="T532" t="s">
        <v>992</v>
      </c>
      <c r="U532" t="s">
        <v>1139</v>
      </c>
      <c r="V532" t="s">
        <v>995</v>
      </c>
      <c r="W532" t="s">
        <v>2192</v>
      </c>
      <c r="X532" t="s">
        <v>2281</v>
      </c>
    </row>
    <row r="533" spans="1:24" x14ac:dyDescent="0.25">
      <c r="A533" t="s">
        <v>44</v>
      </c>
      <c r="B533" t="s">
        <v>2294</v>
      </c>
      <c r="C533" t="s">
        <v>2279</v>
      </c>
      <c r="D533" t="s">
        <v>44</v>
      </c>
      <c r="E533" t="s">
        <v>1011</v>
      </c>
      <c r="F533">
        <v>6950</v>
      </c>
      <c r="G533" t="s">
        <v>2190</v>
      </c>
      <c r="H533" t="s">
        <v>2295</v>
      </c>
      <c r="I533" t="s">
        <v>2279</v>
      </c>
      <c r="J533" t="s">
        <v>2190</v>
      </c>
      <c r="K533" t="s">
        <v>992</v>
      </c>
      <c r="L533" t="s">
        <v>992</v>
      </c>
      <c r="M533" t="s">
        <v>992</v>
      </c>
      <c r="N533" t="s">
        <v>992</v>
      </c>
      <c r="O533" t="s">
        <v>992</v>
      </c>
      <c r="P533" t="s">
        <v>992</v>
      </c>
      <c r="Q533" t="b">
        <v>1</v>
      </c>
      <c r="R533" t="b">
        <v>0</v>
      </c>
      <c r="S533" t="s">
        <v>1032</v>
      </c>
      <c r="T533" t="s">
        <v>992</v>
      </c>
      <c r="U533" t="s">
        <v>1139</v>
      </c>
      <c r="V533" t="s">
        <v>995</v>
      </c>
      <c r="W533" t="s">
        <v>2192</v>
      </c>
      <c r="X533" t="s">
        <v>2281</v>
      </c>
    </row>
    <row r="534" spans="1:24" x14ac:dyDescent="0.25">
      <c r="A534" t="s">
        <v>44</v>
      </c>
      <c r="B534" t="s">
        <v>2296</v>
      </c>
      <c r="C534" t="s">
        <v>2279</v>
      </c>
      <c r="D534" t="s">
        <v>44</v>
      </c>
      <c r="E534" t="s">
        <v>1013</v>
      </c>
      <c r="F534">
        <v>8088</v>
      </c>
      <c r="G534" t="s">
        <v>2190</v>
      </c>
      <c r="H534" t="s">
        <v>2297</v>
      </c>
      <c r="I534" t="s">
        <v>2279</v>
      </c>
      <c r="J534" t="s">
        <v>2190</v>
      </c>
      <c r="K534" t="s">
        <v>992</v>
      </c>
      <c r="L534" t="s">
        <v>992</v>
      </c>
      <c r="M534" t="s">
        <v>992</v>
      </c>
      <c r="N534" t="s">
        <v>992</v>
      </c>
      <c r="O534" t="s">
        <v>992</v>
      </c>
      <c r="P534" t="s">
        <v>992</v>
      </c>
      <c r="Q534" t="b">
        <v>1</v>
      </c>
      <c r="R534" t="b">
        <v>0</v>
      </c>
      <c r="S534" t="s">
        <v>1032</v>
      </c>
      <c r="T534" t="s">
        <v>992</v>
      </c>
      <c r="U534" t="s">
        <v>1139</v>
      </c>
      <c r="V534" t="s">
        <v>995</v>
      </c>
      <c r="W534" t="s">
        <v>2192</v>
      </c>
      <c r="X534" t="s">
        <v>2281</v>
      </c>
    </row>
    <row r="535" spans="1:24" x14ac:dyDescent="0.25">
      <c r="A535" t="s">
        <v>44</v>
      </c>
      <c r="B535" t="s">
        <v>2298</v>
      </c>
      <c r="C535" t="s">
        <v>2279</v>
      </c>
      <c r="D535" t="s">
        <v>44</v>
      </c>
      <c r="E535" t="s">
        <v>1015</v>
      </c>
      <c r="F535">
        <v>6402</v>
      </c>
      <c r="G535" t="s">
        <v>2190</v>
      </c>
      <c r="H535" t="s">
        <v>2299</v>
      </c>
      <c r="I535" t="s">
        <v>2279</v>
      </c>
      <c r="J535" t="s">
        <v>2190</v>
      </c>
      <c r="K535" t="s">
        <v>992</v>
      </c>
      <c r="L535" t="s">
        <v>992</v>
      </c>
      <c r="M535" t="s">
        <v>992</v>
      </c>
      <c r="N535" t="s">
        <v>992</v>
      </c>
      <c r="O535" t="s">
        <v>992</v>
      </c>
      <c r="P535" t="s">
        <v>992</v>
      </c>
      <c r="Q535" t="b">
        <v>1</v>
      </c>
      <c r="R535" t="b">
        <v>0</v>
      </c>
      <c r="S535" t="s">
        <v>1032</v>
      </c>
      <c r="T535" t="s">
        <v>992</v>
      </c>
      <c r="U535" t="s">
        <v>1139</v>
      </c>
      <c r="V535" t="s">
        <v>995</v>
      </c>
      <c r="W535" t="s">
        <v>2192</v>
      </c>
      <c r="X535" t="s">
        <v>2281</v>
      </c>
    </row>
    <row r="536" spans="1:24" x14ac:dyDescent="0.25">
      <c r="A536" t="s">
        <v>44</v>
      </c>
      <c r="B536" t="s">
        <v>2300</v>
      </c>
      <c r="C536" t="s">
        <v>2279</v>
      </c>
      <c r="D536" t="s">
        <v>44</v>
      </c>
      <c r="E536" t="s">
        <v>1017</v>
      </c>
      <c r="F536">
        <v>6581</v>
      </c>
      <c r="G536" t="s">
        <v>2190</v>
      </c>
      <c r="H536" t="s">
        <v>2301</v>
      </c>
      <c r="I536" t="s">
        <v>2279</v>
      </c>
      <c r="J536" t="s">
        <v>2190</v>
      </c>
      <c r="K536" t="s">
        <v>992</v>
      </c>
      <c r="L536" t="s">
        <v>992</v>
      </c>
      <c r="M536" t="s">
        <v>992</v>
      </c>
      <c r="N536" t="s">
        <v>992</v>
      </c>
      <c r="O536" t="s">
        <v>992</v>
      </c>
      <c r="P536" t="s">
        <v>992</v>
      </c>
      <c r="Q536" t="b">
        <v>1</v>
      </c>
      <c r="R536" t="b">
        <v>0</v>
      </c>
      <c r="S536" t="s">
        <v>1032</v>
      </c>
      <c r="T536" t="s">
        <v>992</v>
      </c>
      <c r="U536" t="s">
        <v>1139</v>
      </c>
      <c r="V536" t="s">
        <v>995</v>
      </c>
      <c r="W536" t="s">
        <v>2192</v>
      </c>
      <c r="X536" t="s">
        <v>2281</v>
      </c>
    </row>
    <row r="537" spans="1:24" x14ac:dyDescent="0.25">
      <c r="A537" t="s">
        <v>44</v>
      </c>
      <c r="B537" t="s">
        <v>2302</v>
      </c>
      <c r="C537" t="s">
        <v>2279</v>
      </c>
      <c r="D537" t="s">
        <v>44</v>
      </c>
      <c r="E537" t="s">
        <v>1019</v>
      </c>
      <c r="F537">
        <v>6952</v>
      </c>
      <c r="G537" t="s">
        <v>2190</v>
      </c>
      <c r="H537" t="s">
        <v>2303</v>
      </c>
      <c r="I537" t="s">
        <v>2279</v>
      </c>
      <c r="J537" t="s">
        <v>2190</v>
      </c>
      <c r="K537" t="s">
        <v>992</v>
      </c>
      <c r="L537" t="s">
        <v>992</v>
      </c>
      <c r="M537" t="s">
        <v>992</v>
      </c>
      <c r="N537" t="s">
        <v>992</v>
      </c>
      <c r="O537" t="s">
        <v>992</v>
      </c>
      <c r="P537" t="s">
        <v>992</v>
      </c>
      <c r="Q537" t="b">
        <v>1</v>
      </c>
      <c r="R537" t="b">
        <v>0</v>
      </c>
      <c r="S537" t="s">
        <v>1032</v>
      </c>
      <c r="T537" t="s">
        <v>992</v>
      </c>
      <c r="U537" t="s">
        <v>1139</v>
      </c>
      <c r="V537" t="s">
        <v>995</v>
      </c>
      <c r="W537" t="s">
        <v>2192</v>
      </c>
      <c r="X537" t="s">
        <v>2281</v>
      </c>
    </row>
    <row r="538" spans="1:24" x14ac:dyDescent="0.25">
      <c r="A538" t="s">
        <v>44</v>
      </c>
      <c r="B538" t="s">
        <v>2304</v>
      </c>
      <c r="C538" t="s">
        <v>2279</v>
      </c>
      <c r="D538" t="s">
        <v>44</v>
      </c>
      <c r="E538" t="s">
        <v>1021</v>
      </c>
      <c r="F538">
        <v>8595</v>
      </c>
      <c r="G538" t="s">
        <v>2190</v>
      </c>
      <c r="H538" t="s">
        <v>2305</v>
      </c>
      <c r="I538" t="s">
        <v>2279</v>
      </c>
      <c r="J538" t="s">
        <v>2190</v>
      </c>
      <c r="K538" t="s">
        <v>992</v>
      </c>
      <c r="L538" t="s">
        <v>992</v>
      </c>
      <c r="M538" t="s">
        <v>992</v>
      </c>
      <c r="N538" t="s">
        <v>992</v>
      </c>
      <c r="O538" t="s">
        <v>992</v>
      </c>
      <c r="P538" t="s">
        <v>992</v>
      </c>
      <c r="Q538" t="b">
        <v>1</v>
      </c>
      <c r="R538" t="b">
        <v>0</v>
      </c>
      <c r="S538" t="s">
        <v>1032</v>
      </c>
      <c r="T538" t="s">
        <v>992</v>
      </c>
      <c r="U538" t="s">
        <v>1139</v>
      </c>
      <c r="V538" t="s">
        <v>995</v>
      </c>
      <c r="W538" t="s">
        <v>2192</v>
      </c>
      <c r="X538" t="s">
        <v>2281</v>
      </c>
    </row>
    <row r="539" spans="1:24" x14ac:dyDescent="0.25">
      <c r="A539" t="s">
        <v>44</v>
      </c>
      <c r="B539" t="s">
        <v>2306</v>
      </c>
      <c r="C539" t="s">
        <v>2279</v>
      </c>
      <c r="D539" t="s">
        <v>44</v>
      </c>
      <c r="E539" t="s">
        <v>1129</v>
      </c>
      <c r="F539">
        <v>6914</v>
      </c>
      <c r="G539" t="s">
        <v>2190</v>
      </c>
      <c r="H539" t="s">
        <v>2307</v>
      </c>
      <c r="I539" t="s">
        <v>2279</v>
      </c>
      <c r="J539" t="s">
        <v>2190</v>
      </c>
      <c r="K539" t="s">
        <v>992</v>
      </c>
      <c r="L539" t="s">
        <v>992</v>
      </c>
      <c r="M539" t="s">
        <v>992</v>
      </c>
      <c r="N539" t="s">
        <v>992</v>
      </c>
      <c r="O539" t="s">
        <v>992</v>
      </c>
      <c r="P539" t="s">
        <v>992</v>
      </c>
      <c r="Q539" t="b">
        <v>1</v>
      </c>
      <c r="R539" t="b">
        <v>0</v>
      </c>
      <c r="S539" t="s">
        <v>1032</v>
      </c>
      <c r="T539" t="s">
        <v>992</v>
      </c>
      <c r="U539" t="s">
        <v>1139</v>
      </c>
      <c r="V539" t="s">
        <v>995</v>
      </c>
      <c r="W539" t="s">
        <v>2192</v>
      </c>
      <c r="X539" t="s">
        <v>2281</v>
      </c>
    </row>
    <row r="540" spans="1:24" x14ac:dyDescent="0.25">
      <c r="A540" t="s">
        <v>44</v>
      </c>
      <c r="B540" t="s">
        <v>2308</v>
      </c>
      <c r="C540" t="s">
        <v>450</v>
      </c>
      <c r="D540" t="s">
        <v>44</v>
      </c>
      <c r="E540" t="s">
        <v>990</v>
      </c>
      <c r="F540">
        <v>13482</v>
      </c>
      <c r="G540" t="s">
        <v>2190</v>
      </c>
      <c r="H540" t="s">
        <v>2309</v>
      </c>
      <c r="I540" t="s">
        <v>450</v>
      </c>
      <c r="J540" t="s">
        <v>2190</v>
      </c>
      <c r="K540" t="s">
        <v>992</v>
      </c>
      <c r="L540" t="s">
        <v>992</v>
      </c>
      <c r="M540" t="s">
        <v>992</v>
      </c>
      <c r="N540" t="s">
        <v>992</v>
      </c>
      <c r="O540" t="s">
        <v>992</v>
      </c>
      <c r="P540" t="s">
        <v>992</v>
      </c>
      <c r="Q540" t="b">
        <v>1</v>
      </c>
      <c r="R540" t="b">
        <v>0</v>
      </c>
      <c r="S540" t="s">
        <v>1032</v>
      </c>
      <c r="T540" t="s">
        <v>992</v>
      </c>
      <c r="U540" t="s">
        <v>1139</v>
      </c>
      <c r="V540" t="s">
        <v>995</v>
      </c>
      <c r="W540" t="s">
        <v>2192</v>
      </c>
      <c r="X540" t="s">
        <v>2310</v>
      </c>
    </row>
    <row r="541" spans="1:24" x14ac:dyDescent="0.25">
      <c r="A541" t="s">
        <v>44</v>
      </c>
      <c r="B541" t="s">
        <v>2311</v>
      </c>
      <c r="C541" t="s">
        <v>450</v>
      </c>
      <c r="D541" t="s">
        <v>44</v>
      </c>
      <c r="E541" t="s">
        <v>999</v>
      </c>
      <c r="F541">
        <v>8757</v>
      </c>
      <c r="G541" t="s">
        <v>2190</v>
      </c>
      <c r="H541" t="s">
        <v>2312</v>
      </c>
      <c r="I541" t="s">
        <v>450</v>
      </c>
      <c r="J541" t="s">
        <v>2190</v>
      </c>
      <c r="K541" t="s">
        <v>992</v>
      </c>
      <c r="L541" t="s">
        <v>992</v>
      </c>
      <c r="M541" t="s">
        <v>992</v>
      </c>
      <c r="N541" t="s">
        <v>992</v>
      </c>
      <c r="O541" t="s">
        <v>992</v>
      </c>
      <c r="P541" t="s">
        <v>992</v>
      </c>
      <c r="Q541" t="b">
        <v>1</v>
      </c>
      <c r="R541" t="b">
        <v>0</v>
      </c>
      <c r="S541" t="s">
        <v>1032</v>
      </c>
      <c r="T541" t="s">
        <v>992</v>
      </c>
      <c r="U541" t="s">
        <v>1139</v>
      </c>
      <c r="V541" t="s">
        <v>995</v>
      </c>
      <c r="W541" t="s">
        <v>2192</v>
      </c>
      <c r="X541" t="s">
        <v>2310</v>
      </c>
    </row>
    <row r="542" spans="1:24" x14ac:dyDescent="0.25">
      <c r="A542" t="s">
        <v>44</v>
      </c>
      <c r="B542" t="s">
        <v>2313</v>
      </c>
      <c r="C542" t="s">
        <v>450</v>
      </c>
      <c r="D542" t="s">
        <v>44</v>
      </c>
      <c r="E542" t="s">
        <v>1001</v>
      </c>
      <c r="F542">
        <v>8284</v>
      </c>
      <c r="G542" t="s">
        <v>2190</v>
      </c>
      <c r="H542" t="s">
        <v>2314</v>
      </c>
      <c r="I542" t="s">
        <v>450</v>
      </c>
      <c r="J542" t="s">
        <v>2190</v>
      </c>
      <c r="K542" t="s">
        <v>992</v>
      </c>
      <c r="L542" t="s">
        <v>992</v>
      </c>
      <c r="M542" t="s">
        <v>992</v>
      </c>
      <c r="N542" t="s">
        <v>992</v>
      </c>
      <c r="O542" t="s">
        <v>992</v>
      </c>
      <c r="P542" t="s">
        <v>992</v>
      </c>
      <c r="Q542" t="b">
        <v>1</v>
      </c>
      <c r="R542" t="b">
        <v>0</v>
      </c>
      <c r="S542" t="s">
        <v>1032</v>
      </c>
      <c r="T542" t="s">
        <v>992</v>
      </c>
      <c r="U542" t="s">
        <v>1139</v>
      </c>
      <c r="V542" t="s">
        <v>995</v>
      </c>
      <c r="W542" t="s">
        <v>2192</v>
      </c>
      <c r="X542" t="s">
        <v>2310</v>
      </c>
    </row>
    <row r="543" spans="1:24" x14ac:dyDescent="0.25">
      <c r="A543" t="s">
        <v>44</v>
      </c>
      <c r="B543" t="s">
        <v>2315</v>
      </c>
      <c r="C543" t="s">
        <v>450</v>
      </c>
      <c r="D543" t="s">
        <v>44</v>
      </c>
      <c r="E543" t="s">
        <v>1003</v>
      </c>
      <c r="F543">
        <v>9322</v>
      </c>
      <c r="G543" t="s">
        <v>2190</v>
      </c>
      <c r="H543" t="s">
        <v>2316</v>
      </c>
      <c r="I543" t="s">
        <v>450</v>
      </c>
      <c r="J543" t="s">
        <v>2190</v>
      </c>
      <c r="K543" t="s">
        <v>992</v>
      </c>
      <c r="L543" t="s">
        <v>992</v>
      </c>
      <c r="M543" t="s">
        <v>992</v>
      </c>
      <c r="N543" t="s">
        <v>992</v>
      </c>
      <c r="O543" t="s">
        <v>992</v>
      </c>
      <c r="P543" t="s">
        <v>992</v>
      </c>
      <c r="Q543" t="b">
        <v>1</v>
      </c>
      <c r="R543" t="b">
        <v>0</v>
      </c>
      <c r="S543" t="s">
        <v>1032</v>
      </c>
      <c r="T543" t="s">
        <v>992</v>
      </c>
      <c r="U543" t="s">
        <v>1139</v>
      </c>
      <c r="V543" t="s">
        <v>995</v>
      </c>
      <c r="W543" t="s">
        <v>2192</v>
      </c>
      <c r="X543" t="s">
        <v>2310</v>
      </c>
    </row>
    <row r="544" spans="1:24" x14ac:dyDescent="0.25">
      <c r="A544" t="s">
        <v>44</v>
      </c>
      <c r="B544" t="s">
        <v>2317</v>
      </c>
      <c r="C544" t="s">
        <v>450</v>
      </c>
      <c r="D544" t="s">
        <v>44</v>
      </c>
      <c r="E544" t="s">
        <v>1005</v>
      </c>
      <c r="F544">
        <v>11953</v>
      </c>
      <c r="G544" t="s">
        <v>2190</v>
      </c>
      <c r="H544" t="s">
        <v>2318</v>
      </c>
      <c r="I544" t="s">
        <v>450</v>
      </c>
      <c r="J544" t="s">
        <v>2190</v>
      </c>
      <c r="K544" t="s">
        <v>992</v>
      </c>
      <c r="L544" t="s">
        <v>992</v>
      </c>
      <c r="M544" t="s">
        <v>992</v>
      </c>
      <c r="N544" t="s">
        <v>992</v>
      </c>
      <c r="O544" t="s">
        <v>992</v>
      </c>
      <c r="P544" t="s">
        <v>992</v>
      </c>
      <c r="Q544" t="b">
        <v>1</v>
      </c>
      <c r="R544" t="b">
        <v>0</v>
      </c>
      <c r="S544" t="s">
        <v>1032</v>
      </c>
      <c r="T544" t="s">
        <v>992</v>
      </c>
      <c r="U544" t="s">
        <v>1139</v>
      </c>
      <c r="V544" t="s">
        <v>995</v>
      </c>
      <c r="W544" t="s">
        <v>2192</v>
      </c>
      <c r="X544" t="s">
        <v>2310</v>
      </c>
    </row>
    <row r="545" spans="1:24" x14ac:dyDescent="0.25">
      <c r="A545" t="s">
        <v>44</v>
      </c>
      <c r="B545" t="s">
        <v>2319</v>
      </c>
      <c r="C545" t="s">
        <v>450</v>
      </c>
      <c r="D545" t="s">
        <v>44</v>
      </c>
      <c r="E545" t="s">
        <v>1007</v>
      </c>
      <c r="F545">
        <v>7913</v>
      </c>
      <c r="G545" t="s">
        <v>2190</v>
      </c>
      <c r="H545" t="s">
        <v>2320</v>
      </c>
      <c r="I545" t="s">
        <v>450</v>
      </c>
      <c r="J545" t="s">
        <v>2190</v>
      </c>
      <c r="K545" t="s">
        <v>992</v>
      </c>
      <c r="L545" t="s">
        <v>992</v>
      </c>
      <c r="M545" t="s">
        <v>992</v>
      </c>
      <c r="N545" t="s">
        <v>992</v>
      </c>
      <c r="O545" t="s">
        <v>992</v>
      </c>
      <c r="P545" t="s">
        <v>992</v>
      </c>
      <c r="Q545" t="b">
        <v>1</v>
      </c>
      <c r="R545" t="b">
        <v>0</v>
      </c>
      <c r="S545" t="s">
        <v>1032</v>
      </c>
      <c r="T545" t="s">
        <v>992</v>
      </c>
      <c r="U545" t="s">
        <v>1139</v>
      </c>
      <c r="V545" t="s">
        <v>995</v>
      </c>
      <c r="W545" t="s">
        <v>2192</v>
      </c>
      <c r="X545" t="s">
        <v>2310</v>
      </c>
    </row>
    <row r="546" spans="1:24" x14ac:dyDescent="0.25">
      <c r="A546" t="s">
        <v>44</v>
      </c>
      <c r="B546" t="s">
        <v>2321</v>
      </c>
      <c r="C546" t="s">
        <v>450</v>
      </c>
      <c r="D546" t="s">
        <v>44</v>
      </c>
      <c r="E546" t="s">
        <v>1009</v>
      </c>
      <c r="F546">
        <v>8097</v>
      </c>
      <c r="G546" t="s">
        <v>2190</v>
      </c>
      <c r="H546" t="s">
        <v>2322</v>
      </c>
      <c r="I546" t="s">
        <v>450</v>
      </c>
      <c r="J546" t="s">
        <v>2190</v>
      </c>
      <c r="K546" t="s">
        <v>992</v>
      </c>
      <c r="L546" t="s">
        <v>992</v>
      </c>
      <c r="M546" t="s">
        <v>992</v>
      </c>
      <c r="N546" t="s">
        <v>992</v>
      </c>
      <c r="O546" t="s">
        <v>992</v>
      </c>
      <c r="P546" t="s">
        <v>992</v>
      </c>
      <c r="Q546" t="b">
        <v>1</v>
      </c>
      <c r="R546" t="b">
        <v>0</v>
      </c>
      <c r="S546" t="s">
        <v>1032</v>
      </c>
      <c r="T546" t="s">
        <v>992</v>
      </c>
      <c r="U546" t="s">
        <v>1139</v>
      </c>
      <c r="V546" t="s">
        <v>995</v>
      </c>
      <c r="W546" t="s">
        <v>2192</v>
      </c>
      <c r="X546" t="s">
        <v>2310</v>
      </c>
    </row>
    <row r="547" spans="1:24" x14ac:dyDescent="0.25">
      <c r="A547" t="s">
        <v>44</v>
      </c>
      <c r="B547" t="s">
        <v>2323</v>
      </c>
      <c r="C547" t="s">
        <v>450</v>
      </c>
      <c r="D547" t="s">
        <v>44</v>
      </c>
      <c r="E547" t="s">
        <v>1011</v>
      </c>
      <c r="F547">
        <v>9042</v>
      </c>
      <c r="G547" t="s">
        <v>2190</v>
      </c>
      <c r="H547" t="s">
        <v>2324</v>
      </c>
      <c r="I547" t="s">
        <v>450</v>
      </c>
      <c r="J547" t="s">
        <v>2190</v>
      </c>
      <c r="K547" t="s">
        <v>992</v>
      </c>
      <c r="L547" t="s">
        <v>992</v>
      </c>
      <c r="M547" t="s">
        <v>992</v>
      </c>
      <c r="N547" t="s">
        <v>992</v>
      </c>
      <c r="O547" t="s">
        <v>992</v>
      </c>
      <c r="P547" t="s">
        <v>992</v>
      </c>
      <c r="Q547" t="b">
        <v>1</v>
      </c>
      <c r="R547" t="b">
        <v>0</v>
      </c>
      <c r="S547" t="s">
        <v>1032</v>
      </c>
      <c r="T547" t="s">
        <v>992</v>
      </c>
      <c r="U547" t="s">
        <v>1139</v>
      </c>
      <c r="V547" t="s">
        <v>995</v>
      </c>
      <c r="W547" t="s">
        <v>2192</v>
      </c>
      <c r="X547" t="s">
        <v>2310</v>
      </c>
    </row>
    <row r="548" spans="1:24" x14ac:dyDescent="0.25">
      <c r="A548" t="s">
        <v>44</v>
      </c>
      <c r="B548" t="s">
        <v>2325</v>
      </c>
      <c r="C548" t="s">
        <v>450</v>
      </c>
      <c r="D548" t="s">
        <v>44</v>
      </c>
      <c r="E548" t="s">
        <v>1013</v>
      </c>
      <c r="F548">
        <v>11747</v>
      </c>
      <c r="G548" t="s">
        <v>2190</v>
      </c>
      <c r="H548" t="s">
        <v>2326</v>
      </c>
      <c r="I548" t="s">
        <v>450</v>
      </c>
      <c r="J548" t="s">
        <v>2190</v>
      </c>
      <c r="K548" t="s">
        <v>992</v>
      </c>
      <c r="L548" t="s">
        <v>992</v>
      </c>
      <c r="M548" t="s">
        <v>992</v>
      </c>
      <c r="N548" t="s">
        <v>992</v>
      </c>
      <c r="O548" t="s">
        <v>992</v>
      </c>
      <c r="P548" t="s">
        <v>992</v>
      </c>
      <c r="Q548" t="b">
        <v>1</v>
      </c>
      <c r="R548" t="b">
        <v>0</v>
      </c>
      <c r="S548" t="s">
        <v>1032</v>
      </c>
      <c r="T548" t="s">
        <v>992</v>
      </c>
      <c r="U548" t="s">
        <v>1139</v>
      </c>
      <c r="V548" t="s">
        <v>995</v>
      </c>
      <c r="W548" t="s">
        <v>2192</v>
      </c>
      <c r="X548" t="s">
        <v>2310</v>
      </c>
    </row>
    <row r="549" spans="1:24" x14ac:dyDescent="0.25">
      <c r="A549" t="s">
        <v>44</v>
      </c>
      <c r="B549" t="s">
        <v>2327</v>
      </c>
      <c r="C549" t="s">
        <v>450</v>
      </c>
      <c r="D549" t="s">
        <v>44</v>
      </c>
      <c r="E549" t="s">
        <v>1015</v>
      </c>
      <c r="F549">
        <v>7522</v>
      </c>
      <c r="G549" t="s">
        <v>2190</v>
      </c>
      <c r="H549" t="s">
        <v>2328</v>
      </c>
      <c r="I549" t="s">
        <v>450</v>
      </c>
      <c r="J549" t="s">
        <v>2190</v>
      </c>
      <c r="K549" t="s">
        <v>992</v>
      </c>
      <c r="L549" t="s">
        <v>992</v>
      </c>
      <c r="M549" t="s">
        <v>992</v>
      </c>
      <c r="N549" t="s">
        <v>992</v>
      </c>
      <c r="O549" t="s">
        <v>992</v>
      </c>
      <c r="P549" t="s">
        <v>992</v>
      </c>
      <c r="Q549" t="b">
        <v>1</v>
      </c>
      <c r="R549" t="b">
        <v>0</v>
      </c>
      <c r="S549" t="s">
        <v>1032</v>
      </c>
      <c r="T549" t="s">
        <v>992</v>
      </c>
      <c r="U549" t="s">
        <v>1139</v>
      </c>
      <c r="V549" t="s">
        <v>995</v>
      </c>
      <c r="W549" t="s">
        <v>2192</v>
      </c>
      <c r="X549" t="s">
        <v>2310</v>
      </c>
    </row>
    <row r="550" spans="1:24" x14ac:dyDescent="0.25">
      <c r="A550" t="s">
        <v>44</v>
      </c>
      <c r="B550" t="s">
        <v>2329</v>
      </c>
      <c r="C550" t="s">
        <v>450</v>
      </c>
      <c r="D550" t="s">
        <v>44</v>
      </c>
      <c r="E550" t="s">
        <v>1017</v>
      </c>
      <c r="F550">
        <v>7404</v>
      </c>
      <c r="G550" t="s">
        <v>2190</v>
      </c>
      <c r="H550" t="s">
        <v>2330</v>
      </c>
      <c r="I550" t="s">
        <v>450</v>
      </c>
      <c r="J550" t="s">
        <v>2190</v>
      </c>
      <c r="K550" t="s">
        <v>992</v>
      </c>
      <c r="L550" t="s">
        <v>992</v>
      </c>
      <c r="M550" t="s">
        <v>992</v>
      </c>
      <c r="N550" t="s">
        <v>992</v>
      </c>
      <c r="O550" t="s">
        <v>992</v>
      </c>
      <c r="P550" t="s">
        <v>992</v>
      </c>
      <c r="Q550" t="b">
        <v>1</v>
      </c>
      <c r="R550" t="b">
        <v>0</v>
      </c>
      <c r="S550" t="s">
        <v>1032</v>
      </c>
      <c r="T550" t="s">
        <v>992</v>
      </c>
      <c r="U550" t="s">
        <v>1139</v>
      </c>
      <c r="V550" t="s">
        <v>995</v>
      </c>
      <c r="W550" t="s">
        <v>2192</v>
      </c>
      <c r="X550" t="s">
        <v>2310</v>
      </c>
    </row>
    <row r="551" spans="1:24" x14ac:dyDescent="0.25">
      <c r="A551" t="s">
        <v>44</v>
      </c>
      <c r="B551" t="s">
        <v>2331</v>
      </c>
      <c r="C551" t="s">
        <v>450</v>
      </c>
      <c r="D551" t="s">
        <v>44</v>
      </c>
      <c r="E551" t="s">
        <v>1019</v>
      </c>
      <c r="F551">
        <v>9013</v>
      </c>
      <c r="G551" t="s">
        <v>2190</v>
      </c>
      <c r="H551" t="s">
        <v>2332</v>
      </c>
      <c r="I551" t="s">
        <v>450</v>
      </c>
      <c r="J551" t="s">
        <v>2190</v>
      </c>
      <c r="K551" t="s">
        <v>992</v>
      </c>
      <c r="L551" t="s">
        <v>992</v>
      </c>
      <c r="M551" t="s">
        <v>992</v>
      </c>
      <c r="N551" t="s">
        <v>992</v>
      </c>
      <c r="O551" t="s">
        <v>992</v>
      </c>
      <c r="P551" t="s">
        <v>992</v>
      </c>
      <c r="Q551" t="b">
        <v>1</v>
      </c>
      <c r="R551" t="b">
        <v>0</v>
      </c>
      <c r="S551" t="s">
        <v>1032</v>
      </c>
      <c r="T551" t="s">
        <v>992</v>
      </c>
      <c r="U551" t="s">
        <v>1139</v>
      </c>
      <c r="V551" t="s">
        <v>995</v>
      </c>
      <c r="W551" t="s">
        <v>2192</v>
      </c>
      <c r="X551" t="s">
        <v>2310</v>
      </c>
    </row>
    <row r="552" spans="1:24" x14ac:dyDescent="0.25">
      <c r="A552" t="s">
        <v>44</v>
      </c>
      <c r="B552" t="s">
        <v>2333</v>
      </c>
      <c r="C552" t="s">
        <v>450</v>
      </c>
      <c r="D552" t="s">
        <v>44</v>
      </c>
      <c r="E552" t="s">
        <v>1021</v>
      </c>
      <c r="F552">
        <v>11493</v>
      </c>
      <c r="G552" t="s">
        <v>2190</v>
      </c>
      <c r="H552" t="s">
        <v>2334</v>
      </c>
      <c r="I552" t="s">
        <v>450</v>
      </c>
      <c r="J552" t="s">
        <v>2190</v>
      </c>
      <c r="K552" t="s">
        <v>992</v>
      </c>
      <c r="L552" t="s">
        <v>992</v>
      </c>
      <c r="M552" t="s">
        <v>992</v>
      </c>
      <c r="N552" t="s">
        <v>992</v>
      </c>
      <c r="O552" t="s">
        <v>992</v>
      </c>
      <c r="P552" t="s">
        <v>992</v>
      </c>
      <c r="Q552" t="b">
        <v>1</v>
      </c>
      <c r="R552" t="b">
        <v>0</v>
      </c>
      <c r="S552" t="s">
        <v>1032</v>
      </c>
      <c r="T552" t="s">
        <v>992</v>
      </c>
      <c r="U552" t="s">
        <v>1139</v>
      </c>
      <c r="V552" t="s">
        <v>995</v>
      </c>
      <c r="W552" t="s">
        <v>2192</v>
      </c>
      <c r="X552" t="s">
        <v>2310</v>
      </c>
    </row>
    <row r="553" spans="1:24" x14ac:dyDescent="0.25">
      <c r="A553" t="s">
        <v>44</v>
      </c>
      <c r="B553" t="s">
        <v>2335</v>
      </c>
      <c r="C553" t="s">
        <v>450</v>
      </c>
      <c r="D553" t="s">
        <v>44</v>
      </c>
      <c r="E553" t="s">
        <v>1129</v>
      </c>
      <c r="F553">
        <v>7901</v>
      </c>
      <c r="G553" t="s">
        <v>2190</v>
      </c>
      <c r="H553" t="s">
        <v>2336</v>
      </c>
      <c r="I553" t="s">
        <v>450</v>
      </c>
      <c r="J553" t="s">
        <v>2190</v>
      </c>
      <c r="K553" t="s">
        <v>992</v>
      </c>
      <c r="L553" t="s">
        <v>992</v>
      </c>
      <c r="M553" t="s">
        <v>992</v>
      </c>
      <c r="N553" t="s">
        <v>992</v>
      </c>
      <c r="O553" t="s">
        <v>992</v>
      </c>
      <c r="P553" t="s">
        <v>992</v>
      </c>
      <c r="Q553" t="b">
        <v>1</v>
      </c>
      <c r="R553" t="b">
        <v>0</v>
      </c>
      <c r="S553" t="s">
        <v>1032</v>
      </c>
      <c r="T553" t="s">
        <v>992</v>
      </c>
      <c r="U553" t="s">
        <v>1139</v>
      </c>
      <c r="V553" t="s">
        <v>995</v>
      </c>
      <c r="W553" t="s">
        <v>2192</v>
      </c>
      <c r="X553" t="s">
        <v>2310</v>
      </c>
    </row>
    <row r="554" spans="1:24" x14ac:dyDescent="0.25">
      <c r="A554" t="s">
        <v>44</v>
      </c>
      <c r="B554" t="s">
        <v>1203</v>
      </c>
      <c r="C554" t="s">
        <v>2337</v>
      </c>
      <c r="D554" t="s">
        <v>44</v>
      </c>
      <c r="E554" t="s">
        <v>990</v>
      </c>
      <c r="F554">
        <v>17864</v>
      </c>
      <c r="G554" t="s">
        <v>2190</v>
      </c>
      <c r="H554" t="s">
        <v>2338</v>
      </c>
      <c r="I554" t="s">
        <v>2337</v>
      </c>
      <c r="J554" t="s">
        <v>2190</v>
      </c>
      <c r="K554" t="s">
        <v>992</v>
      </c>
      <c r="L554" t="s">
        <v>992</v>
      </c>
      <c r="M554" t="s">
        <v>992</v>
      </c>
      <c r="N554" t="s">
        <v>992</v>
      </c>
      <c r="O554" t="s">
        <v>992</v>
      </c>
      <c r="P554" t="s">
        <v>992</v>
      </c>
      <c r="Q554" t="b">
        <v>1</v>
      </c>
      <c r="R554" t="b">
        <v>0</v>
      </c>
      <c r="S554" t="s">
        <v>1032</v>
      </c>
      <c r="T554" t="s">
        <v>992</v>
      </c>
      <c r="U554" t="s">
        <v>1139</v>
      </c>
      <c r="V554" t="s">
        <v>995</v>
      </c>
      <c r="W554" t="s">
        <v>2192</v>
      </c>
      <c r="X554" t="s">
        <v>2339</v>
      </c>
    </row>
    <row r="555" spans="1:24" x14ac:dyDescent="0.25">
      <c r="A555" t="s">
        <v>44</v>
      </c>
      <c r="B555" t="s">
        <v>1208</v>
      </c>
      <c r="C555" t="s">
        <v>2337</v>
      </c>
      <c r="D555" t="s">
        <v>44</v>
      </c>
      <c r="E555" t="s">
        <v>999</v>
      </c>
      <c r="F555">
        <v>13927</v>
      </c>
      <c r="G555" t="s">
        <v>2190</v>
      </c>
      <c r="H555" t="s">
        <v>2340</v>
      </c>
      <c r="I555" t="s">
        <v>2337</v>
      </c>
      <c r="J555" t="s">
        <v>2190</v>
      </c>
      <c r="K555" t="s">
        <v>992</v>
      </c>
      <c r="L555" t="s">
        <v>992</v>
      </c>
      <c r="M555" t="s">
        <v>992</v>
      </c>
      <c r="N555" t="s">
        <v>992</v>
      </c>
      <c r="O555" t="s">
        <v>992</v>
      </c>
      <c r="P555" t="s">
        <v>992</v>
      </c>
      <c r="Q555" t="b">
        <v>1</v>
      </c>
      <c r="R555" t="b">
        <v>0</v>
      </c>
      <c r="S555" t="s">
        <v>1032</v>
      </c>
      <c r="T555" t="s">
        <v>992</v>
      </c>
      <c r="U555" t="s">
        <v>1139</v>
      </c>
      <c r="V555" t="s">
        <v>995</v>
      </c>
      <c r="W555" t="s">
        <v>2192</v>
      </c>
      <c r="X555" t="s">
        <v>2339</v>
      </c>
    </row>
    <row r="556" spans="1:24" x14ac:dyDescent="0.25">
      <c r="A556" t="s">
        <v>44</v>
      </c>
      <c r="B556" t="s">
        <v>1210</v>
      </c>
      <c r="C556" t="s">
        <v>2337</v>
      </c>
      <c r="D556" t="s">
        <v>44</v>
      </c>
      <c r="E556" t="s">
        <v>1001</v>
      </c>
      <c r="F556">
        <v>13117</v>
      </c>
      <c r="G556" t="s">
        <v>2190</v>
      </c>
      <c r="H556" t="s">
        <v>2341</v>
      </c>
      <c r="I556" t="s">
        <v>2337</v>
      </c>
      <c r="J556" t="s">
        <v>2190</v>
      </c>
      <c r="K556" t="s">
        <v>992</v>
      </c>
      <c r="L556" t="s">
        <v>992</v>
      </c>
      <c r="M556" t="s">
        <v>992</v>
      </c>
      <c r="N556" t="s">
        <v>992</v>
      </c>
      <c r="O556" t="s">
        <v>992</v>
      </c>
      <c r="P556" t="s">
        <v>992</v>
      </c>
      <c r="Q556" t="b">
        <v>1</v>
      </c>
      <c r="R556" t="b">
        <v>0</v>
      </c>
      <c r="S556" t="s">
        <v>1032</v>
      </c>
      <c r="T556" t="s">
        <v>992</v>
      </c>
      <c r="U556" t="s">
        <v>1139</v>
      </c>
      <c r="V556" t="s">
        <v>995</v>
      </c>
      <c r="W556" t="s">
        <v>2192</v>
      </c>
      <c r="X556" t="s">
        <v>2339</v>
      </c>
    </row>
    <row r="557" spans="1:24" x14ac:dyDescent="0.25">
      <c r="A557" t="s">
        <v>44</v>
      </c>
      <c r="B557" t="s">
        <v>1212</v>
      </c>
      <c r="C557" t="s">
        <v>2337</v>
      </c>
      <c r="D557" t="s">
        <v>44</v>
      </c>
      <c r="E557" t="s">
        <v>1003</v>
      </c>
      <c r="F557">
        <v>15600</v>
      </c>
      <c r="G557" t="s">
        <v>2190</v>
      </c>
      <c r="H557" t="s">
        <v>2342</v>
      </c>
      <c r="I557" t="s">
        <v>2337</v>
      </c>
      <c r="J557" t="s">
        <v>2190</v>
      </c>
      <c r="K557" t="s">
        <v>992</v>
      </c>
      <c r="L557" t="s">
        <v>992</v>
      </c>
      <c r="M557" t="s">
        <v>992</v>
      </c>
      <c r="N557" t="s">
        <v>992</v>
      </c>
      <c r="O557" t="s">
        <v>992</v>
      </c>
      <c r="P557" t="s">
        <v>992</v>
      </c>
      <c r="Q557" t="b">
        <v>1</v>
      </c>
      <c r="R557" t="b">
        <v>0</v>
      </c>
      <c r="S557" t="s">
        <v>1032</v>
      </c>
      <c r="T557" t="s">
        <v>992</v>
      </c>
      <c r="U557" t="s">
        <v>1139</v>
      </c>
      <c r="V557" t="s">
        <v>995</v>
      </c>
      <c r="W557" t="s">
        <v>2192</v>
      </c>
      <c r="X557" t="s">
        <v>2339</v>
      </c>
    </row>
    <row r="558" spans="1:24" x14ac:dyDescent="0.25">
      <c r="A558" t="s">
        <v>44</v>
      </c>
      <c r="B558" t="s">
        <v>1214</v>
      </c>
      <c r="C558" t="s">
        <v>2337</v>
      </c>
      <c r="D558" t="s">
        <v>44</v>
      </c>
      <c r="E558" t="s">
        <v>1005</v>
      </c>
      <c r="F558">
        <v>20357</v>
      </c>
      <c r="G558" t="s">
        <v>2190</v>
      </c>
      <c r="H558" t="s">
        <v>2343</v>
      </c>
      <c r="I558" t="s">
        <v>2337</v>
      </c>
      <c r="J558" t="s">
        <v>2190</v>
      </c>
      <c r="K558" t="s">
        <v>992</v>
      </c>
      <c r="L558" t="s">
        <v>992</v>
      </c>
      <c r="M558" t="s">
        <v>992</v>
      </c>
      <c r="N558" t="s">
        <v>992</v>
      </c>
      <c r="O558" t="s">
        <v>992</v>
      </c>
      <c r="P558" t="s">
        <v>992</v>
      </c>
      <c r="Q558" t="b">
        <v>1</v>
      </c>
      <c r="R558" t="b">
        <v>0</v>
      </c>
      <c r="S558" t="s">
        <v>1032</v>
      </c>
      <c r="T558" t="s">
        <v>992</v>
      </c>
      <c r="U558" t="s">
        <v>1139</v>
      </c>
      <c r="V558" t="s">
        <v>995</v>
      </c>
      <c r="W558" t="s">
        <v>2192</v>
      </c>
      <c r="X558" t="s">
        <v>2339</v>
      </c>
    </row>
    <row r="559" spans="1:24" x14ac:dyDescent="0.25">
      <c r="A559" t="s">
        <v>44</v>
      </c>
      <c r="B559" t="s">
        <v>1216</v>
      </c>
      <c r="C559" t="s">
        <v>2337</v>
      </c>
      <c r="D559" t="s">
        <v>44</v>
      </c>
      <c r="E559" t="s">
        <v>1007</v>
      </c>
      <c r="F559">
        <v>15074</v>
      </c>
      <c r="G559" t="s">
        <v>2190</v>
      </c>
      <c r="H559" t="s">
        <v>2344</v>
      </c>
      <c r="I559" t="s">
        <v>2337</v>
      </c>
      <c r="J559" t="s">
        <v>2190</v>
      </c>
      <c r="K559" t="s">
        <v>992</v>
      </c>
      <c r="L559" t="s">
        <v>992</v>
      </c>
      <c r="M559" t="s">
        <v>992</v>
      </c>
      <c r="N559" t="s">
        <v>992</v>
      </c>
      <c r="O559" t="s">
        <v>992</v>
      </c>
      <c r="P559" t="s">
        <v>992</v>
      </c>
      <c r="Q559" t="b">
        <v>1</v>
      </c>
      <c r="R559" t="b">
        <v>0</v>
      </c>
      <c r="S559" t="s">
        <v>1032</v>
      </c>
      <c r="T559" t="s">
        <v>992</v>
      </c>
      <c r="U559" t="s">
        <v>1139</v>
      </c>
      <c r="V559" t="s">
        <v>995</v>
      </c>
      <c r="W559" t="s">
        <v>2192</v>
      </c>
      <c r="X559" t="s">
        <v>2339</v>
      </c>
    </row>
    <row r="560" spans="1:24" x14ac:dyDescent="0.25">
      <c r="A560" t="s">
        <v>44</v>
      </c>
      <c r="B560" t="s">
        <v>1218</v>
      </c>
      <c r="C560" t="s">
        <v>2337</v>
      </c>
      <c r="D560" t="s">
        <v>44</v>
      </c>
      <c r="E560" t="s">
        <v>1009</v>
      </c>
      <c r="F560">
        <v>15209</v>
      </c>
      <c r="G560" t="s">
        <v>2190</v>
      </c>
      <c r="H560" t="s">
        <v>2345</v>
      </c>
      <c r="I560" t="s">
        <v>2337</v>
      </c>
      <c r="J560" t="s">
        <v>2190</v>
      </c>
      <c r="K560" t="s">
        <v>992</v>
      </c>
      <c r="L560" t="s">
        <v>992</v>
      </c>
      <c r="M560" t="s">
        <v>992</v>
      </c>
      <c r="N560" t="s">
        <v>992</v>
      </c>
      <c r="O560" t="s">
        <v>992</v>
      </c>
      <c r="P560" t="s">
        <v>992</v>
      </c>
      <c r="Q560" t="b">
        <v>1</v>
      </c>
      <c r="R560" t="b">
        <v>0</v>
      </c>
      <c r="S560" t="s">
        <v>1032</v>
      </c>
      <c r="T560" t="s">
        <v>992</v>
      </c>
      <c r="U560" t="s">
        <v>1139</v>
      </c>
      <c r="V560" t="s">
        <v>995</v>
      </c>
      <c r="W560" t="s">
        <v>2192</v>
      </c>
      <c r="X560" t="s">
        <v>2339</v>
      </c>
    </row>
    <row r="561" spans="1:24" x14ac:dyDescent="0.25">
      <c r="A561" t="s">
        <v>44</v>
      </c>
      <c r="B561" t="s">
        <v>1220</v>
      </c>
      <c r="C561" t="s">
        <v>2337</v>
      </c>
      <c r="D561" t="s">
        <v>44</v>
      </c>
      <c r="E561" t="s">
        <v>1011</v>
      </c>
      <c r="F561">
        <v>17016</v>
      </c>
      <c r="G561" t="s">
        <v>2190</v>
      </c>
      <c r="H561" t="s">
        <v>2346</v>
      </c>
      <c r="I561" t="s">
        <v>2337</v>
      </c>
      <c r="J561" t="s">
        <v>2190</v>
      </c>
      <c r="K561" t="s">
        <v>992</v>
      </c>
      <c r="L561" t="s">
        <v>992</v>
      </c>
      <c r="M561" t="s">
        <v>992</v>
      </c>
      <c r="N561" t="s">
        <v>992</v>
      </c>
      <c r="O561" t="s">
        <v>992</v>
      </c>
      <c r="P561" t="s">
        <v>992</v>
      </c>
      <c r="Q561" t="b">
        <v>1</v>
      </c>
      <c r="R561" t="b">
        <v>0</v>
      </c>
      <c r="S561" t="s">
        <v>1032</v>
      </c>
      <c r="T561" t="s">
        <v>992</v>
      </c>
      <c r="U561" t="s">
        <v>1139</v>
      </c>
      <c r="V561" t="s">
        <v>995</v>
      </c>
      <c r="W561" t="s">
        <v>2192</v>
      </c>
      <c r="X561" t="s">
        <v>2339</v>
      </c>
    </row>
    <row r="562" spans="1:24" x14ac:dyDescent="0.25">
      <c r="A562" t="s">
        <v>44</v>
      </c>
      <c r="B562" t="s">
        <v>1222</v>
      </c>
      <c r="C562" t="s">
        <v>2337</v>
      </c>
      <c r="D562" t="s">
        <v>44</v>
      </c>
      <c r="E562" t="s">
        <v>1013</v>
      </c>
      <c r="F562">
        <v>21509</v>
      </c>
      <c r="G562" t="s">
        <v>2190</v>
      </c>
      <c r="H562" t="s">
        <v>2347</v>
      </c>
      <c r="I562" t="s">
        <v>2337</v>
      </c>
      <c r="J562" t="s">
        <v>2190</v>
      </c>
      <c r="K562" t="s">
        <v>992</v>
      </c>
      <c r="L562" t="s">
        <v>992</v>
      </c>
      <c r="M562" t="s">
        <v>992</v>
      </c>
      <c r="N562" t="s">
        <v>992</v>
      </c>
      <c r="O562" t="s">
        <v>992</v>
      </c>
      <c r="P562" t="s">
        <v>992</v>
      </c>
      <c r="Q562" t="b">
        <v>1</v>
      </c>
      <c r="R562" t="b">
        <v>0</v>
      </c>
      <c r="S562" t="s">
        <v>1032</v>
      </c>
      <c r="T562" t="s">
        <v>992</v>
      </c>
      <c r="U562" t="s">
        <v>1139</v>
      </c>
      <c r="V562" t="s">
        <v>995</v>
      </c>
      <c r="W562" t="s">
        <v>2192</v>
      </c>
      <c r="X562" t="s">
        <v>2339</v>
      </c>
    </row>
    <row r="563" spans="1:24" x14ac:dyDescent="0.25">
      <c r="A563" t="s">
        <v>44</v>
      </c>
      <c r="B563" t="s">
        <v>1223</v>
      </c>
      <c r="C563" t="s">
        <v>2337</v>
      </c>
      <c r="D563" t="s">
        <v>44</v>
      </c>
      <c r="E563" t="s">
        <v>1015</v>
      </c>
      <c r="F563">
        <v>16774</v>
      </c>
      <c r="G563" t="s">
        <v>2190</v>
      </c>
      <c r="H563" t="s">
        <v>2348</v>
      </c>
      <c r="I563" t="s">
        <v>2337</v>
      </c>
      <c r="J563" t="s">
        <v>2190</v>
      </c>
      <c r="K563" t="s">
        <v>992</v>
      </c>
      <c r="L563" t="s">
        <v>992</v>
      </c>
      <c r="M563" t="s">
        <v>992</v>
      </c>
      <c r="N563" t="s">
        <v>992</v>
      </c>
      <c r="O563" t="s">
        <v>992</v>
      </c>
      <c r="P563" t="s">
        <v>992</v>
      </c>
      <c r="Q563" t="b">
        <v>1</v>
      </c>
      <c r="R563" t="b">
        <v>0</v>
      </c>
      <c r="S563" t="s">
        <v>1032</v>
      </c>
      <c r="T563" t="s">
        <v>992</v>
      </c>
      <c r="U563" t="s">
        <v>1139</v>
      </c>
      <c r="V563" t="s">
        <v>995</v>
      </c>
      <c r="W563" t="s">
        <v>2192</v>
      </c>
      <c r="X563" t="s">
        <v>2339</v>
      </c>
    </row>
    <row r="564" spans="1:24" x14ac:dyDescent="0.25">
      <c r="A564" t="s">
        <v>44</v>
      </c>
      <c r="B564" t="s">
        <v>1224</v>
      </c>
      <c r="C564" t="s">
        <v>2337</v>
      </c>
      <c r="D564" t="s">
        <v>44</v>
      </c>
      <c r="E564" t="s">
        <v>1017</v>
      </c>
      <c r="F564">
        <v>16511</v>
      </c>
      <c r="G564" t="s">
        <v>2190</v>
      </c>
      <c r="H564" t="s">
        <v>2349</v>
      </c>
      <c r="I564" t="s">
        <v>2337</v>
      </c>
      <c r="J564" t="s">
        <v>2190</v>
      </c>
      <c r="K564" t="s">
        <v>992</v>
      </c>
      <c r="L564" t="s">
        <v>992</v>
      </c>
      <c r="M564" t="s">
        <v>992</v>
      </c>
      <c r="N564" t="s">
        <v>992</v>
      </c>
      <c r="O564" t="s">
        <v>992</v>
      </c>
      <c r="P564" t="s">
        <v>992</v>
      </c>
      <c r="Q564" t="b">
        <v>1</v>
      </c>
      <c r="R564" t="b">
        <v>0</v>
      </c>
      <c r="S564" t="s">
        <v>1032</v>
      </c>
      <c r="T564" t="s">
        <v>992</v>
      </c>
      <c r="U564" t="s">
        <v>1139</v>
      </c>
      <c r="V564" t="s">
        <v>995</v>
      </c>
      <c r="W564" t="s">
        <v>2192</v>
      </c>
      <c r="X564" t="s">
        <v>2339</v>
      </c>
    </row>
    <row r="565" spans="1:24" x14ac:dyDescent="0.25">
      <c r="A565" t="s">
        <v>44</v>
      </c>
      <c r="B565" t="s">
        <v>1225</v>
      </c>
      <c r="C565" t="s">
        <v>2337</v>
      </c>
      <c r="D565" t="s">
        <v>44</v>
      </c>
      <c r="E565" t="s">
        <v>1019</v>
      </c>
      <c r="F565">
        <v>17686</v>
      </c>
      <c r="G565" t="s">
        <v>2190</v>
      </c>
      <c r="H565" t="s">
        <v>2350</v>
      </c>
      <c r="I565" t="s">
        <v>2337</v>
      </c>
      <c r="J565" t="s">
        <v>2190</v>
      </c>
      <c r="K565" t="s">
        <v>992</v>
      </c>
      <c r="L565" t="s">
        <v>992</v>
      </c>
      <c r="M565" t="s">
        <v>992</v>
      </c>
      <c r="N565" t="s">
        <v>992</v>
      </c>
      <c r="O565" t="s">
        <v>992</v>
      </c>
      <c r="P565" t="s">
        <v>992</v>
      </c>
      <c r="Q565" t="b">
        <v>1</v>
      </c>
      <c r="R565" t="b">
        <v>0</v>
      </c>
      <c r="S565" t="s">
        <v>1032</v>
      </c>
      <c r="T565" t="s">
        <v>992</v>
      </c>
      <c r="U565" t="s">
        <v>1139</v>
      </c>
      <c r="V565" t="s">
        <v>995</v>
      </c>
      <c r="W565" t="s">
        <v>2192</v>
      </c>
      <c r="X565" t="s">
        <v>2339</v>
      </c>
    </row>
    <row r="566" spans="1:24" x14ac:dyDescent="0.25">
      <c r="A566" t="s">
        <v>44</v>
      </c>
      <c r="B566" t="s">
        <v>1227</v>
      </c>
      <c r="C566" t="s">
        <v>2337</v>
      </c>
      <c r="D566" t="s">
        <v>44</v>
      </c>
      <c r="E566" t="s">
        <v>1021</v>
      </c>
      <c r="F566">
        <v>23953</v>
      </c>
      <c r="G566" t="s">
        <v>2190</v>
      </c>
      <c r="H566" t="s">
        <v>2351</v>
      </c>
      <c r="I566" t="s">
        <v>2337</v>
      </c>
      <c r="J566" t="s">
        <v>2190</v>
      </c>
      <c r="K566" t="s">
        <v>992</v>
      </c>
      <c r="L566" t="s">
        <v>992</v>
      </c>
      <c r="M566" t="s">
        <v>992</v>
      </c>
      <c r="N566" t="s">
        <v>992</v>
      </c>
      <c r="O566" t="s">
        <v>992</v>
      </c>
      <c r="P566" t="s">
        <v>992</v>
      </c>
      <c r="Q566" t="b">
        <v>1</v>
      </c>
      <c r="R566" t="b">
        <v>0</v>
      </c>
      <c r="S566" t="s">
        <v>1032</v>
      </c>
      <c r="T566" t="s">
        <v>992</v>
      </c>
      <c r="U566" t="s">
        <v>1139</v>
      </c>
      <c r="V566" t="s">
        <v>995</v>
      </c>
      <c r="W566" t="s">
        <v>2192</v>
      </c>
      <c r="X566" t="s">
        <v>2339</v>
      </c>
    </row>
    <row r="567" spans="1:24" x14ac:dyDescent="0.25">
      <c r="A567" t="s">
        <v>44</v>
      </c>
      <c r="B567" t="s">
        <v>1229</v>
      </c>
      <c r="C567" t="s">
        <v>2337</v>
      </c>
      <c r="D567" t="s">
        <v>44</v>
      </c>
      <c r="E567" t="s">
        <v>1129</v>
      </c>
      <c r="F567">
        <v>19373</v>
      </c>
      <c r="G567" t="s">
        <v>2190</v>
      </c>
      <c r="H567" t="s">
        <v>2352</v>
      </c>
      <c r="I567" t="s">
        <v>2337</v>
      </c>
      <c r="J567" t="s">
        <v>2190</v>
      </c>
      <c r="K567" t="s">
        <v>992</v>
      </c>
      <c r="L567" t="s">
        <v>992</v>
      </c>
      <c r="M567" t="s">
        <v>992</v>
      </c>
      <c r="N567" t="s">
        <v>992</v>
      </c>
      <c r="O567" t="s">
        <v>992</v>
      </c>
      <c r="P567" t="s">
        <v>992</v>
      </c>
      <c r="Q567" t="b">
        <v>1</v>
      </c>
      <c r="R567" t="b">
        <v>0</v>
      </c>
      <c r="S567" t="s">
        <v>1032</v>
      </c>
      <c r="T567" t="s">
        <v>992</v>
      </c>
      <c r="U567" t="s">
        <v>1139</v>
      </c>
      <c r="V567" t="s">
        <v>995</v>
      </c>
      <c r="W567" t="s">
        <v>2192</v>
      </c>
      <c r="X567" t="s">
        <v>2339</v>
      </c>
    </row>
    <row r="568" spans="1:24" x14ac:dyDescent="0.25">
      <c r="A568" t="s">
        <v>44</v>
      </c>
      <c r="B568" t="s">
        <v>1231</v>
      </c>
      <c r="C568" t="s">
        <v>2353</v>
      </c>
      <c r="D568" t="s">
        <v>44</v>
      </c>
      <c r="E568" t="s">
        <v>990</v>
      </c>
      <c r="F568">
        <v>10437</v>
      </c>
      <c r="G568" t="s">
        <v>2190</v>
      </c>
      <c r="H568" t="s">
        <v>2354</v>
      </c>
      <c r="I568" t="s">
        <v>2353</v>
      </c>
      <c r="J568" t="s">
        <v>2190</v>
      </c>
      <c r="K568" t="s">
        <v>992</v>
      </c>
      <c r="L568" t="s">
        <v>992</v>
      </c>
      <c r="M568" t="s">
        <v>992</v>
      </c>
      <c r="N568" t="s">
        <v>992</v>
      </c>
      <c r="O568" t="s">
        <v>992</v>
      </c>
      <c r="P568" t="s">
        <v>992</v>
      </c>
      <c r="Q568" t="b">
        <v>1</v>
      </c>
      <c r="R568" t="b">
        <v>0</v>
      </c>
      <c r="S568" t="s">
        <v>1032</v>
      </c>
      <c r="T568" t="s">
        <v>992</v>
      </c>
      <c r="U568" t="s">
        <v>1139</v>
      </c>
      <c r="V568" t="s">
        <v>995</v>
      </c>
      <c r="W568" t="s">
        <v>2192</v>
      </c>
      <c r="X568" t="s">
        <v>2355</v>
      </c>
    </row>
    <row r="569" spans="1:24" x14ac:dyDescent="0.25">
      <c r="A569" t="s">
        <v>44</v>
      </c>
      <c r="B569" t="s">
        <v>1235</v>
      </c>
      <c r="C569" t="s">
        <v>2353</v>
      </c>
      <c r="D569" t="s">
        <v>44</v>
      </c>
      <c r="E569" t="s">
        <v>999</v>
      </c>
      <c r="F569">
        <v>7531</v>
      </c>
      <c r="G569" t="s">
        <v>2190</v>
      </c>
      <c r="H569" t="s">
        <v>2356</v>
      </c>
      <c r="I569" t="s">
        <v>2353</v>
      </c>
      <c r="J569" t="s">
        <v>2190</v>
      </c>
      <c r="K569" t="s">
        <v>992</v>
      </c>
      <c r="L569" t="s">
        <v>992</v>
      </c>
      <c r="M569" t="s">
        <v>992</v>
      </c>
      <c r="N569" t="s">
        <v>992</v>
      </c>
      <c r="O569" t="s">
        <v>992</v>
      </c>
      <c r="P569" t="s">
        <v>992</v>
      </c>
      <c r="Q569" t="b">
        <v>1</v>
      </c>
      <c r="R569" t="b">
        <v>0</v>
      </c>
      <c r="S569" t="s">
        <v>1032</v>
      </c>
      <c r="T569" t="s">
        <v>992</v>
      </c>
      <c r="U569" t="s">
        <v>1139</v>
      </c>
      <c r="V569" t="s">
        <v>995</v>
      </c>
      <c r="W569" t="s">
        <v>2192</v>
      </c>
      <c r="X569" t="s">
        <v>2355</v>
      </c>
    </row>
    <row r="570" spans="1:24" x14ac:dyDescent="0.25">
      <c r="A570" t="s">
        <v>44</v>
      </c>
      <c r="B570" t="s">
        <v>1238</v>
      </c>
      <c r="C570" t="s">
        <v>2353</v>
      </c>
      <c r="D570" t="s">
        <v>44</v>
      </c>
      <c r="E570" t="s">
        <v>1001</v>
      </c>
      <c r="F570">
        <v>6207</v>
      </c>
      <c r="G570" t="s">
        <v>2190</v>
      </c>
      <c r="H570" t="s">
        <v>2357</v>
      </c>
      <c r="I570" t="s">
        <v>2353</v>
      </c>
      <c r="J570" t="s">
        <v>2190</v>
      </c>
      <c r="K570" t="s">
        <v>992</v>
      </c>
      <c r="L570" t="s">
        <v>992</v>
      </c>
      <c r="M570" t="s">
        <v>992</v>
      </c>
      <c r="N570" t="s">
        <v>992</v>
      </c>
      <c r="O570" t="s">
        <v>992</v>
      </c>
      <c r="P570" t="s">
        <v>992</v>
      </c>
      <c r="Q570" t="b">
        <v>1</v>
      </c>
      <c r="R570" t="b">
        <v>0</v>
      </c>
      <c r="S570" t="s">
        <v>1032</v>
      </c>
      <c r="T570" t="s">
        <v>992</v>
      </c>
      <c r="U570" t="s">
        <v>1139</v>
      </c>
      <c r="V570" t="s">
        <v>995</v>
      </c>
      <c r="W570" t="s">
        <v>2192</v>
      </c>
      <c r="X570" t="s">
        <v>2355</v>
      </c>
    </row>
    <row r="571" spans="1:24" x14ac:dyDescent="0.25">
      <c r="A571" t="s">
        <v>44</v>
      </c>
      <c r="B571" t="s">
        <v>1241</v>
      </c>
      <c r="C571" t="s">
        <v>2353</v>
      </c>
      <c r="D571" t="s">
        <v>44</v>
      </c>
      <c r="E571" t="s">
        <v>1003</v>
      </c>
      <c r="F571">
        <v>6153</v>
      </c>
      <c r="G571" t="s">
        <v>2190</v>
      </c>
      <c r="H571" t="s">
        <v>2358</v>
      </c>
      <c r="I571" t="s">
        <v>2353</v>
      </c>
      <c r="J571" t="s">
        <v>2190</v>
      </c>
      <c r="K571" t="s">
        <v>992</v>
      </c>
      <c r="L571" t="s">
        <v>992</v>
      </c>
      <c r="M571" t="s">
        <v>992</v>
      </c>
      <c r="N571" t="s">
        <v>992</v>
      </c>
      <c r="O571" t="s">
        <v>992</v>
      </c>
      <c r="P571" t="s">
        <v>992</v>
      </c>
      <c r="Q571" t="b">
        <v>1</v>
      </c>
      <c r="R571" t="b">
        <v>0</v>
      </c>
      <c r="S571" t="s">
        <v>1032</v>
      </c>
      <c r="T571" t="s">
        <v>992</v>
      </c>
      <c r="U571" t="s">
        <v>1139</v>
      </c>
      <c r="V571" t="s">
        <v>995</v>
      </c>
      <c r="W571" t="s">
        <v>2192</v>
      </c>
      <c r="X571" t="s">
        <v>2355</v>
      </c>
    </row>
    <row r="572" spans="1:24" x14ac:dyDescent="0.25">
      <c r="A572" t="s">
        <v>44</v>
      </c>
      <c r="B572" t="s">
        <v>1245</v>
      </c>
      <c r="C572" t="s">
        <v>2353</v>
      </c>
      <c r="D572" t="s">
        <v>44</v>
      </c>
      <c r="E572" t="s">
        <v>1005</v>
      </c>
      <c r="F572">
        <v>8622</v>
      </c>
      <c r="G572" t="s">
        <v>2190</v>
      </c>
      <c r="H572" t="s">
        <v>2359</v>
      </c>
      <c r="I572" t="s">
        <v>2353</v>
      </c>
      <c r="J572" t="s">
        <v>2190</v>
      </c>
      <c r="K572" t="s">
        <v>992</v>
      </c>
      <c r="L572" t="s">
        <v>992</v>
      </c>
      <c r="M572" t="s">
        <v>992</v>
      </c>
      <c r="N572" t="s">
        <v>992</v>
      </c>
      <c r="O572" t="s">
        <v>992</v>
      </c>
      <c r="P572" t="s">
        <v>992</v>
      </c>
      <c r="Q572" t="b">
        <v>1</v>
      </c>
      <c r="R572" t="b">
        <v>0</v>
      </c>
      <c r="S572" t="s">
        <v>1032</v>
      </c>
      <c r="T572" t="s">
        <v>992</v>
      </c>
      <c r="U572" t="s">
        <v>1139</v>
      </c>
      <c r="V572" t="s">
        <v>995</v>
      </c>
      <c r="W572" t="s">
        <v>2192</v>
      </c>
      <c r="X572" t="s">
        <v>2355</v>
      </c>
    </row>
    <row r="573" spans="1:24" x14ac:dyDescent="0.25">
      <c r="A573" t="s">
        <v>44</v>
      </c>
      <c r="B573" t="s">
        <v>1248</v>
      </c>
      <c r="C573" t="s">
        <v>2353</v>
      </c>
      <c r="D573" t="s">
        <v>44</v>
      </c>
      <c r="E573" t="s">
        <v>1007</v>
      </c>
      <c r="F573">
        <v>6700</v>
      </c>
      <c r="G573" t="s">
        <v>2190</v>
      </c>
      <c r="H573" t="s">
        <v>2360</v>
      </c>
      <c r="I573" t="s">
        <v>2353</v>
      </c>
      <c r="J573" t="s">
        <v>2190</v>
      </c>
      <c r="K573" t="s">
        <v>992</v>
      </c>
      <c r="L573" t="s">
        <v>992</v>
      </c>
      <c r="M573" t="s">
        <v>992</v>
      </c>
      <c r="N573" t="s">
        <v>992</v>
      </c>
      <c r="O573" t="s">
        <v>992</v>
      </c>
      <c r="P573" t="s">
        <v>992</v>
      </c>
      <c r="Q573" t="b">
        <v>1</v>
      </c>
      <c r="R573" t="b">
        <v>0</v>
      </c>
      <c r="S573" t="s">
        <v>1032</v>
      </c>
      <c r="T573" t="s">
        <v>992</v>
      </c>
      <c r="U573" t="s">
        <v>1139</v>
      </c>
      <c r="V573" t="s">
        <v>995</v>
      </c>
      <c r="W573" t="s">
        <v>2192</v>
      </c>
      <c r="X573" t="s">
        <v>2355</v>
      </c>
    </row>
    <row r="574" spans="1:24" x14ac:dyDescent="0.25">
      <c r="A574" t="s">
        <v>44</v>
      </c>
      <c r="B574" t="s">
        <v>1251</v>
      </c>
      <c r="C574" t="s">
        <v>2353</v>
      </c>
      <c r="D574" t="s">
        <v>44</v>
      </c>
      <c r="E574" t="s">
        <v>1009</v>
      </c>
      <c r="F574">
        <v>5562</v>
      </c>
      <c r="G574" t="s">
        <v>2190</v>
      </c>
      <c r="H574" t="s">
        <v>2361</v>
      </c>
      <c r="I574" t="s">
        <v>2353</v>
      </c>
      <c r="J574" t="s">
        <v>2190</v>
      </c>
      <c r="K574" t="s">
        <v>992</v>
      </c>
      <c r="L574" t="s">
        <v>992</v>
      </c>
      <c r="M574" t="s">
        <v>992</v>
      </c>
      <c r="N574" t="s">
        <v>992</v>
      </c>
      <c r="O574" t="s">
        <v>992</v>
      </c>
      <c r="P574" t="s">
        <v>992</v>
      </c>
      <c r="Q574" t="b">
        <v>1</v>
      </c>
      <c r="R574" t="b">
        <v>0</v>
      </c>
      <c r="S574" t="s">
        <v>1032</v>
      </c>
      <c r="T574" t="s">
        <v>992</v>
      </c>
      <c r="U574" t="s">
        <v>1139</v>
      </c>
      <c r="V574" t="s">
        <v>995</v>
      </c>
      <c r="W574" t="s">
        <v>2192</v>
      </c>
      <c r="X574" t="s">
        <v>2355</v>
      </c>
    </row>
    <row r="575" spans="1:24" x14ac:dyDescent="0.25">
      <c r="A575" t="s">
        <v>44</v>
      </c>
      <c r="B575" t="s">
        <v>1254</v>
      </c>
      <c r="C575" t="s">
        <v>2353</v>
      </c>
      <c r="D575" t="s">
        <v>44</v>
      </c>
      <c r="E575" t="s">
        <v>1011</v>
      </c>
      <c r="F575">
        <v>6198</v>
      </c>
      <c r="G575" t="s">
        <v>2190</v>
      </c>
      <c r="H575" t="s">
        <v>2362</v>
      </c>
      <c r="I575" t="s">
        <v>2353</v>
      </c>
      <c r="J575" t="s">
        <v>2190</v>
      </c>
      <c r="K575" t="s">
        <v>992</v>
      </c>
      <c r="L575" t="s">
        <v>992</v>
      </c>
      <c r="M575" t="s">
        <v>992</v>
      </c>
      <c r="N575" t="s">
        <v>992</v>
      </c>
      <c r="O575" t="s">
        <v>992</v>
      </c>
      <c r="P575" t="s">
        <v>992</v>
      </c>
      <c r="Q575" t="b">
        <v>1</v>
      </c>
      <c r="R575" t="b">
        <v>0</v>
      </c>
      <c r="S575" t="s">
        <v>1032</v>
      </c>
      <c r="T575" t="s">
        <v>992</v>
      </c>
      <c r="U575" t="s">
        <v>1139</v>
      </c>
      <c r="V575" t="s">
        <v>995</v>
      </c>
      <c r="W575" t="s">
        <v>2192</v>
      </c>
      <c r="X575" t="s">
        <v>2355</v>
      </c>
    </row>
    <row r="576" spans="1:24" x14ac:dyDescent="0.25">
      <c r="A576" t="s">
        <v>44</v>
      </c>
      <c r="B576" t="s">
        <v>1257</v>
      </c>
      <c r="C576" t="s">
        <v>2353</v>
      </c>
      <c r="D576" t="s">
        <v>44</v>
      </c>
      <c r="E576" t="s">
        <v>1013</v>
      </c>
      <c r="F576">
        <v>8160</v>
      </c>
      <c r="G576" t="s">
        <v>2190</v>
      </c>
      <c r="H576" t="s">
        <v>2363</v>
      </c>
      <c r="I576" t="s">
        <v>2353</v>
      </c>
      <c r="J576" t="s">
        <v>2190</v>
      </c>
      <c r="K576" t="s">
        <v>992</v>
      </c>
      <c r="L576" t="s">
        <v>992</v>
      </c>
      <c r="M576" t="s">
        <v>992</v>
      </c>
      <c r="N576" t="s">
        <v>992</v>
      </c>
      <c r="O576" t="s">
        <v>992</v>
      </c>
      <c r="P576" t="s">
        <v>992</v>
      </c>
      <c r="Q576" t="b">
        <v>1</v>
      </c>
      <c r="R576" t="b">
        <v>0</v>
      </c>
      <c r="S576" t="s">
        <v>1032</v>
      </c>
      <c r="T576" t="s">
        <v>992</v>
      </c>
      <c r="U576" t="s">
        <v>1139</v>
      </c>
      <c r="V576" t="s">
        <v>995</v>
      </c>
      <c r="W576" t="s">
        <v>2192</v>
      </c>
      <c r="X576" t="s">
        <v>2355</v>
      </c>
    </row>
    <row r="577" spans="1:24" x14ac:dyDescent="0.25">
      <c r="A577" t="s">
        <v>44</v>
      </c>
      <c r="B577" t="s">
        <v>1260</v>
      </c>
      <c r="C577" t="s">
        <v>2353</v>
      </c>
      <c r="D577" t="s">
        <v>44</v>
      </c>
      <c r="E577" t="s">
        <v>1015</v>
      </c>
      <c r="F577">
        <v>6626</v>
      </c>
      <c r="G577" t="s">
        <v>2190</v>
      </c>
      <c r="H577" t="s">
        <v>2364</v>
      </c>
      <c r="I577" t="s">
        <v>2353</v>
      </c>
      <c r="J577" t="s">
        <v>2190</v>
      </c>
      <c r="K577" t="s">
        <v>992</v>
      </c>
      <c r="L577" t="s">
        <v>992</v>
      </c>
      <c r="M577" t="s">
        <v>992</v>
      </c>
      <c r="N577" t="s">
        <v>992</v>
      </c>
      <c r="O577" t="s">
        <v>992</v>
      </c>
      <c r="P577" t="s">
        <v>992</v>
      </c>
      <c r="Q577" t="b">
        <v>1</v>
      </c>
      <c r="R577" t="b">
        <v>0</v>
      </c>
      <c r="S577" t="s">
        <v>1032</v>
      </c>
      <c r="T577" t="s">
        <v>992</v>
      </c>
      <c r="U577" t="s">
        <v>1139</v>
      </c>
      <c r="V577" t="s">
        <v>995</v>
      </c>
      <c r="W577" t="s">
        <v>2192</v>
      </c>
      <c r="X577" t="s">
        <v>2355</v>
      </c>
    </row>
    <row r="578" spans="1:24" x14ac:dyDescent="0.25">
      <c r="A578" t="s">
        <v>44</v>
      </c>
      <c r="B578" t="s">
        <v>1263</v>
      </c>
      <c r="C578" t="s">
        <v>2353</v>
      </c>
      <c r="D578" t="s">
        <v>44</v>
      </c>
      <c r="E578" t="s">
        <v>1017</v>
      </c>
      <c r="F578">
        <v>5822</v>
      </c>
      <c r="G578" t="s">
        <v>2190</v>
      </c>
      <c r="H578" t="s">
        <v>2365</v>
      </c>
      <c r="I578" t="s">
        <v>2353</v>
      </c>
      <c r="J578" t="s">
        <v>2190</v>
      </c>
      <c r="K578" t="s">
        <v>992</v>
      </c>
      <c r="L578" t="s">
        <v>992</v>
      </c>
      <c r="M578" t="s">
        <v>992</v>
      </c>
      <c r="N578" t="s">
        <v>992</v>
      </c>
      <c r="O578" t="s">
        <v>992</v>
      </c>
      <c r="P578" t="s">
        <v>992</v>
      </c>
      <c r="Q578" t="b">
        <v>1</v>
      </c>
      <c r="R578" t="b">
        <v>0</v>
      </c>
      <c r="S578" t="s">
        <v>1032</v>
      </c>
      <c r="T578" t="s">
        <v>992</v>
      </c>
      <c r="U578" t="s">
        <v>1139</v>
      </c>
      <c r="V578" t="s">
        <v>995</v>
      </c>
      <c r="W578" t="s">
        <v>2192</v>
      </c>
      <c r="X578" t="s">
        <v>2355</v>
      </c>
    </row>
    <row r="579" spans="1:24" x14ac:dyDescent="0.25">
      <c r="A579" t="s">
        <v>44</v>
      </c>
      <c r="B579" t="s">
        <v>1266</v>
      </c>
      <c r="C579" t="s">
        <v>2353</v>
      </c>
      <c r="D579" t="s">
        <v>44</v>
      </c>
      <c r="E579" t="s">
        <v>1019</v>
      </c>
      <c r="F579">
        <v>6309</v>
      </c>
      <c r="G579" t="s">
        <v>2190</v>
      </c>
      <c r="H579" t="s">
        <v>2366</v>
      </c>
      <c r="I579" t="s">
        <v>2353</v>
      </c>
      <c r="J579" t="s">
        <v>2190</v>
      </c>
      <c r="K579" t="s">
        <v>992</v>
      </c>
      <c r="L579" t="s">
        <v>992</v>
      </c>
      <c r="M579" t="s">
        <v>992</v>
      </c>
      <c r="N579" t="s">
        <v>992</v>
      </c>
      <c r="O579" t="s">
        <v>992</v>
      </c>
      <c r="P579" t="s">
        <v>992</v>
      </c>
      <c r="Q579" t="b">
        <v>1</v>
      </c>
      <c r="R579" t="b">
        <v>0</v>
      </c>
      <c r="S579" t="s">
        <v>1032</v>
      </c>
      <c r="T579" t="s">
        <v>992</v>
      </c>
      <c r="U579" t="s">
        <v>1139</v>
      </c>
      <c r="V579" t="s">
        <v>995</v>
      </c>
      <c r="W579" t="s">
        <v>2192</v>
      </c>
      <c r="X579" t="s">
        <v>2355</v>
      </c>
    </row>
    <row r="580" spans="1:24" x14ac:dyDescent="0.25">
      <c r="A580" t="s">
        <v>44</v>
      </c>
      <c r="B580" t="s">
        <v>1269</v>
      </c>
      <c r="C580" t="s">
        <v>2353</v>
      </c>
      <c r="D580" t="s">
        <v>44</v>
      </c>
      <c r="E580" t="s">
        <v>1021</v>
      </c>
      <c r="F580">
        <v>11792</v>
      </c>
      <c r="G580" t="s">
        <v>2190</v>
      </c>
      <c r="H580" t="s">
        <v>2367</v>
      </c>
      <c r="I580" t="s">
        <v>2353</v>
      </c>
      <c r="J580" t="s">
        <v>2190</v>
      </c>
      <c r="K580" t="s">
        <v>992</v>
      </c>
      <c r="L580" t="s">
        <v>992</v>
      </c>
      <c r="M580" t="s">
        <v>992</v>
      </c>
      <c r="N580" t="s">
        <v>992</v>
      </c>
      <c r="O580" t="s">
        <v>992</v>
      </c>
      <c r="P580" t="s">
        <v>992</v>
      </c>
      <c r="Q580" t="b">
        <v>1</v>
      </c>
      <c r="R580" t="b">
        <v>0</v>
      </c>
      <c r="S580" t="s">
        <v>1032</v>
      </c>
      <c r="T580" t="s">
        <v>992</v>
      </c>
      <c r="U580" t="s">
        <v>1139</v>
      </c>
      <c r="V580" t="s">
        <v>995</v>
      </c>
      <c r="W580" t="s">
        <v>2192</v>
      </c>
      <c r="X580" t="s">
        <v>2355</v>
      </c>
    </row>
    <row r="581" spans="1:24" x14ac:dyDescent="0.25">
      <c r="A581" t="s">
        <v>44</v>
      </c>
      <c r="B581" t="s">
        <v>1272</v>
      </c>
      <c r="C581" t="s">
        <v>2353</v>
      </c>
      <c r="D581" t="s">
        <v>44</v>
      </c>
      <c r="E581" t="s">
        <v>1129</v>
      </c>
      <c r="F581">
        <v>9189</v>
      </c>
      <c r="G581" t="s">
        <v>2190</v>
      </c>
      <c r="H581" t="s">
        <v>2368</v>
      </c>
      <c r="I581" t="s">
        <v>2353</v>
      </c>
      <c r="J581" t="s">
        <v>2190</v>
      </c>
      <c r="K581" t="s">
        <v>992</v>
      </c>
      <c r="L581" t="s">
        <v>992</v>
      </c>
      <c r="M581" t="s">
        <v>992</v>
      </c>
      <c r="N581" t="s">
        <v>992</v>
      </c>
      <c r="O581" t="s">
        <v>992</v>
      </c>
      <c r="P581" t="s">
        <v>992</v>
      </c>
      <c r="Q581" t="b">
        <v>1</v>
      </c>
      <c r="R581" t="b">
        <v>0</v>
      </c>
      <c r="S581" t="s">
        <v>1032</v>
      </c>
      <c r="T581" t="s">
        <v>992</v>
      </c>
      <c r="U581" t="s">
        <v>1139</v>
      </c>
      <c r="V581" t="s">
        <v>995</v>
      </c>
      <c r="W581" t="s">
        <v>2192</v>
      </c>
      <c r="X581" t="s">
        <v>2355</v>
      </c>
    </row>
    <row r="582" spans="1:24" x14ac:dyDescent="0.25">
      <c r="A582" t="s">
        <v>44</v>
      </c>
      <c r="B582" t="s">
        <v>2369</v>
      </c>
      <c r="C582" t="s">
        <v>2370</v>
      </c>
      <c r="D582" t="s">
        <v>44</v>
      </c>
      <c r="E582" t="s">
        <v>990</v>
      </c>
      <c r="F582">
        <v>3236</v>
      </c>
      <c r="G582" t="s">
        <v>2190</v>
      </c>
      <c r="H582" t="s">
        <v>2371</v>
      </c>
      <c r="I582" t="s">
        <v>2370</v>
      </c>
      <c r="J582" t="s">
        <v>2190</v>
      </c>
      <c r="K582" t="s">
        <v>992</v>
      </c>
      <c r="L582" t="s">
        <v>992</v>
      </c>
      <c r="M582" t="s">
        <v>992</v>
      </c>
      <c r="N582" t="s">
        <v>992</v>
      </c>
      <c r="O582" t="s">
        <v>992</v>
      </c>
      <c r="P582" t="s">
        <v>992</v>
      </c>
      <c r="Q582" t="b">
        <v>1</v>
      </c>
      <c r="R582" t="b">
        <v>0</v>
      </c>
      <c r="S582" t="s">
        <v>1032</v>
      </c>
      <c r="T582" t="s">
        <v>992</v>
      </c>
      <c r="U582" t="s">
        <v>1139</v>
      </c>
      <c r="V582" t="s">
        <v>995</v>
      </c>
      <c r="W582" t="s">
        <v>2192</v>
      </c>
      <c r="X582" t="s">
        <v>2372</v>
      </c>
    </row>
    <row r="583" spans="1:24" x14ac:dyDescent="0.25">
      <c r="A583" t="s">
        <v>44</v>
      </c>
      <c r="B583" t="s">
        <v>2373</v>
      </c>
      <c r="C583" t="s">
        <v>2370</v>
      </c>
      <c r="D583" t="s">
        <v>44</v>
      </c>
      <c r="E583" t="s">
        <v>999</v>
      </c>
      <c r="F583">
        <v>3394</v>
      </c>
      <c r="G583" t="s">
        <v>2190</v>
      </c>
      <c r="H583" t="s">
        <v>2374</v>
      </c>
      <c r="I583" t="s">
        <v>2370</v>
      </c>
      <c r="J583" t="s">
        <v>2190</v>
      </c>
      <c r="K583" t="s">
        <v>992</v>
      </c>
      <c r="L583" t="s">
        <v>992</v>
      </c>
      <c r="M583" t="s">
        <v>992</v>
      </c>
      <c r="N583" t="s">
        <v>992</v>
      </c>
      <c r="O583" t="s">
        <v>992</v>
      </c>
      <c r="P583" t="s">
        <v>992</v>
      </c>
      <c r="Q583" t="b">
        <v>1</v>
      </c>
      <c r="R583" t="b">
        <v>0</v>
      </c>
      <c r="S583" t="s">
        <v>1032</v>
      </c>
      <c r="T583" t="s">
        <v>992</v>
      </c>
      <c r="U583" t="s">
        <v>1139</v>
      </c>
      <c r="V583" t="s">
        <v>995</v>
      </c>
      <c r="W583" t="s">
        <v>2192</v>
      </c>
      <c r="X583" t="s">
        <v>2372</v>
      </c>
    </row>
    <row r="584" spans="1:24" x14ac:dyDescent="0.25">
      <c r="A584" t="s">
        <v>44</v>
      </c>
      <c r="B584" t="s">
        <v>2375</v>
      </c>
      <c r="C584" t="s">
        <v>2370</v>
      </c>
      <c r="D584" t="s">
        <v>44</v>
      </c>
      <c r="E584" t="s">
        <v>1001</v>
      </c>
      <c r="F584">
        <v>2443</v>
      </c>
      <c r="G584" t="s">
        <v>2190</v>
      </c>
      <c r="H584" t="s">
        <v>2376</v>
      </c>
      <c r="I584" t="s">
        <v>2370</v>
      </c>
      <c r="J584" t="s">
        <v>2190</v>
      </c>
      <c r="K584" t="s">
        <v>992</v>
      </c>
      <c r="L584" t="s">
        <v>992</v>
      </c>
      <c r="M584" t="s">
        <v>992</v>
      </c>
      <c r="N584" t="s">
        <v>992</v>
      </c>
      <c r="O584" t="s">
        <v>992</v>
      </c>
      <c r="P584" t="s">
        <v>992</v>
      </c>
      <c r="Q584" t="b">
        <v>1</v>
      </c>
      <c r="R584" t="b">
        <v>0</v>
      </c>
      <c r="S584" t="s">
        <v>1032</v>
      </c>
      <c r="T584" t="s">
        <v>992</v>
      </c>
      <c r="U584" t="s">
        <v>1139</v>
      </c>
      <c r="V584" t="s">
        <v>995</v>
      </c>
      <c r="W584" t="s">
        <v>2192</v>
      </c>
      <c r="X584" t="s">
        <v>2372</v>
      </c>
    </row>
    <row r="585" spans="1:24" x14ac:dyDescent="0.25">
      <c r="A585" t="s">
        <v>44</v>
      </c>
      <c r="B585" t="s">
        <v>2377</v>
      </c>
      <c r="C585" t="s">
        <v>2370</v>
      </c>
      <c r="D585" t="s">
        <v>44</v>
      </c>
      <c r="E585" t="s">
        <v>1003</v>
      </c>
      <c r="F585">
        <v>2815</v>
      </c>
      <c r="G585" t="s">
        <v>2190</v>
      </c>
      <c r="H585" t="s">
        <v>2378</v>
      </c>
      <c r="I585" t="s">
        <v>2370</v>
      </c>
      <c r="J585" t="s">
        <v>2190</v>
      </c>
      <c r="K585" t="s">
        <v>992</v>
      </c>
      <c r="L585" t="s">
        <v>992</v>
      </c>
      <c r="M585" t="s">
        <v>992</v>
      </c>
      <c r="N585" t="s">
        <v>992</v>
      </c>
      <c r="O585" t="s">
        <v>992</v>
      </c>
      <c r="P585" t="s">
        <v>992</v>
      </c>
      <c r="Q585" t="b">
        <v>1</v>
      </c>
      <c r="R585" t="b">
        <v>0</v>
      </c>
      <c r="S585" t="s">
        <v>1032</v>
      </c>
      <c r="T585" t="s">
        <v>992</v>
      </c>
      <c r="U585" t="s">
        <v>1139</v>
      </c>
      <c r="V585" t="s">
        <v>995</v>
      </c>
      <c r="W585" t="s">
        <v>2192</v>
      </c>
      <c r="X585" t="s">
        <v>2372</v>
      </c>
    </row>
    <row r="586" spans="1:24" x14ac:dyDescent="0.25">
      <c r="A586" t="s">
        <v>44</v>
      </c>
      <c r="B586" t="s">
        <v>2379</v>
      </c>
      <c r="C586" t="s">
        <v>2370</v>
      </c>
      <c r="D586" t="s">
        <v>44</v>
      </c>
      <c r="E586" t="s">
        <v>1005</v>
      </c>
      <c r="F586">
        <v>3819</v>
      </c>
      <c r="G586" t="s">
        <v>2190</v>
      </c>
      <c r="H586" t="s">
        <v>2380</v>
      </c>
      <c r="I586" t="s">
        <v>2370</v>
      </c>
      <c r="J586" t="s">
        <v>2190</v>
      </c>
      <c r="K586" t="s">
        <v>992</v>
      </c>
      <c r="L586" t="s">
        <v>992</v>
      </c>
      <c r="M586" t="s">
        <v>992</v>
      </c>
      <c r="N586" t="s">
        <v>992</v>
      </c>
      <c r="O586" t="s">
        <v>992</v>
      </c>
      <c r="P586" t="s">
        <v>992</v>
      </c>
      <c r="Q586" t="b">
        <v>1</v>
      </c>
      <c r="R586" t="b">
        <v>0</v>
      </c>
      <c r="S586" t="s">
        <v>1032</v>
      </c>
      <c r="T586" t="s">
        <v>992</v>
      </c>
      <c r="U586" t="s">
        <v>1139</v>
      </c>
      <c r="V586" t="s">
        <v>995</v>
      </c>
      <c r="W586" t="s">
        <v>2192</v>
      </c>
      <c r="X586" t="s">
        <v>2372</v>
      </c>
    </row>
    <row r="587" spans="1:24" x14ac:dyDescent="0.25">
      <c r="A587" t="s">
        <v>44</v>
      </c>
      <c r="B587" t="s">
        <v>2381</v>
      </c>
      <c r="C587" t="s">
        <v>2370</v>
      </c>
      <c r="D587" t="s">
        <v>44</v>
      </c>
      <c r="E587" t="s">
        <v>1007</v>
      </c>
      <c r="F587">
        <v>3135</v>
      </c>
      <c r="G587" t="s">
        <v>2190</v>
      </c>
      <c r="H587" t="s">
        <v>2382</v>
      </c>
      <c r="I587" t="s">
        <v>2370</v>
      </c>
      <c r="J587" t="s">
        <v>2190</v>
      </c>
      <c r="K587" t="s">
        <v>992</v>
      </c>
      <c r="L587" t="s">
        <v>992</v>
      </c>
      <c r="M587" t="s">
        <v>992</v>
      </c>
      <c r="N587" t="s">
        <v>992</v>
      </c>
      <c r="O587" t="s">
        <v>992</v>
      </c>
      <c r="P587" t="s">
        <v>992</v>
      </c>
      <c r="Q587" t="b">
        <v>1</v>
      </c>
      <c r="R587" t="b">
        <v>0</v>
      </c>
      <c r="S587" t="s">
        <v>1032</v>
      </c>
      <c r="T587" t="s">
        <v>992</v>
      </c>
      <c r="U587" t="s">
        <v>1139</v>
      </c>
      <c r="V587" t="s">
        <v>995</v>
      </c>
      <c r="W587" t="s">
        <v>2192</v>
      </c>
      <c r="X587" t="s">
        <v>2372</v>
      </c>
    </row>
    <row r="588" spans="1:24" x14ac:dyDescent="0.25">
      <c r="A588" t="s">
        <v>44</v>
      </c>
      <c r="B588" t="s">
        <v>2383</v>
      </c>
      <c r="C588" t="s">
        <v>2370</v>
      </c>
      <c r="D588" t="s">
        <v>44</v>
      </c>
      <c r="E588" t="s">
        <v>1009</v>
      </c>
      <c r="F588">
        <v>2544</v>
      </c>
      <c r="G588" t="s">
        <v>2190</v>
      </c>
      <c r="H588" t="s">
        <v>2384</v>
      </c>
      <c r="I588" t="s">
        <v>2370</v>
      </c>
      <c r="J588" t="s">
        <v>2190</v>
      </c>
      <c r="K588" t="s">
        <v>992</v>
      </c>
      <c r="L588" t="s">
        <v>992</v>
      </c>
      <c r="M588" t="s">
        <v>992</v>
      </c>
      <c r="N588" t="s">
        <v>992</v>
      </c>
      <c r="O588" t="s">
        <v>992</v>
      </c>
      <c r="P588" t="s">
        <v>992</v>
      </c>
      <c r="Q588" t="b">
        <v>1</v>
      </c>
      <c r="R588" t="b">
        <v>0</v>
      </c>
      <c r="S588" t="s">
        <v>1032</v>
      </c>
      <c r="T588" t="s">
        <v>992</v>
      </c>
      <c r="U588" t="s">
        <v>1139</v>
      </c>
      <c r="V588" t="s">
        <v>995</v>
      </c>
      <c r="W588" t="s">
        <v>2192</v>
      </c>
      <c r="X588" t="s">
        <v>2372</v>
      </c>
    </row>
    <row r="589" spans="1:24" x14ac:dyDescent="0.25">
      <c r="A589" t="s">
        <v>44</v>
      </c>
      <c r="B589" t="s">
        <v>2385</v>
      </c>
      <c r="C589" t="s">
        <v>2370</v>
      </c>
      <c r="D589" t="s">
        <v>44</v>
      </c>
      <c r="E589" t="s">
        <v>1011</v>
      </c>
      <c r="F589">
        <v>2956</v>
      </c>
      <c r="G589" t="s">
        <v>2190</v>
      </c>
      <c r="H589" t="s">
        <v>2386</v>
      </c>
      <c r="I589" t="s">
        <v>2370</v>
      </c>
      <c r="J589" t="s">
        <v>2190</v>
      </c>
      <c r="K589" t="s">
        <v>992</v>
      </c>
      <c r="L589" t="s">
        <v>992</v>
      </c>
      <c r="M589" t="s">
        <v>992</v>
      </c>
      <c r="N589" t="s">
        <v>992</v>
      </c>
      <c r="O589" t="s">
        <v>992</v>
      </c>
      <c r="P589" t="s">
        <v>992</v>
      </c>
      <c r="Q589" t="b">
        <v>1</v>
      </c>
      <c r="R589" t="b">
        <v>0</v>
      </c>
      <c r="S589" t="s">
        <v>1032</v>
      </c>
      <c r="T589" t="s">
        <v>992</v>
      </c>
      <c r="U589" t="s">
        <v>1139</v>
      </c>
      <c r="V589" t="s">
        <v>995</v>
      </c>
      <c r="W589" t="s">
        <v>2192</v>
      </c>
      <c r="X589" t="s">
        <v>2372</v>
      </c>
    </row>
    <row r="590" spans="1:24" x14ac:dyDescent="0.25">
      <c r="A590" t="s">
        <v>44</v>
      </c>
      <c r="B590" t="s">
        <v>2387</v>
      </c>
      <c r="C590" t="s">
        <v>2370</v>
      </c>
      <c r="D590" t="s">
        <v>44</v>
      </c>
      <c r="E590" t="s">
        <v>1013</v>
      </c>
      <c r="F590">
        <v>4314</v>
      </c>
      <c r="G590" t="s">
        <v>2190</v>
      </c>
      <c r="H590" t="s">
        <v>2388</v>
      </c>
      <c r="I590" t="s">
        <v>2370</v>
      </c>
      <c r="J590" t="s">
        <v>2190</v>
      </c>
      <c r="K590" t="s">
        <v>992</v>
      </c>
      <c r="L590" t="s">
        <v>992</v>
      </c>
      <c r="M590" t="s">
        <v>992</v>
      </c>
      <c r="N590" t="s">
        <v>992</v>
      </c>
      <c r="O590" t="s">
        <v>992</v>
      </c>
      <c r="P590" t="s">
        <v>992</v>
      </c>
      <c r="Q590" t="b">
        <v>1</v>
      </c>
      <c r="R590" t="b">
        <v>0</v>
      </c>
      <c r="S590" t="s">
        <v>1032</v>
      </c>
      <c r="T590" t="s">
        <v>992</v>
      </c>
      <c r="U590" t="s">
        <v>1139</v>
      </c>
      <c r="V590" t="s">
        <v>995</v>
      </c>
      <c r="W590" t="s">
        <v>2192</v>
      </c>
      <c r="X590" t="s">
        <v>2372</v>
      </c>
    </row>
    <row r="591" spans="1:24" x14ac:dyDescent="0.25">
      <c r="A591" t="s">
        <v>44</v>
      </c>
      <c r="B591" t="s">
        <v>2389</v>
      </c>
      <c r="C591" t="s">
        <v>2370</v>
      </c>
      <c r="D591" t="s">
        <v>44</v>
      </c>
      <c r="E591" t="s">
        <v>1015</v>
      </c>
      <c r="F591">
        <v>3434</v>
      </c>
      <c r="G591" t="s">
        <v>2190</v>
      </c>
      <c r="H591" t="s">
        <v>2390</v>
      </c>
      <c r="I591" t="s">
        <v>2370</v>
      </c>
      <c r="J591" t="s">
        <v>2190</v>
      </c>
      <c r="K591" t="s">
        <v>992</v>
      </c>
      <c r="L591" t="s">
        <v>992</v>
      </c>
      <c r="M591" t="s">
        <v>992</v>
      </c>
      <c r="N591" t="s">
        <v>992</v>
      </c>
      <c r="O591" t="s">
        <v>992</v>
      </c>
      <c r="P591" t="s">
        <v>992</v>
      </c>
      <c r="Q591" t="b">
        <v>1</v>
      </c>
      <c r="R591" t="b">
        <v>0</v>
      </c>
      <c r="S591" t="s">
        <v>1032</v>
      </c>
      <c r="T591" t="s">
        <v>992</v>
      </c>
      <c r="U591" t="s">
        <v>1139</v>
      </c>
      <c r="V591" t="s">
        <v>995</v>
      </c>
      <c r="W591" t="s">
        <v>2192</v>
      </c>
      <c r="X591" t="s">
        <v>2372</v>
      </c>
    </row>
    <row r="592" spans="1:24" x14ac:dyDescent="0.25">
      <c r="A592" t="s">
        <v>44</v>
      </c>
      <c r="B592" t="s">
        <v>2391</v>
      </c>
      <c r="C592" t="s">
        <v>2370</v>
      </c>
      <c r="D592" t="s">
        <v>44</v>
      </c>
      <c r="E592" t="s">
        <v>1017</v>
      </c>
      <c r="F592">
        <v>2872</v>
      </c>
      <c r="G592" t="s">
        <v>2190</v>
      </c>
      <c r="H592" t="s">
        <v>2392</v>
      </c>
      <c r="I592" t="s">
        <v>2370</v>
      </c>
      <c r="J592" t="s">
        <v>2190</v>
      </c>
      <c r="K592" t="s">
        <v>992</v>
      </c>
      <c r="L592" t="s">
        <v>992</v>
      </c>
      <c r="M592" t="s">
        <v>992</v>
      </c>
      <c r="N592" t="s">
        <v>992</v>
      </c>
      <c r="O592" t="s">
        <v>992</v>
      </c>
      <c r="P592" t="s">
        <v>992</v>
      </c>
      <c r="Q592" t="b">
        <v>1</v>
      </c>
      <c r="R592" t="b">
        <v>0</v>
      </c>
      <c r="S592" t="s">
        <v>1032</v>
      </c>
      <c r="T592" t="s">
        <v>992</v>
      </c>
      <c r="U592" t="s">
        <v>1139</v>
      </c>
      <c r="V592" t="s">
        <v>995</v>
      </c>
      <c r="W592" t="s">
        <v>2192</v>
      </c>
      <c r="X592" t="s">
        <v>2372</v>
      </c>
    </row>
    <row r="593" spans="1:24" x14ac:dyDescent="0.25">
      <c r="A593" t="s">
        <v>44</v>
      </c>
      <c r="B593" t="s">
        <v>2393</v>
      </c>
      <c r="C593" t="s">
        <v>2370</v>
      </c>
      <c r="D593" t="s">
        <v>44</v>
      </c>
      <c r="E593" t="s">
        <v>1019</v>
      </c>
      <c r="F593">
        <v>3335</v>
      </c>
      <c r="G593" t="s">
        <v>2190</v>
      </c>
      <c r="H593" t="s">
        <v>2394</v>
      </c>
      <c r="I593" t="s">
        <v>2370</v>
      </c>
      <c r="J593" t="s">
        <v>2190</v>
      </c>
      <c r="K593" t="s">
        <v>992</v>
      </c>
      <c r="L593" t="s">
        <v>992</v>
      </c>
      <c r="M593" t="s">
        <v>992</v>
      </c>
      <c r="N593" t="s">
        <v>992</v>
      </c>
      <c r="O593" t="s">
        <v>992</v>
      </c>
      <c r="P593" t="s">
        <v>992</v>
      </c>
      <c r="Q593" t="b">
        <v>1</v>
      </c>
      <c r="R593" t="b">
        <v>0</v>
      </c>
      <c r="S593" t="s">
        <v>1032</v>
      </c>
      <c r="T593" t="s">
        <v>992</v>
      </c>
      <c r="U593" t="s">
        <v>1139</v>
      </c>
      <c r="V593" t="s">
        <v>995</v>
      </c>
      <c r="W593" t="s">
        <v>2192</v>
      </c>
      <c r="X593" t="s">
        <v>2372</v>
      </c>
    </row>
    <row r="594" spans="1:24" x14ac:dyDescent="0.25">
      <c r="A594" t="s">
        <v>44</v>
      </c>
      <c r="B594" t="s">
        <v>2395</v>
      </c>
      <c r="C594" t="s">
        <v>2370</v>
      </c>
      <c r="D594" t="s">
        <v>44</v>
      </c>
      <c r="E594" t="s">
        <v>1021</v>
      </c>
      <c r="F594">
        <v>4613</v>
      </c>
      <c r="G594" t="s">
        <v>2190</v>
      </c>
      <c r="H594" t="s">
        <v>2396</v>
      </c>
      <c r="I594" t="s">
        <v>2370</v>
      </c>
      <c r="J594" t="s">
        <v>2190</v>
      </c>
      <c r="K594" t="s">
        <v>992</v>
      </c>
      <c r="L594" t="s">
        <v>992</v>
      </c>
      <c r="M594" t="s">
        <v>992</v>
      </c>
      <c r="N594" t="s">
        <v>992</v>
      </c>
      <c r="O594" t="s">
        <v>992</v>
      </c>
      <c r="P594" t="s">
        <v>992</v>
      </c>
      <c r="Q594" t="b">
        <v>1</v>
      </c>
      <c r="R594" t="b">
        <v>0</v>
      </c>
      <c r="S594" t="s">
        <v>1032</v>
      </c>
      <c r="T594" t="s">
        <v>992</v>
      </c>
      <c r="U594" t="s">
        <v>1139</v>
      </c>
      <c r="V594" t="s">
        <v>995</v>
      </c>
      <c r="W594" t="s">
        <v>2192</v>
      </c>
      <c r="X594" t="s">
        <v>2372</v>
      </c>
    </row>
    <row r="595" spans="1:24" x14ac:dyDescent="0.25">
      <c r="A595" t="s">
        <v>44</v>
      </c>
      <c r="B595" t="s">
        <v>2397</v>
      </c>
      <c r="C595" t="s">
        <v>2370</v>
      </c>
      <c r="D595" t="s">
        <v>44</v>
      </c>
      <c r="E595" t="s">
        <v>1129</v>
      </c>
      <c r="F595">
        <v>3839</v>
      </c>
      <c r="G595" t="s">
        <v>2190</v>
      </c>
      <c r="H595" t="s">
        <v>2398</v>
      </c>
      <c r="I595" t="s">
        <v>2370</v>
      </c>
      <c r="J595" t="s">
        <v>2190</v>
      </c>
      <c r="K595" t="s">
        <v>992</v>
      </c>
      <c r="L595" t="s">
        <v>992</v>
      </c>
      <c r="M595" t="s">
        <v>992</v>
      </c>
      <c r="N595" t="s">
        <v>992</v>
      </c>
      <c r="O595" t="s">
        <v>992</v>
      </c>
      <c r="P595" t="s">
        <v>992</v>
      </c>
      <c r="Q595" t="b">
        <v>1</v>
      </c>
      <c r="R595" t="b">
        <v>0</v>
      </c>
      <c r="S595" t="s">
        <v>1032</v>
      </c>
      <c r="T595" t="s">
        <v>992</v>
      </c>
      <c r="U595" t="s">
        <v>1139</v>
      </c>
      <c r="V595" t="s">
        <v>995</v>
      </c>
      <c r="W595" t="s">
        <v>2192</v>
      </c>
      <c r="X595" t="s">
        <v>2372</v>
      </c>
    </row>
    <row r="596" spans="1:24" x14ac:dyDescent="0.25">
      <c r="A596" t="s">
        <v>44</v>
      </c>
      <c r="B596" t="s">
        <v>2399</v>
      </c>
      <c r="C596" t="s">
        <v>2400</v>
      </c>
      <c r="E596" t="s">
        <v>990</v>
      </c>
      <c r="F596">
        <v>0</v>
      </c>
      <c r="G596" t="s">
        <v>991</v>
      </c>
      <c r="H596" t="s">
        <v>992</v>
      </c>
      <c r="J596" t="s">
        <v>2190</v>
      </c>
      <c r="K596" t="s">
        <v>992</v>
      </c>
      <c r="L596" t="s">
        <v>992</v>
      </c>
      <c r="Q596" t="b">
        <v>1</v>
      </c>
      <c r="R596" t="b">
        <v>0</v>
      </c>
      <c r="T596" t="s">
        <v>992</v>
      </c>
      <c r="U596" t="s">
        <v>994</v>
      </c>
      <c r="V596" t="s">
        <v>1288</v>
      </c>
      <c r="W596" t="s">
        <v>2401</v>
      </c>
      <c r="X596" t="s">
        <v>2402</v>
      </c>
    </row>
    <row r="597" spans="1:24" x14ac:dyDescent="0.25">
      <c r="A597" t="s">
        <v>44</v>
      </c>
      <c r="B597" t="s">
        <v>2403</v>
      </c>
      <c r="C597" t="s">
        <v>2400</v>
      </c>
      <c r="E597" t="s">
        <v>999</v>
      </c>
      <c r="F597">
        <v>0</v>
      </c>
      <c r="G597" t="s">
        <v>991</v>
      </c>
      <c r="H597" t="s">
        <v>992</v>
      </c>
      <c r="J597" t="s">
        <v>2190</v>
      </c>
      <c r="K597" t="s">
        <v>992</v>
      </c>
      <c r="L597" t="s">
        <v>992</v>
      </c>
      <c r="Q597" t="b">
        <v>1</v>
      </c>
      <c r="R597" t="b">
        <v>0</v>
      </c>
      <c r="T597" t="s">
        <v>992</v>
      </c>
      <c r="U597" t="s">
        <v>994</v>
      </c>
      <c r="V597" t="s">
        <v>1288</v>
      </c>
      <c r="W597" t="s">
        <v>2401</v>
      </c>
      <c r="X597" t="s">
        <v>2402</v>
      </c>
    </row>
    <row r="598" spans="1:24" x14ac:dyDescent="0.25">
      <c r="A598" t="s">
        <v>44</v>
      </c>
      <c r="B598" t="s">
        <v>2404</v>
      </c>
      <c r="C598" t="s">
        <v>2400</v>
      </c>
      <c r="E598" t="s">
        <v>1001</v>
      </c>
      <c r="F598">
        <v>0</v>
      </c>
      <c r="G598" t="s">
        <v>991</v>
      </c>
      <c r="H598" t="s">
        <v>992</v>
      </c>
      <c r="J598" t="s">
        <v>2190</v>
      </c>
      <c r="K598" t="s">
        <v>992</v>
      </c>
      <c r="L598" t="s">
        <v>992</v>
      </c>
      <c r="Q598" t="b">
        <v>1</v>
      </c>
      <c r="R598" t="b">
        <v>0</v>
      </c>
      <c r="T598" t="s">
        <v>992</v>
      </c>
      <c r="U598" t="s">
        <v>994</v>
      </c>
      <c r="V598" t="s">
        <v>1288</v>
      </c>
      <c r="W598" t="s">
        <v>2401</v>
      </c>
      <c r="X598" t="s">
        <v>2402</v>
      </c>
    </row>
    <row r="599" spans="1:24" x14ac:dyDescent="0.25">
      <c r="A599" t="s">
        <v>44</v>
      </c>
      <c r="B599" t="s">
        <v>2405</v>
      </c>
      <c r="C599" t="s">
        <v>2400</v>
      </c>
      <c r="E599" t="s">
        <v>1003</v>
      </c>
      <c r="F599">
        <v>0</v>
      </c>
      <c r="G599" t="s">
        <v>991</v>
      </c>
      <c r="H599" t="s">
        <v>992</v>
      </c>
      <c r="J599" t="s">
        <v>2190</v>
      </c>
      <c r="K599" t="s">
        <v>992</v>
      </c>
      <c r="L599" t="s">
        <v>992</v>
      </c>
      <c r="Q599" t="b">
        <v>1</v>
      </c>
      <c r="R599" t="b">
        <v>0</v>
      </c>
      <c r="T599" t="s">
        <v>992</v>
      </c>
      <c r="U599" t="s">
        <v>994</v>
      </c>
      <c r="V599" t="s">
        <v>1288</v>
      </c>
      <c r="W599" t="s">
        <v>2401</v>
      </c>
      <c r="X599" t="s">
        <v>2402</v>
      </c>
    </row>
    <row r="600" spans="1:24" x14ac:dyDescent="0.25">
      <c r="A600" t="s">
        <v>44</v>
      </c>
      <c r="B600" t="s">
        <v>2406</v>
      </c>
      <c r="C600" t="s">
        <v>2400</v>
      </c>
      <c r="E600" t="s">
        <v>1005</v>
      </c>
      <c r="F600">
        <v>0</v>
      </c>
      <c r="G600" t="s">
        <v>991</v>
      </c>
      <c r="H600" t="s">
        <v>992</v>
      </c>
      <c r="J600" t="s">
        <v>2190</v>
      </c>
      <c r="K600" t="s">
        <v>992</v>
      </c>
      <c r="L600" t="s">
        <v>992</v>
      </c>
      <c r="Q600" t="b">
        <v>1</v>
      </c>
      <c r="R600" t="b">
        <v>0</v>
      </c>
      <c r="T600" t="s">
        <v>992</v>
      </c>
      <c r="U600" t="s">
        <v>994</v>
      </c>
      <c r="V600" t="s">
        <v>1288</v>
      </c>
      <c r="W600" t="s">
        <v>2401</v>
      </c>
      <c r="X600" t="s">
        <v>2402</v>
      </c>
    </row>
    <row r="601" spans="1:24" x14ac:dyDescent="0.25">
      <c r="A601" t="s">
        <v>44</v>
      </c>
      <c r="B601" t="s">
        <v>2407</v>
      </c>
      <c r="C601" t="s">
        <v>2400</v>
      </c>
      <c r="E601" t="s">
        <v>1007</v>
      </c>
      <c r="F601">
        <v>0</v>
      </c>
      <c r="G601" t="s">
        <v>991</v>
      </c>
      <c r="H601" t="s">
        <v>992</v>
      </c>
      <c r="J601" t="s">
        <v>2190</v>
      </c>
      <c r="K601" t="s">
        <v>992</v>
      </c>
      <c r="L601" t="s">
        <v>992</v>
      </c>
      <c r="Q601" t="b">
        <v>1</v>
      </c>
      <c r="R601" t="b">
        <v>0</v>
      </c>
      <c r="T601" t="s">
        <v>992</v>
      </c>
      <c r="U601" t="s">
        <v>994</v>
      </c>
      <c r="V601" t="s">
        <v>1288</v>
      </c>
      <c r="W601" t="s">
        <v>2401</v>
      </c>
      <c r="X601" t="s">
        <v>2402</v>
      </c>
    </row>
    <row r="602" spans="1:24" x14ac:dyDescent="0.25">
      <c r="A602" t="s">
        <v>44</v>
      </c>
      <c r="B602" t="s">
        <v>2408</v>
      </c>
      <c r="C602" t="s">
        <v>2400</v>
      </c>
      <c r="E602" t="s">
        <v>1009</v>
      </c>
      <c r="F602">
        <v>0</v>
      </c>
      <c r="G602" t="s">
        <v>991</v>
      </c>
      <c r="H602" t="s">
        <v>992</v>
      </c>
      <c r="J602" t="s">
        <v>2190</v>
      </c>
      <c r="K602" t="s">
        <v>992</v>
      </c>
      <c r="L602" t="s">
        <v>992</v>
      </c>
      <c r="Q602" t="b">
        <v>1</v>
      </c>
      <c r="R602" t="b">
        <v>0</v>
      </c>
      <c r="T602" t="s">
        <v>992</v>
      </c>
      <c r="U602" t="s">
        <v>994</v>
      </c>
      <c r="V602" t="s">
        <v>1288</v>
      </c>
      <c r="W602" t="s">
        <v>2401</v>
      </c>
      <c r="X602" t="s">
        <v>2402</v>
      </c>
    </row>
    <row r="603" spans="1:24" x14ac:dyDescent="0.25">
      <c r="A603" t="s">
        <v>44</v>
      </c>
      <c r="B603" t="s">
        <v>2409</v>
      </c>
      <c r="C603" t="s">
        <v>2400</v>
      </c>
      <c r="E603" t="s">
        <v>1011</v>
      </c>
      <c r="F603">
        <v>0</v>
      </c>
      <c r="G603" t="s">
        <v>991</v>
      </c>
      <c r="H603" t="s">
        <v>992</v>
      </c>
      <c r="J603" t="s">
        <v>2190</v>
      </c>
      <c r="K603" t="s">
        <v>992</v>
      </c>
      <c r="L603" t="s">
        <v>992</v>
      </c>
      <c r="Q603" t="b">
        <v>1</v>
      </c>
      <c r="R603" t="b">
        <v>0</v>
      </c>
      <c r="T603" t="s">
        <v>992</v>
      </c>
      <c r="U603" t="s">
        <v>994</v>
      </c>
      <c r="V603" t="s">
        <v>1288</v>
      </c>
      <c r="W603" t="s">
        <v>2401</v>
      </c>
      <c r="X603" t="s">
        <v>2402</v>
      </c>
    </row>
    <row r="604" spans="1:24" x14ac:dyDescent="0.25">
      <c r="A604" t="s">
        <v>44</v>
      </c>
      <c r="B604" t="s">
        <v>2410</v>
      </c>
      <c r="C604" t="s">
        <v>2400</v>
      </c>
      <c r="E604" t="s">
        <v>1013</v>
      </c>
      <c r="F604">
        <v>0</v>
      </c>
      <c r="G604" t="s">
        <v>991</v>
      </c>
      <c r="H604" t="s">
        <v>992</v>
      </c>
      <c r="J604" t="s">
        <v>2190</v>
      </c>
      <c r="K604" t="s">
        <v>992</v>
      </c>
      <c r="L604" t="s">
        <v>992</v>
      </c>
      <c r="Q604" t="b">
        <v>1</v>
      </c>
      <c r="R604" t="b">
        <v>0</v>
      </c>
      <c r="T604" t="s">
        <v>992</v>
      </c>
      <c r="U604" t="s">
        <v>994</v>
      </c>
      <c r="V604" t="s">
        <v>1288</v>
      </c>
      <c r="W604" t="s">
        <v>2401</v>
      </c>
      <c r="X604" t="s">
        <v>2402</v>
      </c>
    </row>
    <row r="605" spans="1:24" x14ac:dyDescent="0.25">
      <c r="A605" t="s">
        <v>44</v>
      </c>
      <c r="B605" t="s">
        <v>2411</v>
      </c>
      <c r="C605" t="s">
        <v>2400</v>
      </c>
      <c r="E605" t="s">
        <v>1015</v>
      </c>
      <c r="F605">
        <v>0</v>
      </c>
      <c r="G605" t="s">
        <v>991</v>
      </c>
      <c r="H605" t="s">
        <v>992</v>
      </c>
      <c r="J605" t="s">
        <v>2190</v>
      </c>
      <c r="K605" t="s">
        <v>992</v>
      </c>
      <c r="L605" t="s">
        <v>992</v>
      </c>
      <c r="Q605" t="b">
        <v>1</v>
      </c>
      <c r="R605" t="b">
        <v>0</v>
      </c>
      <c r="T605" t="s">
        <v>992</v>
      </c>
      <c r="U605" t="s">
        <v>994</v>
      </c>
      <c r="V605" t="s">
        <v>1288</v>
      </c>
      <c r="W605" t="s">
        <v>2401</v>
      </c>
      <c r="X605" t="s">
        <v>2402</v>
      </c>
    </row>
    <row r="606" spans="1:24" x14ac:dyDescent="0.25">
      <c r="A606" t="s">
        <v>44</v>
      </c>
      <c r="B606" t="s">
        <v>2412</v>
      </c>
      <c r="C606" t="s">
        <v>2400</v>
      </c>
      <c r="E606" t="s">
        <v>1017</v>
      </c>
      <c r="F606">
        <v>0</v>
      </c>
      <c r="G606" t="s">
        <v>991</v>
      </c>
      <c r="H606" t="s">
        <v>992</v>
      </c>
      <c r="J606" t="s">
        <v>2190</v>
      </c>
      <c r="K606" t="s">
        <v>992</v>
      </c>
      <c r="L606" t="s">
        <v>992</v>
      </c>
      <c r="Q606" t="b">
        <v>1</v>
      </c>
      <c r="R606" t="b">
        <v>0</v>
      </c>
      <c r="T606" t="s">
        <v>992</v>
      </c>
      <c r="U606" t="s">
        <v>994</v>
      </c>
      <c r="V606" t="s">
        <v>1288</v>
      </c>
      <c r="W606" t="s">
        <v>2401</v>
      </c>
      <c r="X606" t="s">
        <v>2402</v>
      </c>
    </row>
    <row r="607" spans="1:24" x14ac:dyDescent="0.25">
      <c r="A607" t="s">
        <v>44</v>
      </c>
      <c r="B607" t="s">
        <v>2413</v>
      </c>
      <c r="C607" t="s">
        <v>2400</v>
      </c>
      <c r="E607" t="s">
        <v>1019</v>
      </c>
      <c r="F607">
        <v>0</v>
      </c>
      <c r="G607" t="s">
        <v>991</v>
      </c>
      <c r="H607" t="s">
        <v>992</v>
      </c>
      <c r="J607" t="s">
        <v>2190</v>
      </c>
      <c r="K607" t="s">
        <v>992</v>
      </c>
      <c r="L607" t="s">
        <v>992</v>
      </c>
      <c r="Q607" t="b">
        <v>1</v>
      </c>
      <c r="R607" t="b">
        <v>0</v>
      </c>
      <c r="T607" t="s">
        <v>992</v>
      </c>
      <c r="U607" t="s">
        <v>994</v>
      </c>
      <c r="V607" t="s">
        <v>1288</v>
      </c>
      <c r="W607" t="s">
        <v>2401</v>
      </c>
      <c r="X607" t="s">
        <v>2402</v>
      </c>
    </row>
    <row r="608" spans="1:24" x14ac:dyDescent="0.25">
      <c r="A608" t="s">
        <v>44</v>
      </c>
      <c r="B608" t="s">
        <v>2414</v>
      </c>
      <c r="C608" t="s">
        <v>2400</v>
      </c>
      <c r="E608" t="s">
        <v>1021</v>
      </c>
      <c r="F608">
        <v>0</v>
      </c>
      <c r="G608" t="s">
        <v>991</v>
      </c>
      <c r="H608" t="s">
        <v>992</v>
      </c>
      <c r="J608" t="s">
        <v>2190</v>
      </c>
      <c r="K608" t="s">
        <v>992</v>
      </c>
      <c r="L608" t="s">
        <v>992</v>
      </c>
      <c r="Q608" t="b">
        <v>1</v>
      </c>
      <c r="R608" t="b">
        <v>0</v>
      </c>
      <c r="T608" t="s">
        <v>992</v>
      </c>
      <c r="U608" t="s">
        <v>994</v>
      </c>
      <c r="V608" t="s">
        <v>1288</v>
      </c>
      <c r="W608" t="s">
        <v>2401</v>
      </c>
      <c r="X608" t="s">
        <v>2402</v>
      </c>
    </row>
    <row r="609" spans="1:24" x14ac:dyDescent="0.25">
      <c r="A609" t="s">
        <v>44</v>
      </c>
      <c r="B609" t="s">
        <v>2415</v>
      </c>
      <c r="C609" t="s">
        <v>2400</v>
      </c>
      <c r="E609" t="s">
        <v>1129</v>
      </c>
      <c r="F609">
        <v>0</v>
      </c>
      <c r="G609" t="s">
        <v>991</v>
      </c>
      <c r="H609" t="s">
        <v>992</v>
      </c>
      <c r="J609" t="s">
        <v>2190</v>
      </c>
      <c r="K609" t="s">
        <v>992</v>
      </c>
      <c r="L609" t="s">
        <v>992</v>
      </c>
      <c r="Q609" t="b">
        <v>1</v>
      </c>
      <c r="R609" t="b">
        <v>0</v>
      </c>
      <c r="T609" t="s">
        <v>992</v>
      </c>
      <c r="U609" t="s">
        <v>994</v>
      </c>
      <c r="V609" t="s">
        <v>1288</v>
      </c>
      <c r="W609" t="s">
        <v>2401</v>
      </c>
      <c r="X609" t="s">
        <v>2402</v>
      </c>
    </row>
    <row r="610" spans="1:24" x14ac:dyDescent="0.25">
      <c r="A610" t="s">
        <v>44</v>
      </c>
      <c r="B610" t="s">
        <v>2416</v>
      </c>
      <c r="C610" t="s">
        <v>2417</v>
      </c>
      <c r="E610" t="s">
        <v>990</v>
      </c>
      <c r="F610">
        <v>4479</v>
      </c>
      <c r="G610" t="s">
        <v>2418</v>
      </c>
      <c r="H610" t="s">
        <v>2419</v>
      </c>
      <c r="J610" t="s">
        <v>2190</v>
      </c>
      <c r="K610" t="s">
        <v>1026</v>
      </c>
      <c r="L610" t="s">
        <v>992</v>
      </c>
      <c r="Q610" t="b">
        <v>1</v>
      </c>
      <c r="R610" t="b">
        <v>0</v>
      </c>
      <c r="T610" t="s">
        <v>992</v>
      </c>
      <c r="U610" t="s">
        <v>2420</v>
      </c>
      <c r="V610" t="s">
        <v>1061</v>
      </c>
      <c r="W610" t="s">
        <v>1034</v>
      </c>
      <c r="X610" t="s">
        <v>2421</v>
      </c>
    </row>
    <row r="611" spans="1:24" x14ac:dyDescent="0.25">
      <c r="A611" t="s">
        <v>44</v>
      </c>
      <c r="B611" t="s">
        <v>2422</v>
      </c>
      <c r="C611" t="s">
        <v>2417</v>
      </c>
      <c r="E611" t="s">
        <v>999</v>
      </c>
      <c r="F611">
        <v>3466</v>
      </c>
      <c r="G611" t="s">
        <v>2418</v>
      </c>
      <c r="H611" t="s">
        <v>2419</v>
      </c>
      <c r="J611" t="s">
        <v>2190</v>
      </c>
      <c r="K611" t="s">
        <v>1038</v>
      </c>
      <c r="L611" t="s">
        <v>992</v>
      </c>
      <c r="Q611" t="b">
        <v>1</v>
      </c>
      <c r="R611" t="b">
        <v>0</v>
      </c>
      <c r="T611" t="s">
        <v>992</v>
      </c>
      <c r="U611" t="s">
        <v>2420</v>
      </c>
      <c r="V611" t="s">
        <v>1061</v>
      </c>
      <c r="W611" t="s">
        <v>1034</v>
      </c>
      <c r="X611" t="s">
        <v>2421</v>
      </c>
    </row>
    <row r="612" spans="1:24" x14ac:dyDescent="0.25">
      <c r="A612" t="s">
        <v>44</v>
      </c>
      <c r="B612" t="s">
        <v>2423</v>
      </c>
      <c r="C612" t="s">
        <v>2417</v>
      </c>
      <c r="E612" t="s">
        <v>1001</v>
      </c>
      <c r="F612">
        <v>1231</v>
      </c>
      <c r="G612" t="s">
        <v>2418</v>
      </c>
      <c r="H612" t="s">
        <v>2419</v>
      </c>
      <c r="J612" t="s">
        <v>2190</v>
      </c>
      <c r="K612" t="s">
        <v>1045</v>
      </c>
      <c r="L612" t="s">
        <v>992</v>
      </c>
      <c r="Q612" t="b">
        <v>1</v>
      </c>
      <c r="R612" t="b">
        <v>0</v>
      </c>
      <c r="T612" t="s">
        <v>992</v>
      </c>
      <c r="U612" t="s">
        <v>2420</v>
      </c>
      <c r="V612" t="s">
        <v>1061</v>
      </c>
      <c r="W612" t="s">
        <v>1034</v>
      </c>
      <c r="X612" t="s">
        <v>2421</v>
      </c>
    </row>
    <row r="613" spans="1:24" x14ac:dyDescent="0.25">
      <c r="A613" t="s">
        <v>44</v>
      </c>
      <c r="B613" t="s">
        <v>2424</v>
      </c>
      <c r="C613" t="s">
        <v>2417</v>
      </c>
      <c r="E613" t="s">
        <v>1003</v>
      </c>
      <c r="F613">
        <v>2401</v>
      </c>
      <c r="G613" t="s">
        <v>2418</v>
      </c>
      <c r="H613" t="s">
        <v>2419</v>
      </c>
      <c r="J613" t="s">
        <v>2190</v>
      </c>
      <c r="K613" t="s">
        <v>1054</v>
      </c>
      <c r="L613" t="s">
        <v>992</v>
      </c>
      <c r="Q613" t="b">
        <v>1</v>
      </c>
      <c r="R613" t="b">
        <v>0</v>
      </c>
      <c r="T613" t="s">
        <v>992</v>
      </c>
      <c r="U613" t="s">
        <v>2420</v>
      </c>
      <c r="V613" t="s">
        <v>1061</v>
      </c>
      <c r="W613" t="s">
        <v>1034</v>
      </c>
      <c r="X613" t="s">
        <v>2421</v>
      </c>
    </row>
    <row r="614" spans="1:24" x14ac:dyDescent="0.25">
      <c r="A614" t="s">
        <v>44</v>
      </c>
      <c r="B614" t="s">
        <v>2425</v>
      </c>
      <c r="C614" t="s">
        <v>2417</v>
      </c>
      <c r="E614" t="s">
        <v>1005</v>
      </c>
      <c r="F614">
        <v>7575</v>
      </c>
      <c r="G614" t="s">
        <v>2418</v>
      </c>
      <c r="H614" t="s">
        <v>2419</v>
      </c>
      <c r="J614" t="s">
        <v>2190</v>
      </c>
      <c r="K614" t="s">
        <v>1065</v>
      </c>
      <c r="L614" t="s">
        <v>992</v>
      </c>
      <c r="Q614" t="b">
        <v>1</v>
      </c>
      <c r="R614" t="b">
        <v>0</v>
      </c>
      <c r="T614" t="s">
        <v>992</v>
      </c>
      <c r="U614" t="s">
        <v>2420</v>
      </c>
      <c r="V614" t="s">
        <v>1061</v>
      </c>
      <c r="W614" t="s">
        <v>1034</v>
      </c>
      <c r="X614" t="s">
        <v>2421</v>
      </c>
    </row>
    <row r="615" spans="1:24" x14ac:dyDescent="0.25">
      <c r="A615" t="s">
        <v>44</v>
      </c>
      <c r="B615" t="s">
        <v>2426</v>
      </c>
      <c r="C615" t="s">
        <v>2417</v>
      </c>
      <c r="E615" t="s">
        <v>1007</v>
      </c>
      <c r="F615">
        <v>2991</v>
      </c>
      <c r="G615" t="s">
        <v>2418</v>
      </c>
      <c r="H615" t="s">
        <v>2419</v>
      </c>
      <c r="J615" t="s">
        <v>2190</v>
      </c>
      <c r="K615" t="s">
        <v>1072</v>
      </c>
      <c r="L615" t="s">
        <v>992</v>
      </c>
      <c r="Q615" t="b">
        <v>1</v>
      </c>
      <c r="R615" t="b">
        <v>0</v>
      </c>
      <c r="T615" t="s">
        <v>992</v>
      </c>
      <c r="U615" t="s">
        <v>2420</v>
      </c>
      <c r="V615" t="s">
        <v>1061</v>
      </c>
      <c r="W615" t="s">
        <v>1034</v>
      </c>
      <c r="X615" t="s">
        <v>2421</v>
      </c>
    </row>
    <row r="616" spans="1:24" x14ac:dyDescent="0.25">
      <c r="A616" t="s">
        <v>44</v>
      </c>
      <c r="B616" t="s">
        <v>2427</v>
      </c>
      <c r="C616" t="s">
        <v>2417</v>
      </c>
      <c r="E616" t="s">
        <v>1009</v>
      </c>
      <c r="F616">
        <v>2037</v>
      </c>
      <c r="G616" t="s">
        <v>2418</v>
      </c>
      <c r="H616" t="s">
        <v>2419</v>
      </c>
      <c r="J616" t="s">
        <v>2190</v>
      </c>
      <c r="K616" t="s">
        <v>1079</v>
      </c>
      <c r="L616" t="s">
        <v>992</v>
      </c>
      <c r="Q616" t="b">
        <v>1</v>
      </c>
      <c r="R616" t="b">
        <v>0</v>
      </c>
      <c r="T616" t="s">
        <v>992</v>
      </c>
      <c r="U616" t="s">
        <v>2420</v>
      </c>
      <c r="V616" t="s">
        <v>1061</v>
      </c>
      <c r="W616" t="s">
        <v>1034</v>
      </c>
      <c r="X616" t="s">
        <v>2421</v>
      </c>
    </row>
    <row r="617" spans="1:24" x14ac:dyDescent="0.25">
      <c r="A617" t="s">
        <v>44</v>
      </c>
      <c r="B617" t="s">
        <v>2428</v>
      </c>
      <c r="C617" t="s">
        <v>2417</v>
      </c>
      <c r="E617" t="s">
        <v>1011</v>
      </c>
      <c r="F617">
        <v>3421</v>
      </c>
      <c r="G617" t="s">
        <v>2418</v>
      </c>
      <c r="H617" t="s">
        <v>2419</v>
      </c>
      <c r="J617" t="s">
        <v>2190</v>
      </c>
      <c r="K617" t="s">
        <v>1087</v>
      </c>
      <c r="L617" t="s">
        <v>992</v>
      </c>
      <c r="Q617" t="b">
        <v>1</v>
      </c>
      <c r="R617" t="b">
        <v>0</v>
      </c>
      <c r="T617" t="s">
        <v>992</v>
      </c>
      <c r="U617" t="s">
        <v>2420</v>
      </c>
      <c r="V617" t="s">
        <v>1061</v>
      </c>
      <c r="W617" t="s">
        <v>1034</v>
      </c>
      <c r="X617" t="s">
        <v>2421</v>
      </c>
    </row>
    <row r="618" spans="1:24" x14ac:dyDescent="0.25">
      <c r="A618" t="s">
        <v>44</v>
      </c>
      <c r="B618" t="s">
        <v>2429</v>
      </c>
      <c r="C618" t="s">
        <v>2417</v>
      </c>
      <c r="E618" t="s">
        <v>1013</v>
      </c>
      <c r="F618">
        <v>8849</v>
      </c>
      <c r="G618" t="s">
        <v>2418</v>
      </c>
      <c r="H618" t="s">
        <v>2419</v>
      </c>
      <c r="J618" t="s">
        <v>2190</v>
      </c>
      <c r="K618" t="s">
        <v>1094</v>
      </c>
      <c r="L618" t="s">
        <v>992</v>
      </c>
      <c r="Q618" t="b">
        <v>1</v>
      </c>
      <c r="R618" t="b">
        <v>0</v>
      </c>
      <c r="T618" t="s">
        <v>992</v>
      </c>
      <c r="U618" t="s">
        <v>2420</v>
      </c>
      <c r="V618" t="s">
        <v>1061</v>
      </c>
      <c r="W618" t="s">
        <v>1034</v>
      </c>
      <c r="X618" t="s">
        <v>2421</v>
      </c>
    </row>
    <row r="619" spans="1:24" x14ac:dyDescent="0.25">
      <c r="A619" t="s">
        <v>44</v>
      </c>
      <c r="B619" t="s">
        <v>2430</v>
      </c>
      <c r="C619" t="s">
        <v>2417</v>
      </c>
      <c r="E619" t="s">
        <v>1015</v>
      </c>
      <c r="F619">
        <v>2755</v>
      </c>
      <c r="G619" t="s">
        <v>2418</v>
      </c>
      <c r="H619" t="s">
        <v>2419</v>
      </c>
      <c r="J619" t="s">
        <v>2190</v>
      </c>
      <c r="K619" t="s">
        <v>1102</v>
      </c>
      <c r="L619" t="s">
        <v>992</v>
      </c>
      <c r="Q619" t="b">
        <v>1</v>
      </c>
      <c r="R619" t="b">
        <v>0</v>
      </c>
      <c r="T619" t="s">
        <v>992</v>
      </c>
      <c r="U619" t="s">
        <v>2420</v>
      </c>
      <c r="V619" t="s">
        <v>1061</v>
      </c>
      <c r="W619" t="s">
        <v>1034</v>
      </c>
      <c r="X619" t="s">
        <v>2421</v>
      </c>
    </row>
    <row r="620" spans="1:24" x14ac:dyDescent="0.25">
      <c r="A620" t="s">
        <v>44</v>
      </c>
      <c r="B620" t="s">
        <v>2431</v>
      </c>
      <c r="C620" t="s">
        <v>2417</v>
      </c>
      <c r="E620" t="s">
        <v>1017</v>
      </c>
      <c r="F620">
        <v>2997</v>
      </c>
      <c r="G620" t="s">
        <v>2418</v>
      </c>
      <c r="H620" t="s">
        <v>2419</v>
      </c>
      <c r="J620" t="s">
        <v>2190</v>
      </c>
      <c r="K620" t="s">
        <v>1109</v>
      </c>
      <c r="L620" t="s">
        <v>992</v>
      </c>
      <c r="Q620" t="b">
        <v>1</v>
      </c>
      <c r="R620" t="b">
        <v>0</v>
      </c>
      <c r="T620" t="s">
        <v>992</v>
      </c>
      <c r="U620" t="s">
        <v>2420</v>
      </c>
      <c r="V620" t="s">
        <v>1061</v>
      </c>
      <c r="W620" t="s">
        <v>1034</v>
      </c>
      <c r="X620" t="s">
        <v>2421</v>
      </c>
    </row>
    <row r="621" spans="1:24" x14ac:dyDescent="0.25">
      <c r="A621" t="s">
        <v>44</v>
      </c>
      <c r="B621" t="s">
        <v>2432</v>
      </c>
      <c r="C621" t="s">
        <v>2417</v>
      </c>
      <c r="E621" t="s">
        <v>1019</v>
      </c>
      <c r="F621">
        <v>5097</v>
      </c>
      <c r="G621" t="s">
        <v>2418</v>
      </c>
      <c r="H621" t="s">
        <v>2419</v>
      </c>
      <c r="J621" t="s">
        <v>2190</v>
      </c>
      <c r="K621" t="s">
        <v>1116</v>
      </c>
      <c r="L621" t="s">
        <v>992</v>
      </c>
      <c r="Q621" t="b">
        <v>1</v>
      </c>
      <c r="R621" t="b">
        <v>0</v>
      </c>
      <c r="T621" t="s">
        <v>992</v>
      </c>
      <c r="U621" t="s">
        <v>2420</v>
      </c>
      <c r="V621" t="s">
        <v>1061</v>
      </c>
      <c r="W621" t="s">
        <v>1034</v>
      </c>
      <c r="X621" t="s">
        <v>2421</v>
      </c>
    </row>
    <row r="622" spans="1:24" x14ac:dyDescent="0.25">
      <c r="A622" t="s">
        <v>44</v>
      </c>
      <c r="B622" t="s">
        <v>2433</v>
      </c>
      <c r="C622" t="s">
        <v>2417</v>
      </c>
      <c r="E622" t="s">
        <v>1021</v>
      </c>
      <c r="F622">
        <v>10494</v>
      </c>
      <c r="G622" t="s">
        <v>2418</v>
      </c>
      <c r="H622" t="s">
        <v>2419</v>
      </c>
      <c r="J622" t="s">
        <v>2190</v>
      </c>
      <c r="K622" t="s">
        <v>1123</v>
      </c>
      <c r="L622" t="s">
        <v>992</v>
      </c>
      <c r="Q622" t="b">
        <v>1</v>
      </c>
      <c r="R622" t="b">
        <v>0</v>
      </c>
      <c r="T622" t="s">
        <v>992</v>
      </c>
      <c r="U622" t="s">
        <v>2420</v>
      </c>
      <c r="V622" t="s">
        <v>1061</v>
      </c>
      <c r="W622" t="s">
        <v>1034</v>
      </c>
      <c r="X622" t="s">
        <v>2421</v>
      </c>
    </row>
    <row r="623" spans="1:24" x14ac:dyDescent="0.25">
      <c r="A623" t="s">
        <v>44</v>
      </c>
      <c r="B623" t="s">
        <v>2434</v>
      </c>
      <c r="C623" t="s">
        <v>2417</v>
      </c>
      <c r="E623" t="s">
        <v>1129</v>
      </c>
      <c r="F623">
        <v>3484</v>
      </c>
      <c r="G623" t="s">
        <v>2418</v>
      </c>
      <c r="H623" t="s">
        <v>2419</v>
      </c>
      <c r="J623" t="s">
        <v>2190</v>
      </c>
      <c r="K623" t="s">
        <v>1131</v>
      </c>
      <c r="L623" t="s">
        <v>992</v>
      </c>
      <c r="Q623" t="b">
        <v>1</v>
      </c>
      <c r="R623" t="b">
        <v>0</v>
      </c>
      <c r="T623" t="s">
        <v>992</v>
      </c>
      <c r="U623" t="s">
        <v>2420</v>
      </c>
      <c r="V623" t="s">
        <v>1061</v>
      </c>
      <c r="W623" t="s">
        <v>1034</v>
      </c>
      <c r="X623" t="s">
        <v>2421</v>
      </c>
    </row>
    <row r="624" spans="1:24" x14ac:dyDescent="0.25">
      <c r="A624" t="s">
        <v>44</v>
      </c>
      <c r="B624" t="s">
        <v>1195</v>
      </c>
      <c r="C624" t="s">
        <v>456</v>
      </c>
      <c r="E624" t="s">
        <v>1017</v>
      </c>
      <c r="F624">
        <v>28202</v>
      </c>
      <c r="G624" t="s">
        <v>2418</v>
      </c>
      <c r="H624" t="s">
        <v>2435</v>
      </c>
      <c r="J624" t="s">
        <v>2190</v>
      </c>
      <c r="K624" t="s">
        <v>992</v>
      </c>
      <c r="L624" t="s">
        <v>992</v>
      </c>
      <c r="Q624" t="b">
        <v>1</v>
      </c>
      <c r="R624" t="b">
        <v>0</v>
      </c>
      <c r="T624" t="s">
        <v>992</v>
      </c>
      <c r="U624" t="s">
        <v>1139</v>
      </c>
      <c r="V624" t="s">
        <v>995</v>
      </c>
      <c r="W624" t="s">
        <v>1034</v>
      </c>
      <c r="X624" t="s">
        <v>2436</v>
      </c>
    </row>
    <row r="625" spans="1:24" x14ac:dyDescent="0.25">
      <c r="A625" t="s">
        <v>42</v>
      </c>
      <c r="B625" t="s">
        <v>2437</v>
      </c>
      <c r="C625" t="s">
        <v>268</v>
      </c>
      <c r="E625" t="s">
        <v>990</v>
      </c>
      <c r="F625">
        <v>117154</v>
      </c>
      <c r="G625" t="s">
        <v>2418</v>
      </c>
      <c r="H625" t="s">
        <v>2438</v>
      </c>
      <c r="J625" t="s">
        <v>993</v>
      </c>
      <c r="K625" t="s">
        <v>1026</v>
      </c>
      <c r="L625" t="s">
        <v>992</v>
      </c>
      <c r="Q625" t="b">
        <v>1</v>
      </c>
      <c r="R625" t="b">
        <v>0</v>
      </c>
      <c r="T625" t="s">
        <v>992</v>
      </c>
      <c r="U625" t="s">
        <v>1060</v>
      </c>
      <c r="V625" t="s">
        <v>995</v>
      </c>
      <c r="W625" t="s">
        <v>1034</v>
      </c>
      <c r="X625" t="s">
        <v>2439</v>
      </c>
    </row>
    <row r="626" spans="1:24" x14ac:dyDescent="0.25">
      <c r="A626" t="s">
        <v>42</v>
      </c>
      <c r="B626" t="s">
        <v>2440</v>
      </c>
      <c r="C626" t="s">
        <v>268</v>
      </c>
      <c r="E626" t="s">
        <v>999</v>
      </c>
      <c r="F626">
        <v>94836</v>
      </c>
      <c r="G626" t="s">
        <v>2418</v>
      </c>
      <c r="H626" t="s">
        <v>2438</v>
      </c>
      <c r="J626" t="s">
        <v>993</v>
      </c>
      <c r="K626" t="s">
        <v>1038</v>
      </c>
      <c r="L626" t="s">
        <v>992</v>
      </c>
      <c r="Q626" t="b">
        <v>1</v>
      </c>
      <c r="R626" t="b">
        <v>0</v>
      </c>
      <c r="T626" t="s">
        <v>992</v>
      </c>
      <c r="U626" t="s">
        <v>1060</v>
      </c>
      <c r="V626" t="s">
        <v>995</v>
      </c>
      <c r="W626" t="s">
        <v>1034</v>
      </c>
      <c r="X626" t="s">
        <v>2439</v>
      </c>
    </row>
    <row r="627" spans="1:24" x14ac:dyDescent="0.25">
      <c r="A627" t="s">
        <v>42</v>
      </c>
      <c r="B627" t="s">
        <v>2441</v>
      </c>
      <c r="C627" t="s">
        <v>268</v>
      </c>
      <c r="E627" t="s">
        <v>1001</v>
      </c>
      <c r="F627">
        <v>81797</v>
      </c>
      <c r="G627" t="s">
        <v>2418</v>
      </c>
      <c r="H627" t="s">
        <v>2438</v>
      </c>
      <c r="J627" t="s">
        <v>993</v>
      </c>
      <c r="K627" t="s">
        <v>1045</v>
      </c>
      <c r="L627" t="s">
        <v>992</v>
      </c>
      <c r="Q627" t="b">
        <v>1</v>
      </c>
      <c r="R627" t="b">
        <v>0</v>
      </c>
      <c r="T627" t="s">
        <v>992</v>
      </c>
      <c r="U627" t="s">
        <v>1060</v>
      </c>
      <c r="V627" t="s">
        <v>995</v>
      </c>
      <c r="W627" t="s">
        <v>1034</v>
      </c>
      <c r="X627" t="s">
        <v>2439</v>
      </c>
    </row>
    <row r="628" spans="1:24" x14ac:dyDescent="0.25">
      <c r="A628" t="s">
        <v>42</v>
      </c>
      <c r="B628" t="s">
        <v>2442</v>
      </c>
      <c r="C628" t="s">
        <v>268</v>
      </c>
      <c r="E628" t="s">
        <v>1003</v>
      </c>
      <c r="F628">
        <v>89498</v>
      </c>
      <c r="G628" t="s">
        <v>2418</v>
      </c>
      <c r="H628" t="s">
        <v>2438</v>
      </c>
      <c r="J628" t="s">
        <v>993</v>
      </c>
      <c r="K628" t="s">
        <v>1054</v>
      </c>
      <c r="L628" t="s">
        <v>992</v>
      </c>
      <c r="Q628" t="b">
        <v>1</v>
      </c>
      <c r="R628" t="b">
        <v>0</v>
      </c>
      <c r="T628" t="s">
        <v>992</v>
      </c>
      <c r="U628" t="s">
        <v>1060</v>
      </c>
      <c r="V628" t="s">
        <v>995</v>
      </c>
      <c r="W628" t="s">
        <v>1034</v>
      </c>
      <c r="X628" t="s">
        <v>2439</v>
      </c>
    </row>
    <row r="629" spans="1:24" x14ac:dyDescent="0.25">
      <c r="A629" t="s">
        <v>42</v>
      </c>
      <c r="B629" t="s">
        <v>2443</v>
      </c>
      <c r="C629" t="s">
        <v>268</v>
      </c>
      <c r="E629" t="s">
        <v>1005</v>
      </c>
      <c r="F629">
        <v>119575</v>
      </c>
      <c r="G629" t="s">
        <v>2418</v>
      </c>
      <c r="H629" t="s">
        <v>2438</v>
      </c>
      <c r="J629" t="s">
        <v>993</v>
      </c>
      <c r="K629" t="s">
        <v>1065</v>
      </c>
      <c r="L629" t="s">
        <v>992</v>
      </c>
      <c r="Q629" t="b">
        <v>1</v>
      </c>
      <c r="R629" t="b">
        <v>0</v>
      </c>
      <c r="T629" t="s">
        <v>992</v>
      </c>
      <c r="U629" t="s">
        <v>1060</v>
      </c>
      <c r="V629" t="s">
        <v>995</v>
      </c>
      <c r="W629" t="s">
        <v>1034</v>
      </c>
      <c r="X629" t="s">
        <v>2439</v>
      </c>
    </row>
    <row r="630" spans="1:24" x14ac:dyDescent="0.25">
      <c r="A630" t="s">
        <v>42</v>
      </c>
      <c r="B630" t="s">
        <v>2444</v>
      </c>
      <c r="C630" t="s">
        <v>268</v>
      </c>
      <c r="E630" t="s">
        <v>1007</v>
      </c>
      <c r="F630">
        <v>90753</v>
      </c>
      <c r="G630" t="s">
        <v>2418</v>
      </c>
      <c r="H630" t="s">
        <v>2438</v>
      </c>
      <c r="J630" t="s">
        <v>993</v>
      </c>
      <c r="K630" t="s">
        <v>1072</v>
      </c>
      <c r="L630" t="s">
        <v>992</v>
      </c>
      <c r="Q630" t="b">
        <v>1</v>
      </c>
      <c r="R630" t="b">
        <v>0</v>
      </c>
      <c r="T630" t="s">
        <v>992</v>
      </c>
      <c r="U630" t="s">
        <v>1060</v>
      </c>
      <c r="V630" t="s">
        <v>995</v>
      </c>
      <c r="W630" t="s">
        <v>1034</v>
      </c>
      <c r="X630" t="s">
        <v>2439</v>
      </c>
    </row>
    <row r="631" spans="1:24" x14ac:dyDescent="0.25">
      <c r="A631" t="s">
        <v>42</v>
      </c>
      <c r="B631" t="s">
        <v>2445</v>
      </c>
      <c r="C631" t="s">
        <v>268</v>
      </c>
      <c r="E631" t="s">
        <v>1009</v>
      </c>
      <c r="F631">
        <v>85777</v>
      </c>
      <c r="G631" t="s">
        <v>2418</v>
      </c>
      <c r="H631" t="s">
        <v>2438</v>
      </c>
      <c r="J631" t="s">
        <v>993</v>
      </c>
      <c r="K631" t="s">
        <v>1079</v>
      </c>
      <c r="L631" t="s">
        <v>992</v>
      </c>
      <c r="Q631" t="b">
        <v>1</v>
      </c>
      <c r="R631" t="b">
        <v>0</v>
      </c>
      <c r="T631" t="s">
        <v>992</v>
      </c>
      <c r="U631" t="s">
        <v>1060</v>
      </c>
      <c r="V631" t="s">
        <v>995</v>
      </c>
      <c r="W631" t="s">
        <v>1034</v>
      </c>
      <c r="X631" t="s">
        <v>2439</v>
      </c>
    </row>
    <row r="632" spans="1:24" x14ac:dyDescent="0.25">
      <c r="A632" t="s">
        <v>42</v>
      </c>
      <c r="B632" t="s">
        <v>2446</v>
      </c>
      <c r="C632" t="s">
        <v>268</v>
      </c>
      <c r="E632" t="s">
        <v>1011</v>
      </c>
      <c r="F632">
        <v>94930</v>
      </c>
      <c r="G632" t="s">
        <v>2418</v>
      </c>
      <c r="H632" t="s">
        <v>2438</v>
      </c>
      <c r="J632" t="s">
        <v>993</v>
      </c>
      <c r="K632" t="s">
        <v>1087</v>
      </c>
      <c r="L632" t="s">
        <v>992</v>
      </c>
      <c r="Q632" t="b">
        <v>1</v>
      </c>
      <c r="R632" t="b">
        <v>0</v>
      </c>
      <c r="T632" t="s">
        <v>992</v>
      </c>
      <c r="U632" t="s">
        <v>1060</v>
      </c>
      <c r="V632" t="s">
        <v>995</v>
      </c>
      <c r="W632" t="s">
        <v>1034</v>
      </c>
      <c r="X632" t="s">
        <v>2439</v>
      </c>
    </row>
    <row r="633" spans="1:24" x14ac:dyDescent="0.25">
      <c r="A633" t="s">
        <v>42</v>
      </c>
      <c r="B633" t="s">
        <v>2447</v>
      </c>
      <c r="C633" t="s">
        <v>268</v>
      </c>
      <c r="E633" t="s">
        <v>1013</v>
      </c>
      <c r="F633">
        <v>124300</v>
      </c>
      <c r="G633" t="s">
        <v>2418</v>
      </c>
      <c r="H633" t="s">
        <v>2438</v>
      </c>
      <c r="J633" t="s">
        <v>993</v>
      </c>
      <c r="K633" t="s">
        <v>1094</v>
      </c>
      <c r="L633" t="s">
        <v>992</v>
      </c>
      <c r="Q633" t="b">
        <v>1</v>
      </c>
      <c r="R633" t="b">
        <v>0</v>
      </c>
      <c r="T633" t="s">
        <v>992</v>
      </c>
      <c r="U633" t="s">
        <v>1060</v>
      </c>
      <c r="V633" t="s">
        <v>995</v>
      </c>
      <c r="W633" t="s">
        <v>1034</v>
      </c>
      <c r="X633" t="s">
        <v>2439</v>
      </c>
    </row>
    <row r="634" spans="1:24" x14ac:dyDescent="0.25">
      <c r="A634" t="s">
        <v>42</v>
      </c>
      <c r="B634" t="s">
        <v>2448</v>
      </c>
      <c r="C634" t="s">
        <v>268</v>
      </c>
      <c r="E634" t="s">
        <v>1015</v>
      </c>
      <c r="F634">
        <v>95359</v>
      </c>
      <c r="G634" t="s">
        <v>2418</v>
      </c>
      <c r="H634" t="s">
        <v>2438</v>
      </c>
      <c r="J634" t="s">
        <v>993</v>
      </c>
      <c r="K634" t="s">
        <v>1102</v>
      </c>
      <c r="L634" t="s">
        <v>992</v>
      </c>
      <c r="Q634" t="b">
        <v>1</v>
      </c>
      <c r="R634" t="b">
        <v>0</v>
      </c>
      <c r="T634" t="s">
        <v>992</v>
      </c>
      <c r="U634" t="s">
        <v>1060</v>
      </c>
      <c r="V634" t="s">
        <v>995</v>
      </c>
      <c r="W634" t="s">
        <v>1034</v>
      </c>
      <c r="X634" t="s">
        <v>2439</v>
      </c>
    </row>
    <row r="635" spans="1:24" x14ac:dyDescent="0.25">
      <c r="A635" t="s">
        <v>42</v>
      </c>
      <c r="B635" t="s">
        <v>2449</v>
      </c>
      <c r="C635" t="s">
        <v>268</v>
      </c>
      <c r="E635" t="s">
        <v>1017</v>
      </c>
      <c r="F635">
        <v>94036</v>
      </c>
      <c r="G635" t="s">
        <v>2418</v>
      </c>
      <c r="H635" t="s">
        <v>2438</v>
      </c>
      <c r="J635" t="s">
        <v>993</v>
      </c>
      <c r="K635" t="s">
        <v>1109</v>
      </c>
      <c r="L635" t="s">
        <v>992</v>
      </c>
      <c r="Q635" t="b">
        <v>1</v>
      </c>
      <c r="R635" t="b">
        <v>0</v>
      </c>
      <c r="T635" t="s">
        <v>992</v>
      </c>
      <c r="U635" t="s">
        <v>1060</v>
      </c>
      <c r="V635" t="s">
        <v>995</v>
      </c>
      <c r="W635" t="s">
        <v>1034</v>
      </c>
      <c r="X635" t="s">
        <v>2439</v>
      </c>
    </row>
    <row r="636" spans="1:24" x14ac:dyDescent="0.25">
      <c r="A636" t="s">
        <v>42</v>
      </c>
      <c r="B636" t="s">
        <v>2450</v>
      </c>
      <c r="C636" t="s">
        <v>268</v>
      </c>
      <c r="E636" t="s">
        <v>1019</v>
      </c>
      <c r="F636">
        <v>102466</v>
      </c>
      <c r="G636" t="s">
        <v>2418</v>
      </c>
      <c r="H636" t="s">
        <v>2438</v>
      </c>
      <c r="J636" t="s">
        <v>993</v>
      </c>
      <c r="K636" t="s">
        <v>1116</v>
      </c>
      <c r="L636" t="s">
        <v>992</v>
      </c>
      <c r="Q636" t="b">
        <v>1</v>
      </c>
      <c r="R636" t="b">
        <v>0</v>
      </c>
      <c r="T636" t="s">
        <v>992</v>
      </c>
      <c r="U636" t="s">
        <v>1060</v>
      </c>
      <c r="V636" t="s">
        <v>995</v>
      </c>
      <c r="W636" t="s">
        <v>1034</v>
      </c>
      <c r="X636" t="s">
        <v>2439</v>
      </c>
    </row>
    <row r="637" spans="1:24" x14ac:dyDescent="0.25">
      <c r="A637" t="s">
        <v>42</v>
      </c>
      <c r="B637" t="s">
        <v>2451</v>
      </c>
      <c r="C637" t="s">
        <v>268</v>
      </c>
      <c r="E637" t="s">
        <v>1021</v>
      </c>
      <c r="F637">
        <v>143756</v>
      </c>
      <c r="G637" t="s">
        <v>2418</v>
      </c>
      <c r="H637" t="s">
        <v>2438</v>
      </c>
      <c r="J637" t="s">
        <v>993</v>
      </c>
      <c r="K637" t="s">
        <v>1123</v>
      </c>
      <c r="L637" t="s">
        <v>992</v>
      </c>
      <c r="Q637" t="b">
        <v>1</v>
      </c>
      <c r="R637" t="b">
        <v>0</v>
      </c>
      <c r="T637" t="s">
        <v>992</v>
      </c>
      <c r="U637" t="s">
        <v>1060</v>
      </c>
      <c r="V637" t="s">
        <v>995</v>
      </c>
      <c r="W637" t="s">
        <v>1034</v>
      </c>
      <c r="X637" t="s">
        <v>2439</v>
      </c>
    </row>
    <row r="638" spans="1:24" x14ac:dyDescent="0.25">
      <c r="A638" t="s">
        <v>42</v>
      </c>
      <c r="B638" t="s">
        <v>2452</v>
      </c>
      <c r="C638" t="s">
        <v>268</v>
      </c>
      <c r="E638" t="s">
        <v>1129</v>
      </c>
      <c r="F638">
        <v>111184</v>
      </c>
      <c r="G638" t="s">
        <v>2418</v>
      </c>
      <c r="H638" t="s">
        <v>2438</v>
      </c>
      <c r="J638" t="s">
        <v>993</v>
      </c>
      <c r="K638" t="s">
        <v>1131</v>
      </c>
      <c r="L638" t="s">
        <v>992</v>
      </c>
      <c r="Q638" t="b">
        <v>1</v>
      </c>
      <c r="R638" t="b">
        <v>0</v>
      </c>
      <c r="T638" t="s">
        <v>992</v>
      </c>
      <c r="U638" t="s">
        <v>1060</v>
      </c>
      <c r="V638" t="s">
        <v>995</v>
      </c>
      <c r="W638" t="s">
        <v>1034</v>
      </c>
      <c r="X638" t="s">
        <v>2439</v>
      </c>
    </row>
    <row r="639" spans="1:24" x14ac:dyDescent="0.25">
      <c r="A639" t="s">
        <v>42</v>
      </c>
      <c r="B639" t="s">
        <v>1257</v>
      </c>
      <c r="C639" t="s">
        <v>274</v>
      </c>
      <c r="E639" t="s">
        <v>1013</v>
      </c>
      <c r="F639">
        <v>-55516</v>
      </c>
      <c r="G639" t="s">
        <v>2418</v>
      </c>
      <c r="H639" t="s">
        <v>2453</v>
      </c>
      <c r="J639" t="s">
        <v>993</v>
      </c>
      <c r="K639" t="s">
        <v>1094</v>
      </c>
      <c r="L639" t="s">
        <v>992</v>
      </c>
      <c r="Q639" t="b">
        <v>1</v>
      </c>
      <c r="R639" t="b">
        <v>0</v>
      </c>
      <c r="T639" t="s">
        <v>992</v>
      </c>
      <c r="U639" t="s">
        <v>2420</v>
      </c>
      <c r="V639" t="s">
        <v>1061</v>
      </c>
      <c r="W639" t="s">
        <v>1034</v>
      </c>
      <c r="X639" t="s">
        <v>2454</v>
      </c>
    </row>
    <row r="640" spans="1:24" x14ac:dyDescent="0.25">
      <c r="A640" t="s">
        <v>42</v>
      </c>
      <c r="B640" t="s">
        <v>1260</v>
      </c>
      <c r="C640" t="s">
        <v>274</v>
      </c>
      <c r="E640" t="s">
        <v>1015</v>
      </c>
      <c r="F640">
        <v>-33875</v>
      </c>
      <c r="G640" t="s">
        <v>2418</v>
      </c>
      <c r="H640" t="s">
        <v>2453</v>
      </c>
      <c r="J640" t="s">
        <v>993</v>
      </c>
      <c r="K640" t="s">
        <v>1102</v>
      </c>
      <c r="L640" t="s">
        <v>992</v>
      </c>
      <c r="Q640" t="b">
        <v>1</v>
      </c>
      <c r="R640" t="b">
        <v>0</v>
      </c>
      <c r="T640" t="s">
        <v>992</v>
      </c>
      <c r="U640" t="s">
        <v>2420</v>
      </c>
      <c r="V640" t="s">
        <v>1061</v>
      </c>
      <c r="W640" t="s">
        <v>1034</v>
      </c>
      <c r="X640" t="s">
        <v>2454</v>
      </c>
    </row>
    <row r="641" spans="1:24" x14ac:dyDescent="0.25">
      <c r="A641" t="s">
        <v>42</v>
      </c>
      <c r="B641" t="s">
        <v>1263</v>
      </c>
      <c r="C641" t="s">
        <v>274</v>
      </c>
      <c r="E641" t="s">
        <v>1017</v>
      </c>
      <c r="F641">
        <v>-36834</v>
      </c>
      <c r="G641" t="s">
        <v>2418</v>
      </c>
      <c r="H641" t="s">
        <v>2453</v>
      </c>
      <c r="J641" t="s">
        <v>993</v>
      </c>
      <c r="K641" t="s">
        <v>1109</v>
      </c>
      <c r="L641" t="s">
        <v>992</v>
      </c>
      <c r="Q641" t="b">
        <v>1</v>
      </c>
      <c r="R641" t="b">
        <v>0</v>
      </c>
      <c r="T641" t="s">
        <v>992</v>
      </c>
      <c r="U641" t="s">
        <v>2420</v>
      </c>
      <c r="V641" t="s">
        <v>1061</v>
      </c>
      <c r="W641" t="s">
        <v>1034</v>
      </c>
      <c r="X641" t="s">
        <v>2454</v>
      </c>
    </row>
    <row r="642" spans="1:24" x14ac:dyDescent="0.25">
      <c r="A642" t="s">
        <v>42</v>
      </c>
      <c r="B642" t="s">
        <v>1269</v>
      </c>
      <c r="C642" t="s">
        <v>274</v>
      </c>
      <c r="E642" t="s">
        <v>1021</v>
      </c>
      <c r="F642">
        <v>-58233</v>
      </c>
      <c r="G642" t="s">
        <v>2418</v>
      </c>
      <c r="H642" t="s">
        <v>2453</v>
      </c>
      <c r="J642" t="s">
        <v>993</v>
      </c>
      <c r="K642" t="s">
        <v>1123</v>
      </c>
      <c r="L642" t="s">
        <v>992</v>
      </c>
      <c r="Q642" t="b">
        <v>1</v>
      </c>
      <c r="R642" t="b">
        <v>0</v>
      </c>
      <c r="T642" t="s">
        <v>992</v>
      </c>
      <c r="U642" t="s">
        <v>2420</v>
      </c>
      <c r="V642" t="s">
        <v>1061</v>
      </c>
      <c r="W642" t="s">
        <v>1034</v>
      </c>
      <c r="X642" t="s">
        <v>2454</v>
      </c>
    </row>
    <row r="643" spans="1:24" x14ac:dyDescent="0.25">
      <c r="A643" t="s">
        <v>42</v>
      </c>
      <c r="B643" t="s">
        <v>1272</v>
      </c>
      <c r="C643" t="s">
        <v>274</v>
      </c>
      <c r="E643" t="s">
        <v>1129</v>
      </c>
      <c r="F643">
        <v>-40929</v>
      </c>
      <c r="G643" t="s">
        <v>2418</v>
      </c>
      <c r="H643" t="s">
        <v>2453</v>
      </c>
      <c r="J643" t="s">
        <v>993</v>
      </c>
      <c r="K643" t="s">
        <v>1131</v>
      </c>
      <c r="L643" t="s">
        <v>992</v>
      </c>
      <c r="Q643" t="b">
        <v>1</v>
      </c>
      <c r="R643" t="b">
        <v>0</v>
      </c>
      <c r="T643" t="s">
        <v>992</v>
      </c>
      <c r="U643" t="s">
        <v>2420</v>
      </c>
      <c r="V643" t="s">
        <v>1061</v>
      </c>
      <c r="W643" t="s">
        <v>1034</v>
      </c>
      <c r="X643" t="s">
        <v>2454</v>
      </c>
    </row>
    <row r="644" spans="1:24" x14ac:dyDescent="0.25">
      <c r="A644" t="s">
        <v>42</v>
      </c>
      <c r="B644" t="s">
        <v>1292</v>
      </c>
      <c r="C644" t="s">
        <v>279</v>
      </c>
      <c r="E644" t="s">
        <v>990</v>
      </c>
      <c r="F644">
        <v>610</v>
      </c>
      <c r="G644" t="s">
        <v>2418</v>
      </c>
      <c r="H644" t="s">
        <v>2455</v>
      </c>
      <c r="J644" t="s">
        <v>993</v>
      </c>
      <c r="K644" t="s">
        <v>1026</v>
      </c>
      <c r="L644" t="s">
        <v>992</v>
      </c>
      <c r="Q644" t="b">
        <v>1</v>
      </c>
      <c r="R644" t="b">
        <v>0</v>
      </c>
      <c r="T644" t="s">
        <v>992</v>
      </c>
      <c r="U644" t="s">
        <v>2420</v>
      </c>
      <c r="V644" t="s">
        <v>1061</v>
      </c>
      <c r="W644" t="s">
        <v>1034</v>
      </c>
      <c r="X644" t="s">
        <v>2456</v>
      </c>
    </row>
    <row r="645" spans="1:24" x14ac:dyDescent="0.25">
      <c r="A645" t="s">
        <v>42</v>
      </c>
      <c r="B645" t="s">
        <v>1295</v>
      </c>
      <c r="C645" t="s">
        <v>279</v>
      </c>
      <c r="E645" t="s">
        <v>999</v>
      </c>
      <c r="F645">
        <v>994</v>
      </c>
      <c r="G645" t="s">
        <v>2418</v>
      </c>
      <c r="H645" t="s">
        <v>2455</v>
      </c>
      <c r="J645" t="s">
        <v>993</v>
      </c>
      <c r="K645" t="s">
        <v>1038</v>
      </c>
      <c r="L645" t="s">
        <v>992</v>
      </c>
      <c r="Q645" t="b">
        <v>1</v>
      </c>
      <c r="R645" t="b">
        <v>0</v>
      </c>
      <c r="T645" t="s">
        <v>992</v>
      </c>
      <c r="U645" t="s">
        <v>2420</v>
      </c>
      <c r="V645" t="s">
        <v>1061</v>
      </c>
      <c r="W645" t="s">
        <v>1034</v>
      </c>
      <c r="X645" t="s">
        <v>2456</v>
      </c>
    </row>
    <row r="646" spans="1:24" x14ac:dyDescent="0.25">
      <c r="A646" t="s">
        <v>42</v>
      </c>
      <c r="B646" t="s">
        <v>1297</v>
      </c>
      <c r="C646" t="s">
        <v>279</v>
      </c>
      <c r="E646" t="s">
        <v>1001</v>
      </c>
      <c r="F646">
        <v>733</v>
      </c>
      <c r="G646" t="s">
        <v>2418</v>
      </c>
      <c r="H646" t="s">
        <v>2455</v>
      </c>
      <c r="J646" t="s">
        <v>993</v>
      </c>
      <c r="K646" t="s">
        <v>1045</v>
      </c>
      <c r="L646" t="s">
        <v>992</v>
      </c>
      <c r="Q646" t="b">
        <v>1</v>
      </c>
      <c r="R646" t="b">
        <v>0</v>
      </c>
      <c r="T646" t="s">
        <v>992</v>
      </c>
      <c r="U646" t="s">
        <v>2420</v>
      </c>
      <c r="V646" t="s">
        <v>1061</v>
      </c>
      <c r="W646" t="s">
        <v>1034</v>
      </c>
      <c r="X646" t="s">
        <v>2456</v>
      </c>
    </row>
    <row r="647" spans="1:24" x14ac:dyDescent="0.25">
      <c r="A647" t="s">
        <v>42</v>
      </c>
      <c r="B647" t="s">
        <v>1299</v>
      </c>
      <c r="C647" t="s">
        <v>279</v>
      </c>
      <c r="E647" t="s">
        <v>1003</v>
      </c>
      <c r="F647">
        <v>1031</v>
      </c>
      <c r="G647" t="s">
        <v>2418</v>
      </c>
      <c r="H647" t="s">
        <v>2455</v>
      </c>
      <c r="J647" t="s">
        <v>993</v>
      </c>
      <c r="K647" t="s">
        <v>1054</v>
      </c>
      <c r="L647" t="s">
        <v>992</v>
      </c>
      <c r="Q647" t="b">
        <v>1</v>
      </c>
      <c r="R647" t="b">
        <v>0</v>
      </c>
      <c r="T647" t="s">
        <v>992</v>
      </c>
      <c r="U647" t="s">
        <v>2420</v>
      </c>
      <c r="V647" t="s">
        <v>1061</v>
      </c>
      <c r="W647" t="s">
        <v>1034</v>
      </c>
      <c r="X647" t="s">
        <v>2456</v>
      </c>
    </row>
    <row r="648" spans="1:24" x14ac:dyDescent="0.25">
      <c r="A648" t="s">
        <v>42</v>
      </c>
      <c r="B648" t="s">
        <v>2457</v>
      </c>
      <c r="C648" t="s">
        <v>279</v>
      </c>
      <c r="E648" t="s">
        <v>1005</v>
      </c>
      <c r="F648">
        <v>112</v>
      </c>
      <c r="G648" t="s">
        <v>2418</v>
      </c>
      <c r="H648" t="s">
        <v>2455</v>
      </c>
      <c r="J648" t="s">
        <v>993</v>
      </c>
      <c r="K648" t="s">
        <v>1065</v>
      </c>
      <c r="L648" t="s">
        <v>992</v>
      </c>
      <c r="Q648" t="b">
        <v>1</v>
      </c>
      <c r="R648" t="b">
        <v>0</v>
      </c>
      <c r="T648" t="s">
        <v>992</v>
      </c>
      <c r="U648" t="s">
        <v>2420</v>
      </c>
      <c r="V648" t="s">
        <v>1061</v>
      </c>
      <c r="W648" t="s">
        <v>1034</v>
      </c>
      <c r="X648" t="s">
        <v>2456</v>
      </c>
    </row>
    <row r="649" spans="1:24" x14ac:dyDescent="0.25">
      <c r="A649" t="s">
        <v>42</v>
      </c>
      <c r="B649" t="s">
        <v>2458</v>
      </c>
      <c r="C649" t="s">
        <v>279</v>
      </c>
      <c r="E649" t="s">
        <v>1007</v>
      </c>
      <c r="F649">
        <v>327</v>
      </c>
      <c r="G649" t="s">
        <v>2418</v>
      </c>
      <c r="H649" t="s">
        <v>2455</v>
      </c>
      <c r="J649" t="s">
        <v>993</v>
      </c>
      <c r="K649" t="s">
        <v>1072</v>
      </c>
      <c r="L649" t="s">
        <v>992</v>
      </c>
      <c r="Q649" t="b">
        <v>1</v>
      </c>
      <c r="R649" t="b">
        <v>0</v>
      </c>
      <c r="T649" t="s">
        <v>992</v>
      </c>
      <c r="U649" t="s">
        <v>2420</v>
      </c>
      <c r="V649" t="s">
        <v>1061</v>
      </c>
      <c r="W649" t="s">
        <v>1034</v>
      </c>
      <c r="X649" t="s">
        <v>2456</v>
      </c>
    </row>
    <row r="650" spans="1:24" x14ac:dyDescent="0.25">
      <c r="A650" t="s">
        <v>42</v>
      </c>
      <c r="B650" t="s">
        <v>2459</v>
      </c>
      <c r="C650" t="s">
        <v>279</v>
      </c>
      <c r="E650" t="s">
        <v>1009</v>
      </c>
      <c r="F650">
        <v>319</v>
      </c>
      <c r="G650" t="s">
        <v>2418</v>
      </c>
      <c r="H650" t="s">
        <v>2455</v>
      </c>
      <c r="J650" t="s">
        <v>993</v>
      </c>
      <c r="K650" t="s">
        <v>1079</v>
      </c>
      <c r="L650" t="s">
        <v>992</v>
      </c>
      <c r="Q650" t="b">
        <v>1</v>
      </c>
      <c r="R650" t="b">
        <v>0</v>
      </c>
      <c r="T650" t="s">
        <v>992</v>
      </c>
      <c r="U650" t="s">
        <v>2420</v>
      </c>
      <c r="V650" t="s">
        <v>1061</v>
      </c>
      <c r="W650" t="s">
        <v>1034</v>
      </c>
      <c r="X650" t="s">
        <v>2456</v>
      </c>
    </row>
    <row r="651" spans="1:24" x14ac:dyDescent="0.25">
      <c r="A651" t="s">
        <v>42</v>
      </c>
      <c r="B651" t="s">
        <v>2460</v>
      </c>
      <c r="C651" t="s">
        <v>279</v>
      </c>
      <c r="E651" t="s">
        <v>1011</v>
      </c>
      <c r="F651">
        <v>202</v>
      </c>
      <c r="G651" t="s">
        <v>2418</v>
      </c>
      <c r="H651" t="s">
        <v>2455</v>
      </c>
      <c r="J651" t="s">
        <v>993</v>
      </c>
      <c r="K651" t="s">
        <v>1087</v>
      </c>
      <c r="L651" t="s">
        <v>992</v>
      </c>
      <c r="Q651" t="b">
        <v>1</v>
      </c>
      <c r="R651" t="b">
        <v>0</v>
      </c>
      <c r="T651" t="s">
        <v>992</v>
      </c>
      <c r="U651" t="s">
        <v>2420</v>
      </c>
      <c r="V651" t="s">
        <v>1061</v>
      </c>
      <c r="W651" t="s">
        <v>1034</v>
      </c>
      <c r="X651" t="s">
        <v>2456</v>
      </c>
    </row>
    <row r="652" spans="1:24" x14ac:dyDescent="0.25">
      <c r="A652" t="s">
        <v>42</v>
      </c>
      <c r="B652" t="s">
        <v>2461</v>
      </c>
      <c r="C652" t="s">
        <v>279</v>
      </c>
      <c r="E652" t="s">
        <v>1013</v>
      </c>
      <c r="F652">
        <v>-43</v>
      </c>
      <c r="G652" t="s">
        <v>2418</v>
      </c>
      <c r="H652" t="s">
        <v>2455</v>
      </c>
      <c r="J652" t="s">
        <v>993</v>
      </c>
      <c r="K652" t="s">
        <v>1094</v>
      </c>
      <c r="L652" t="s">
        <v>992</v>
      </c>
      <c r="Q652" t="b">
        <v>1</v>
      </c>
      <c r="R652" t="b">
        <v>0</v>
      </c>
      <c r="T652" t="s">
        <v>992</v>
      </c>
      <c r="U652" t="s">
        <v>2420</v>
      </c>
      <c r="V652" t="s">
        <v>1061</v>
      </c>
      <c r="W652" t="s">
        <v>1034</v>
      </c>
      <c r="X652" t="s">
        <v>2456</v>
      </c>
    </row>
    <row r="653" spans="1:24" x14ac:dyDescent="0.25">
      <c r="A653" t="s">
        <v>42</v>
      </c>
      <c r="B653" t="s">
        <v>2462</v>
      </c>
      <c r="C653" t="s">
        <v>279</v>
      </c>
      <c r="E653" t="s">
        <v>1015</v>
      </c>
      <c r="F653">
        <v>-60</v>
      </c>
      <c r="G653" t="s">
        <v>2418</v>
      </c>
      <c r="H653" t="s">
        <v>2455</v>
      </c>
      <c r="J653" t="s">
        <v>993</v>
      </c>
      <c r="K653" t="s">
        <v>1102</v>
      </c>
      <c r="L653" t="s">
        <v>992</v>
      </c>
      <c r="Q653" t="b">
        <v>1</v>
      </c>
      <c r="R653" t="b">
        <v>0</v>
      </c>
      <c r="T653" t="s">
        <v>992</v>
      </c>
      <c r="U653" t="s">
        <v>2420</v>
      </c>
      <c r="V653" t="s">
        <v>1061</v>
      </c>
      <c r="W653" t="s">
        <v>1034</v>
      </c>
      <c r="X653" t="s">
        <v>2456</v>
      </c>
    </row>
    <row r="654" spans="1:24" x14ac:dyDescent="0.25">
      <c r="A654" t="s">
        <v>42</v>
      </c>
      <c r="B654" t="s">
        <v>2463</v>
      </c>
      <c r="C654" t="s">
        <v>279</v>
      </c>
      <c r="E654" t="s">
        <v>1017</v>
      </c>
      <c r="F654">
        <v>50</v>
      </c>
      <c r="G654" t="s">
        <v>2418</v>
      </c>
      <c r="H654" t="s">
        <v>2455</v>
      </c>
      <c r="J654" t="s">
        <v>993</v>
      </c>
      <c r="K654" t="s">
        <v>1109</v>
      </c>
      <c r="L654" t="s">
        <v>992</v>
      </c>
      <c r="Q654" t="b">
        <v>1</v>
      </c>
      <c r="R654" t="b">
        <v>0</v>
      </c>
      <c r="T654" t="s">
        <v>992</v>
      </c>
      <c r="U654" t="s">
        <v>2420</v>
      </c>
      <c r="V654" t="s">
        <v>1061</v>
      </c>
      <c r="W654" t="s">
        <v>1034</v>
      </c>
      <c r="X654" t="s">
        <v>2456</v>
      </c>
    </row>
    <row r="655" spans="1:24" x14ac:dyDescent="0.25">
      <c r="A655" t="s">
        <v>42</v>
      </c>
      <c r="B655" t="s">
        <v>1303</v>
      </c>
      <c r="C655" t="s">
        <v>279</v>
      </c>
      <c r="E655" t="s">
        <v>1019</v>
      </c>
      <c r="F655">
        <v>581</v>
      </c>
      <c r="G655" t="s">
        <v>2418</v>
      </c>
      <c r="H655" t="s">
        <v>2455</v>
      </c>
      <c r="J655" t="s">
        <v>993</v>
      </c>
      <c r="K655" t="s">
        <v>1116</v>
      </c>
      <c r="L655" t="s">
        <v>992</v>
      </c>
      <c r="Q655" t="b">
        <v>1</v>
      </c>
      <c r="R655" t="b">
        <v>0</v>
      </c>
      <c r="T655" t="s">
        <v>992</v>
      </c>
      <c r="U655" t="s">
        <v>2420</v>
      </c>
      <c r="V655" t="s">
        <v>1061</v>
      </c>
      <c r="W655" t="s">
        <v>1034</v>
      </c>
      <c r="X655" t="s">
        <v>2456</v>
      </c>
    </row>
    <row r="656" spans="1:24" x14ac:dyDescent="0.25">
      <c r="A656" t="s">
        <v>42</v>
      </c>
      <c r="B656" t="s">
        <v>2464</v>
      </c>
      <c r="C656" t="s">
        <v>279</v>
      </c>
      <c r="E656" t="s">
        <v>1021</v>
      </c>
      <c r="F656">
        <v>361</v>
      </c>
      <c r="G656" t="s">
        <v>2418</v>
      </c>
      <c r="H656" t="s">
        <v>2455</v>
      </c>
      <c r="J656" t="s">
        <v>993</v>
      </c>
      <c r="K656" t="s">
        <v>1123</v>
      </c>
      <c r="L656" t="s">
        <v>992</v>
      </c>
      <c r="Q656" t="b">
        <v>1</v>
      </c>
      <c r="R656" t="b">
        <v>0</v>
      </c>
      <c r="T656" t="s">
        <v>992</v>
      </c>
      <c r="U656" t="s">
        <v>2420</v>
      </c>
      <c r="V656" t="s">
        <v>1061</v>
      </c>
      <c r="W656" t="s">
        <v>1034</v>
      </c>
      <c r="X656" t="s">
        <v>2456</v>
      </c>
    </row>
    <row r="657" spans="1:24" x14ac:dyDescent="0.25">
      <c r="A657" t="s">
        <v>42</v>
      </c>
      <c r="B657" t="s">
        <v>2465</v>
      </c>
      <c r="C657" t="s">
        <v>279</v>
      </c>
      <c r="E657" t="s">
        <v>1129</v>
      </c>
      <c r="F657">
        <v>164</v>
      </c>
      <c r="G657" t="s">
        <v>2418</v>
      </c>
      <c r="H657" t="s">
        <v>2455</v>
      </c>
      <c r="J657" t="s">
        <v>993</v>
      </c>
      <c r="K657" t="s">
        <v>1131</v>
      </c>
      <c r="L657" t="s">
        <v>992</v>
      </c>
      <c r="Q657" t="b">
        <v>1</v>
      </c>
      <c r="R657" t="b">
        <v>0</v>
      </c>
      <c r="T657" t="s">
        <v>992</v>
      </c>
      <c r="U657" t="s">
        <v>2420</v>
      </c>
      <c r="V657" t="s">
        <v>1061</v>
      </c>
      <c r="W657" t="s">
        <v>1034</v>
      </c>
      <c r="X657" t="s">
        <v>2456</v>
      </c>
    </row>
    <row r="658" spans="1:24" x14ac:dyDescent="0.25">
      <c r="A658" t="s">
        <v>42</v>
      </c>
      <c r="B658" t="s">
        <v>1336</v>
      </c>
      <c r="C658" t="s">
        <v>281</v>
      </c>
      <c r="E658" t="s">
        <v>1129</v>
      </c>
      <c r="F658">
        <v>-11534</v>
      </c>
      <c r="G658" t="s">
        <v>2418</v>
      </c>
      <c r="H658" t="s">
        <v>2466</v>
      </c>
      <c r="J658" t="s">
        <v>993</v>
      </c>
      <c r="K658" t="s">
        <v>1131</v>
      </c>
      <c r="L658" t="s">
        <v>992</v>
      </c>
      <c r="Q658" t="b">
        <v>1</v>
      </c>
      <c r="R658" t="b">
        <v>0</v>
      </c>
      <c r="T658" t="s">
        <v>992</v>
      </c>
      <c r="U658" t="s">
        <v>2420</v>
      </c>
      <c r="V658" t="s">
        <v>1061</v>
      </c>
      <c r="W658" t="s">
        <v>1034</v>
      </c>
      <c r="X658" t="s">
        <v>2467</v>
      </c>
    </row>
    <row r="659" spans="1:24" x14ac:dyDescent="0.25">
      <c r="A659" t="s">
        <v>42</v>
      </c>
      <c r="B659" t="s">
        <v>2468</v>
      </c>
      <c r="C659" t="s">
        <v>282</v>
      </c>
      <c r="E659" t="s">
        <v>1129</v>
      </c>
      <c r="F659">
        <v>29578</v>
      </c>
      <c r="G659" t="s">
        <v>2418</v>
      </c>
      <c r="H659" t="s">
        <v>2469</v>
      </c>
      <c r="J659" t="s">
        <v>993</v>
      </c>
      <c r="K659" t="s">
        <v>1131</v>
      </c>
      <c r="L659" t="s">
        <v>992</v>
      </c>
      <c r="Q659" t="b">
        <v>1</v>
      </c>
      <c r="R659" t="b">
        <v>0</v>
      </c>
      <c r="T659" t="s">
        <v>992</v>
      </c>
      <c r="U659" t="s">
        <v>1060</v>
      </c>
      <c r="V659" t="s">
        <v>995</v>
      </c>
      <c r="W659" t="s">
        <v>1034</v>
      </c>
      <c r="X659" t="s">
        <v>2470</v>
      </c>
    </row>
    <row r="660" spans="1:24" x14ac:dyDescent="0.25">
      <c r="A660" t="s">
        <v>42</v>
      </c>
      <c r="B660" t="s">
        <v>2471</v>
      </c>
      <c r="C660" t="s">
        <v>330</v>
      </c>
      <c r="E660" t="s">
        <v>2472</v>
      </c>
      <c r="F660">
        <v>29965</v>
      </c>
      <c r="G660" t="s">
        <v>1051</v>
      </c>
      <c r="H660" t="s">
        <v>1431</v>
      </c>
      <c r="I660" t="s">
        <v>1423</v>
      </c>
      <c r="J660" t="s">
        <v>1424</v>
      </c>
      <c r="K660" t="s">
        <v>1087</v>
      </c>
      <c r="L660" t="s">
        <v>1088</v>
      </c>
      <c r="M660" t="s">
        <v>1056</v>
      </c>
      <c r="N660" t="s">
        <v>1089</v>
      </c>
      <c r="O660" t="s">
        <v>992</v>
      </c>
      <c r="P660" t="s">
        <v>1058</v>
      </c>
      <c r="Q660" t="b">
        <v>1</v>
      </c>
      <c r="R660" t="b">
        <v>0</v>
      </c>
      <c r="S660" t="s">
        <v>2473</v>
      </c>
      <c r="T660" t="s">
        <v>992</v>
      </c>
      <c r="U660" t="s">
        <v>1139</v>
      </c>
      <c r="V660" t="s">
        <v>995</v>
      </c>
      <c r="W660" t="s">
        <v>1034</v>
      </c>
      <c r="X660" t="s">
        <v>2474</v>
      </c>
    </row>
    <row r="661" spans="1:24" x14ac:dyDescent="0.25">
      <c r="A661" t="s">
        <v>42</v>
      </c>
      <c r="B661" t="s">
        <v>2475</v>
      </c>
      <c r="C661" t="s">
        <v>330</v>
      </c>
      <c r="E661" t="s">
        <v>2476</v>
      </c>
      <c r="F661">
        <v>29943</v>
      </c>
      <c r="G661" t="s">
        <v>1051</v>
      </c>
      <c r="H661" t="s">
        <v>1439</v>
      </c>
      <c r="I661" t="s">
        <v>1423</v>
      </c>
      <c r="J661" t="s">
        <v>1424</v>
      </c>
      <c r="K661" t="s">
        <v>1116</v>
      </c>
      <c r="L661" t="s">
        <v>1117</v>
      </c>
      <c r="M661" t="s">
        <v>1056</v>
      </c>
      <c r="N661" t="s">
        <v>1118</v>
      </c>
      <c r="O661" t="s">
        <v>992</v>
      </c>
      <c r="P661" t="s">
        <v>1090</v>
      </c>
      <c r="Q661" t="b">
        <v>1</v>
      </c>
      <c r="R661" t="b">
        <v>0</v>
      </c>
      <c r="S661" t="s">
        <v>2473</v>
      </c>
      <c r="T661" t="s">
        <v>992</v>
      </c>
      <c r="U661" t="s">
        <v>1139</v>
      </c>
      <c r="V661" t="s">
        <v>995</v>
      </c>
      <c r="W661" t="s">
        <v>1034</v>
      </c>
      <c r="X661" t="s">
        <v>2474</v>
      </c>
    </row>
    <row r="662" spans="1:24" x14ac:dyDescent="0.25">
      <c r="A662" t="s">
        <v>42</v>
      </c>
      <c r="B662" t="s">
        <v>2477</v>
      </c>
      <c r="C662" t="s">
        <v>330</v>
      </c>
      <c r="E662" t="s">
        <v>2478</v>
      </c>
      <c r="F662">
        <v>35934</v>
      </c>
      <c r="G662" t="s">
        <v>1051</v>
      </c>
      <c r="H662" t="s">
        <v>1450</v>
      </c>
      <c r="I662" t="s">
        <v>1423</v>
      </c>
      <c r="J662" t="s">
        <v>1424</v>
      </c>
      <c r="K662" t="s">
        <v>1131</v>
      </c>
      <c r="L662" t="s">
        <v>1132</v>
      </c>
      <c r="M662" t="s">
        <v>1028</v>
      </c>
      <c r="N662" t="s">
        <v>1133</v>
      </c>
      <c r="O662" t="s">
        <v>992</v>
      </c>
      <c r="P662" t="s">
        <v>1119</v>
      </c>
      <c r="Q662" t="b">
        <v>1</v>
      </c>
      <c r="R662" t="b">
        <v>0</v>
      </c>
      <c r="S662" t="s">
        <v>2473</v>
      </c>
      <c r="T662" t="s">
        <v>992</v>
      </c>
      <c r="U662" t="s">
        <v>1139</v>
      </c>
      <c r="V662" t="s">
        <v>995</v>
      </c>
      <c r="W662" t="s">
        <v>1034</v>
      </c>
      <c r="X662" t="s">
        <v>2474</v>
      </c>
    </row>
    <row r="663" spans="1:24" x14ac:dyDescent="0.25">
      <c r="A663" t="s">
        <v>42</v>
      </c>
      <c r="B663" t="s">
        <v>2479</v>
      </c>
      <c r="C663" t="s">
        <v>331</v>
      </c>
      <c r="E663" t="s">
        <v>2472</v>
      </c>
      <c r="F663">
        <v>29508</v>
      </c>
      <c r="G663" t="s">
        <v>1051</v>
      </c>
      <c r="H663" t="s">
        <v>1467</v>
      </c>
      <c r="I663" t="s">
        <v>1458</v>
      </c>
      <c r="J663" t="s">
        <v>1424</v>
      </c>
      <c r="K663" t="s">
        <v>1087</v>
      </c>
      <c r="L663" t="s">
        <v>1088</v>
      </c>
      <c r="M663" t="s">
        <v>1056</v>
      </c>
      <c r="N663" t="s">
        <v>1089</v>
      </c>
      <c r="O663" t="s">
        <v>992</v>
      </c>
      <c r="P663" t="s">
        <v>1058</v>
      </c>
      <c r="Q663" t="b">
        <v>1</v>
      </c>
      <c r="R663" t="b">
        <v>0</v>
      </c>
      <c r="S663" t="s">
        <v>2473</v>
      </c>
      <c r="T663" t="s">
        <v>992</v>
      </c>
      <c r="U663" t="s">
        <v>1139</v>
      </c>
      <c r="V663" t="s">
        <v>995</v>
      </c>
      <c r="W663" t="s">
        <v>1034</v>
      </c>
      <c r="X663" t="s">
        <v>2474</v>
      </c>
    </row>
    <row r="664" spans="1:24" x14ac:dyDescent="0.25">
      <c r="A664" t="s">
        <v>42</v>
      </c>
      <c r="B664" t="s">
        <v>2480</v>
      </c>
      <c r="C664" t="s">
        <v>331</v>
      </c>
      <c r="E664" t="s">
        <v>2476</v>
      </c>
      <c r="F664">
        <v>33410</v>
      </c>
      <c r="G664" t="s">
        <v>1051</v>
      </c>
      <c r="H664" t="s">
        <v>1479</v>
      </c>
      <c r="I664" t="s">
        <v>1458</v>
      </c>
      <c r="J664" t="s">
        <v>1424</v>
      </c>
      <c r="K664" t="s">
        <v>1116</v>
      </c>
      <c r="L664" t="s">
        <v>1117</v>
      </c>
      <c r="M664" t="s">
        <v>1056</v>
      </c>
      <c r="N664" t="s">
        <v>1118</v>
      </c>
      <c r="O664" t="s">
        <v>992</v>
      </c>
      <c r="P664" t="s">
        <v>1090</v>
      </c>
      <c r="Q664" t="b">
        <v>1</v>
      </c>
      <c r="R664" t="b">
        <v>0</v>
      </c>
      <c r="S664" t="s">
        <v>2473</v>
      </c>
      <c r="T664" t="s">
        <v>992</v>
      </c>
      <c r="U664" t="s">
        <v>1139</v>
      </c>
      <c r="V664" t="s">
        <v>995</v>
      </c>
      <c r="W664" t="s">
        <v>1034</v>
      </c>
      <c r="X664" t="s">
        <v>2474</v>
      </c>
    </row>
    <row r="665" spans="1:24" x14ac:dyDescent="0.25">
      <c r="A665" t="s">
        <v>42</v>
      </c>
      <c r="B665" t="s">
        <v>2481</v>
      </c>
      <c r="C665" t="s">
        <v>331</v>
      </c>
      <c r="E665" t="s">
        <v>2478</v>
      </c>
      <c r="F665">
        <v>39777</v>
      </c>
      <c r="G665" t="s">
        <v>1051</v>
      </c>
      <c r="H665" t="s">
        <v>1491</v>
      </c>
      <c r="I665" t="s">
        <v>1458</v>
      </c>
      <c r="J665" t="s">
        <v>1424</v>
      </c>
      <c r="K665" t="s">
        <v>1131</v>
      </c>
      <c r="L665" t="s">
        <v>1132</v>
      </c>
      <c r="M665" t="s">
        <v>1028</v>
      </c>
      <c r="N665" t="s">
        <v>1133</v>
      </c>
      <c r="O665" t="s">
        <v>992</v>
      </c>
      <c r="P665" t="s">
        <v>1119</v>
      </c>
      <c r="Q665" t="b">
        <v>1</v>
      </c>
      <c r="R665" t="b">
        <v>0</v>
      </c>
      <c r="S665" t="s">
        <v>2473</v>
      </c>
      <c r="T665" t="s">
        <v>992</v>
      </c>
      <c r="U665" t="s">
        <v>1139</v>
      </c>
      <c r="V665" t="s">
        <v>995</v>
      </c>
      <c r="W665" t="s">
        <v>1034</v>
      </c>
      <c r="X665" t="s">
        <v>2474</v>
      </c>
    </row>
    <row r="666" spans="1:24" x14ac:dyDescent="0.25">
      <c r="A666" t="s">
        <v>42</v>
      </c>
      <c r="B666" t="s">
        <v>2482</v>
      </c>
      <c r="C666" t="s">
        <v>332</v>
      </c>
      <c r="E666" t="s">
        <v>2472</v>
      </c>
      <c r="F666">
        <v>6331</v>
      </c>
      <c r="G666" t="s">
        <v>1051</v>
      </c>
      <c r="H666" t="s">
        <v>1507</v>
      </c>
      <c r="I666" t="s">
        <v>1501</v>
      </c>
      <c r="J666" t="s">
        <v>1424</v>
      </c>
      <c r="K666" t="s">
        <v>1087</v>
      </c>
      <c r="L666" t="s">
        <v>1088</v>
      </c>
      <c r="M666" t="s">
        <v>1056</v>
      </c>
      <c r="N666" t="s">
        <v>1089</v>
      </c>
      <c r="O666" t="s">
        <v>992</v>
      </c>
      <c r="P666" t="s">
        <v>1058</v>
      </c>
      <c r="Q666" t="b">
        <v>1</v>
      </c>
      <c r="R666" t="b">
        <v>0</v>
      </c>
      <c r="S666" t="s">
        <v>2473</v>
      </c>
      <c r="T666" t="s">
        <v>992</v>
      </c>
      <c r="U666" t="s">
        <v>1139</v>
      </c>
      <c r="V666" t="s">
        <v>995</v>
      </c>
      <c r="W666" t="s">
        <v>1034</v>
      </c>
      <c r="X666" t="s">
        <v>2474</v>
      </c>
    </row>
    <row r="667" spans="1:24" x14ac:dyDescent="0.25">
      <c r="A667" t="s">
        <v>42</v>
      </c>
      <c r="B667" t="s">
        <v>2483</v>
      </c>
      <c r="C667" t="s">
        <v>332</v>
      </c>
      <c r="E667" t="s">
        <v>2476</v>
      </c>
      <c r="F667">
        <v>7286</v>
      </c>
      <c r="G667" t="s">
        <v>1051</v>
      </c>
      <c r="H667" t="s">
        <v>1515</v>
      </c>
      <c r="I667" t="s">
        <v>1501</v>
      </c>
      <c r="J667" t="s">
        <v>1424</v>
      </c>
      <c r="K667" t="s">
        <v>1116</v>
      </c>
      <c r="L667" t="s">
        <v>1117</v>
      </c>
      <c r="M667" t="s">
        <v>1056</v>
      </c>
      <c r="N667" t="s">
        <v>1118</v>
      </c>
      <c r="O667" t="s">
        <v>992</v>
      </c>
      <c r="P667" t="s">
        <v>1090</v>
      </c>
      <c r="Q667" t="b">
        <v>1</v>
      </c>
      <c r="R667" t="b">
        <v>0</v>
      </c>
      <c r="S667" t="s">
        <v>2473</v>
      </c>
      <c r="T667" t="s">
        <v>992</v>
      </c>
      <c r="U667" t="s">
        <v>1139</v>
      </c>
      <c r="V667" t="s">
        <v>995</v>
      </c>
      <c r="W667" t="s">
        <v>1034</v>
      </c>
      <c r="X667" t="s">
        <v>2474</v>
      </c>
    </row>
    <row r="668" spans="1:24" x14ac:dyDescent="0.25">
      <c r="A668" t="s">
        <v>42</v>
      </c>
      <c r="B668" t="s">
        <v>2484</v>
      </c>
      <c r="C668" t="s">
        <v>332</v>
      </c>
      <c r="E668" t="s">
        <v>2478</v>
      </c>
      <c r="F668">
        <v>5718</v>
      </c>
      <c r="G668" t="s">
        <v>1051</v>
      </c>
      <c r="H668" t="s">
        <v>1523</v>
      </c>
      <c r="I668" t="s">
        <v>1501</v>
      </c>
      <c r="J668" t="s">
        <v>1424</v>
      </c>
      <c r="K668" t="s">
        <v>1131</v>
      </c>
      <c r="L668" t="s">
        <v>1132</v>
      </c>
      <c r="M668" t="s">
        <v>1028</v>
      </c>
      <c r="N668" t="s">
        <v>1133</v>
      </c>
      <c r="O668" t="s">
        <v>992</v>
      </c>
      <c r="P668" t="s">
        <v>1119</v>
      </c>
      <c r="Q668" t="b">
        <v>1</v>
      </c>
      <c r="R668" t="b">
        <v>0</v>
      </c>
      <c r="S668" t="s">
        <v>2473</v>
      </c>
      <c r="T668" t="s">
        <v>992</v>
      </c>
      <c r="U668" t="s">
        <v>1139</v>
      </c>
      <c r="V668" t="s">
        <v>995</v>
      </c>
      <c r="W668" t="s">
        <v>1034</v>
      </c>
      <c r="X668" t="s">
        <v>2474</v>
      </c>
    </row>
    <row r="669" spans="1:24" x14ac:dyDescent="0.25">
      <c r="A669" t="s">
        <v>42</v>
      </c>
      <c r="B669" t="s">
        <v>2485</v>
      </c>
      <c r="C669" t="s">
        <v>335</v>
      </c>
      <c r="E669" t="s">
        <v>2472</v>
      </c>
      <c r="F669">
        <v>43715</v>
      </c>
      <c r="G669" t="s">
        <v>1051</v>
      </c>
      <c r="H669" t="s">
        <v>1582</v>
      </c>
      <c r="I669" t="s">
        <v>1573</v>
      </c>
      <c r="J669" t="s">
        <v>1424</v>
      </c>
      <c r="K669" t="s">
        <v>1087</v>
      </c>
      <c r="L669" t="s">
        <v>1088</v>
      </c>
      <c r="M669" t="s">
        <v>1056</v>
      </c>
      <c r="N669" t="s">
        <v>1089</v>
      </c>
      <c r="O669" t="s">
        <v>992</v>
      </c>
      <c r="P669" t="s">
        <v>1058</v>
      </c>
      <c r="Q669" t="b">
        <v>1</v>
      </c>
      <c r="R669" t="b">
        <v>0</v>
      </c>
      <c r="S669" t="s">
        <v>2473</v>
      </c>
      <c r="T669" t="s">
        <v>992</v>
      </c>
      <c r="U669" t="s">
        <v>1139</v>
      </c>
      <c r="V669" t="s">
        <v>995</v>
      </c>
      <c r="W669" t="s">
        <v>1034</v>
      </c>
      <c r="X669" t="s">
        <v>2474</v>
      </c>
    </row>
    <row r="670" spans="1:24" x14ac:dyDescent="0.25">
      <c r="A670" t="s">
        <v>42</v>
      </c>
      <c r="B670" t="s">
        <v>2486</v>
      </c>
      <c r="C670" t="s">
        <v>335</v>
      </c>
      <c r="E670" t="s">
        <v>2476</v>
      </c>
      <c r="F670">
        <v>45680</v>
      </c>
      <c r="G670" t="s">
        <v>1051</v>
      </c>
      <c r="H670" t="s">
        <v>1594</v>
      </c>
      <c r="I670" t="s">
        <v>1573</v>
      </c>
      <c r="J670" t="s">
        <v>1424</v>
      </c>
      <c r="K670" t="s">
        <v>1116</v>
      </c>
      <c r="L670" t="s">
        <v>1117</v>
      </c>
      <c r="M670" t="s">
        <v>1056</v>
      </c>
      <c r="N670" t="s">
        <v>1118</v>
      </c>
      <c r="O670" t="s">
        <v>992</v>
      </c>
      <c r="P670" t="s">
        <v>1090</v>
      </c>
      <c r="Q670" t="b">
        <v>1</v>
      </c>
      <c r="R670" t="b">
        <v>0</v>
      </c>
      <c r="S670" t="s">
        <v>2473</v>
      </c>
      <c r="T670" t="s">
        <v>992</v>
      </c>
      <c r="U670" t="s">
        <v>1139</v>
      </c>
      <c r="V670" t="s">
        <v>995</v>
      </c>
      <c r="W670" t="s">
        <v>1034</v>
      </c>
      <c r="X670" t="s">
        <v>2474</v>
      </c>
    </row>
    <row r="671" spans="1:24" x14ac:dyDescent="0.25">
      <c r="A671" t="s">
        <v>42</v>
      </c>
      <c r="B671" t="s">
        <v>2487</v>
      </c>
      <c r="C671" t="s">
        <v>335</v>
      </c>
      <c r="E671" t="s">
        <v>2478</v>
      </c>
      <c r="F671">
        <v>49834</v>
      </c>
      <c r="G671" t="s">
        <v>1051</v>
      </c>
      <c r="H671" t="s">
        <v>1606</v>
      </c>
      <c r="I671" t="s">
        <v>1573</v>
      </c>
      <c r="J671" t="s">
        <v>1424</v>
      </c>
      <c r="K671" t="s">
        <v>1131</v>
      </c>
      <c r="L671" t="s">
        <v>1132</v>
      </c>
      <c r="M671" t="s">
        <v>1028</v>
      </c>
      <c r="N671" t="s">
        <v>1133</v>
      </c>
      <c r="O671" t="s">
        <v>992</v>
      </c>
      <c r="P671" t="s">
        <v>1119</v>
      </c>
      <c r="Q671" t="b">
        <v>1</v>
      </c>
      <c r="R671" t="b">
        <v>0</v>
      </c>
      <c r="S671" t="s">
        <v>2473</v>
      </c>
      <c r="T671" t="s">
        <v>992</v>
      </c>
      <c r="U671" t="s">
        <v>1139</v>
      </c>
      <c r="V671" t="s">
        <v>995</v>
      </c>
      <c r="W671" t="s">
        <v>1034</v>
      </c>
      <c r="X671" t="s">
        <v>2474</v>
      </c>
    </row>
    <row r="672" spans="1:24" x14ac:dyDescent="0.25">
      <c r="A672" t="s">
        <v>42</v>
      </c>
      <c r="B672" t="s">
        <v>2488</v>
      </c>
      <c r="C672" t="s">
        <v>336</v>
      </c>
      <c r="E672" t="s">
        <v>2472</v>
      </c>
      <c r="F672">
        <v>0</v>
      </c>
      <c r="G672" t="s">
        <v>1051</v>
      </c>
      <c r="H672" t="s">
        <v>1615</v>
      </c>
      <c r="I672" t="s">
        <v>1616</v>
      </c>
      <c r="J672" t="s">
        <v>1424</v>
      </c>
      <c r="K672" t="s">
        <v>992</v>
      </c>
      <c r="L672" t="s">
        <v>992</v>
      </c>
      <c r="M672" t="s">
        <v>992</v>
      </c>
      <c r="N672" t="s">
        <v>992</v>
      </c>
      <c r="O672" t="s">
        <v>992</v>
      </c>
      <c r="P672" t="s">
        <v>992</v>
      </c>
      <c r="Q672" t="b">
        <v>1</v>
      </c>
      <c r="R672" t="b">
        <v>0</v>
      </c>
      <c r="S672" t="s">
        <v>2473</v>
      </c>
      <c r="T672" t="s">
        <v>992</v>
      </c>
      <c r="U672" t="s">
        <v>1139</v>
      </c>
      <c r="V672" t="s">
        <v>995</v>
      </c>
      <c r="W672" t="s">
        <v>1034</v>
      </c>
      <c r="X672" t="s">
        <v>2474</v>
      </c>
    </row>
    <row r="673" spans="1:24" x14ac:dyDescent="0.25">
      <c r="A673" t="s">
        <v>42</v>
      </c>
      <c r="B673" t="s">
        <v>2489</v>
      </c>
      <c r="C673" t="s">
        <v>336</v>
      </c>
      <c r="E673" t="s">
        <v>2476</v>
      </c>
      <c r="F673">
        <v>0</v>
      </c>
      <c r="G673" t="s">
        <v>1051</v>
      </c>
      <c r="H673" t="s">
        <v>1615</v>
      </c>
      <c r="I673" t="s">
        <v>1616</v>
      </c>
      <c r="J673" t="s">
        <v>1424</v>
      </c>
      <c r="K673" t="s">
        <v>992</v>
      </c>
      <c r="L673" t="s">
        <v>992</v>
      </c>
      <c r="M673" t="s">
        <v>992</v>
      </c>
      <c r="N673" t="s">
        <v>992</v>
      </c>
      <c r="O673" t="s">
        <v>992</v>
      </c>
      <c r="P673" t="s">
        <v>992</v>
      </c>
      <c r="Q673" t="b">
        <v>1</v>
      </c>
      <c r="R673" t="b">
        <v>0</v>
      </c>
      <c r="S673" t="s">
        <v>2473</v>
      </c>
      <c r="T673" t="s">
        <v>992</v>
      </c>
      <c r="U673" t="s">
        <v>1139</v>
      </c>
      <c r="V673" t="s">
        <v>995</v>
      </c>
      <c r="W673" t="s">
        <v>1034</v>
      </c>
      <c r="X673" t="s">
        <v>2474</v>
      </c>
    </row>
    <row r="674" spans="1:24" x14ac:dyDescent="0.25">
      <c r="A674" t="s">
        <v>42</v>
      </c>
      <c r="B674" t="s">
        <v>2490</v>
      </c>
      <c r="C674" t="s">
        <v>336</v>
      </c>
      <c r="E674" t="s">
        <v>2478</v>
      </c>
      <c r="F674">
        <v>13301</v>
      </c>
      <c r="G674" t="s">
        <v>1051</v>
      </c>
      <c r="H674" t="s">
        <v>1638</v>
      </c>
      <c r="I674" t="s">
        <v>1639</v>
      </c>
      <c r="J674" t="s">
        <v>1424</v>
      </c>
      <c r="K674" t="s">
        <v>1131</v>
      </c>
      <c r="L674" t="s">
        <v>1132</v>
      </c>
      <c r="M674" t="s">
        <v>1028</v>
      </c>
      <c r="N674" t="s">
        <v>1133</v>
      </c>
      <c r="O674" t="s">
        <v>992</v>
      </c>
      <c r="P674" t="s">
        <v>1119</v>
      </c>
      <c r="Q674" t="b">
        <v>1</v>
      </c>
      <c r="R674" t="b">
        <v>0</v>
      </c>
      <c r="S674" t="s">
        <v>2473</v>
      </c>
      <c r="T674" t="s">
        <v>992</v>
      </c>
      <c r="U674" t="s">
        <v>1139</v>
      </c>
      <c r="V674" t="s">
        <v>995</v>
      </c>
      <c r="W674" t="s">
        <v>1034</v>
      </c>
      <c r="X674" t="s">
        <v>2474</v>
      </c>
    </row>
    <row r="675" spans="1:24" x14ac:dyDescent="0.25">
      <c r="A675" t="s">
        <v>42</v>
      </c>
      <c r="B675" t="s">
        <v>2491</v>
      </c>
      <c r="C675" t="s">
        <v>337</v>
      </c>
      <c r="E675" t="s">
        <v>2472</v>
      </c>
      <c r="F675">
        <v>0</v>
      </c>
      <c r="G675" t="s">
        <v>1051</v>
      </c>
      <c r="H675" t="s">
        <v>1647</v>
      </c>
      <c r="I675" t="s">
        <v>337</v>
      </c>
      <c r="J675" t="s">
        <v>1424</v>
      </c>
      <c r="K675" t="s">
        <v>992</v>
      </c>
      <c r="L675" t="s">
        <v>992</v>
      </c>
      <c r="M675" t="s">
        <v>992</v>
      </c>
      <c r="N675" t="s">
        <v>992</v>
      </c>
      <c r="O675" t="s">
        <v>992</v>
      </c>
      <c r="P675" t="s">
        <v>992</v>
      </c>
      <c r="Q675" t="b">
        <v>1</v>
      </c>
      <c r="R675" t="b">
        <v>0</v>
      </c>
      <c r="S675" t="s">
        <v>2473</v>
      </c>
      <c r="T675" t="s">
        <v>992</v>
      </c>
      <c r="U675" t="s">
        <v>1139</v>
      </c>
      <c r="V675" t="s">
        <v>995</v>
      </c>
      <c r="W675" t="s">
        <v>1034</v>
      </c>
      <c r="X675" t="s">
        <v>2474</v>
      </c>
    </row>
    <row r="676" spans="1:24" x14ac:dyDescent="0.25">
      <c r="A676" t="s">
        <v>42</v>
      </c>
      <c r="B676" t="s">
        <v>2492</v>
      </c>
      <c r="C676" t="s">
        <v>337</v>
      </c>
      <c r="E676" t="s">
        <v>2476</v>
      </c>
      <c r="F676">
        <v>0</v>
      </c>
      <c r="G676" t="s">
        <v>1051</v>
      </c>
      <c r="H676" t="s">
        <v>1647</v>
      </c>
      <c r="I676" t="s">
        <v>337</v>
      </c>
      <c r="J676" t="s">
        <v>1424</v>
      </c>
      <c r="K676" t="s">
        <v>992</v>
      </c>
      <c r="L676" t="s">
        <v>992</v>
      </c>
      <c r="M676" t="s">
        <v>992</v>
      </c>
      <c r="N676" t="s">
        <v>992</v>
      </c>
      <c r="O676" t="s">
        <v>992</v>
      </c>
      <c r="P676" t="s">
        <v>992</v>
      </c>
      <c r="Q676" t="b">
        <v>1</v>
      </c>
      <c r="R676" t="b">
        <v>0</v>
      </c>
      <c r="S676" t="s">
        <v>2473</v>
      </c>
      <c r="T676" t="s">
        <v>992</v>
      </c>
      <c r="U676" t="s">
        <v>1139</v>
      </c>
      <c r="V676" t="s">
        <v>995</v>
      </c>
      <c r="W676" t="s">
        <v>1034</v>
      </c>
      <c r="X676" t="s">
        <v>2474</v>
      </c>
    </row>
    <row r="677" spans="1:24" x14ac:dyDescent="0.25">
      <c r="A677" t="s">
        <v>42</v>
      </c>
      <c r="B677" t="s">
        <v>2493</v>
      </c>
      <c r="C677" t="s">
        <v>337</v>
      </c>
      <c r="E677" t="s">
        <v>2478</v>
      </c>
      <c r="F677">
        <v>0</v>
      </c>
      <c r="G677" t="s">
        <v>1051</v>
      </c>
      <c r="H677" t="s">
        <v>1647</v>
      </c>
      <c r="I677" t="s">
        <v>337</v>
      </c>
      <c r="J677" t="s">
        <v>1424</v>
      </c>
      <c r="K677" t="s">
        <v>992</v>
      </c>
      <c r="L677" t="s">
        <v>992</v>
      </c>
      <c r="M677" t="s">
        <v>992</v>
      </c>
      <c r="N677" t="s">
        <v>992</v>
      </c>
      <c r="O677" t="s">
        <v>992</v>
      </c>
      <c r="P677" t="s">
        <v>992</v>
      </c>
      <c r="Q677" t="b">
        <v>1</v>
      </c>
      <c r="R677" t="b">
        <v>0</v>
      </c>
      <c r="S677" t="s">
        <v>2473</v>
      </c>
      <c r="T677" t="s">
        <v>992</v>
      </c>
      <c r="U677" t="s">
        <v>1139</v>
      </c>
      <c r="V677" t="s">
        <v>995</v>
      </c>
      <c r="W677" t="s">
        <v>1034</v>
      </c>
      <c r="X677" t="s">
        <v>2474</v>
      </c>
    </row>
    <row r="678" spans="1:24" x14ac:dyDescent="0.25">
      <c r="A678" t="s">
        <v>42</v>
      </c>
      <c r="B678" t="s">
        <v>2494</v>
      </c>
      <c r="C678" t="s">
        <v>341</v>
      </c>
      <c r="E678" t="s">
        <v>2472</v>
      </c>
      <c r="F678">
        <v>62611</v>
      </c>
      <c r="G678" t="s">
        <v>1051</v>
      </c>
      <c r="H678" t="s">
        <v>1720</v>
      </c>
      <c r="I678" t="s">
        <v>1711</v>
      </c>
      <c r="J678" t="s">
        <v>1424</v>
      </c>
      <c r="K678" t="s">
        <v>1087</v>
      </c>
      <c r="L678" t="s">
        <v>1088</v>
      </c>
      <c r="M678" t="s">
        <v>1056</v>
      </c>
      <c r="N678" t="s">
        <v>1089</v>
      </c>
      <c r="O678" t="s">
        <v>992</v>
      </c>
      <c r="P678" t="s">
        <v>1058</v>
      </c>
      <c r="Q678" t="b">
        <v>1</v>
      </c>
      <c r="R678" t="b">
        <v>0</v>
      </c>
      <c r="S678" t="s">
        <v>2473</v>
      </c>
      <c r="T678" t="s">
        <v>992</v>
      </c>
      <c r="U678" t="s">
        <v>1139</v>
      </c>
      <c r="V678" t="s">
        <v>995</v>
      </c>
      <c r="W678" t="s">
        <v>1034</v>
      </c>
      <c r="X678" t="s">
        <v>2474</v>
      </c>
    </row>
    <row r="679" spans="1:24" x14ac:dyDescent="0.25">
      <c r="A679" t="s">
        <v>42</v>
      </c>
      <c r="B679" t="s">
        <v>2495</v>
      </c>
      <c r="C679" t="s">
        <v>341</v>
      </c>
      <c r="E679" t="s">
        <v>2476</v>
      </c>
      <c r="F679">
        <v>68960</v>
      </c>
      <c r="G679" t="s">
        <v>1051</v>
      </c>
      <c r="H679" t="s">
        <v>1732</v>
      </c>
      <c r="I679" t="s">
        <v>1711</v>
      </c>
      <c r="J679" t="s">
        <v>1424</v>
      </c>
      <c r="K679" t="s">
        <v>1116</v>
      </c>
      <c r="L679" t="s">
        <v>1117</v>
      </c>
      <c r="M679" t="s">
        <v>1056</v>
      </c>
      <c r="N679" t="s">
        <v>1118</v>
      </c>
      <c r="O679" t="s">
        <v>992</v>
      </c>
      <c r="P679" t="s">
        <v>1090</v>
      </c>
      <c r="Q679" t="b">
        <v>1</v>
      </c>
      <c r="R679" t="b">
        <v>0</v>
      </c>
      <c r="S679" t="s">
        <v>2473</v>
      </c>
      <c r="T679" t="s">
        <v>992</v>
      </c>
      <c r="U679" t="s">
        <v>1139</v>
      </c>
      <c r="V679" t="s">
        <v>995</v>
      </c>
      <c r="W679" t="s">
        <v>1034</v>
      </c>
      <c r="X679" t="s">
        <v>2474</v>
      </c>
    </row>
    <row r="680" spans="1:24" x14ac:dyDescent="0.25">
      <c r="A680" t="s">
        <v>42</v>
      </c>
      <c r="B680" t="s">
        <v>2496</v>
      </c>
      <c r="C680" t="s">
        <v>341</v>
      </c>
      <c r="E680" t="s">
        <v>2478</v>
      </c>
      <c r="F680">
        <v>69860</v>
      </c>
      <c r="G680" t="s">
        <v>1051</v>
      </c>
      <c r="H680" t="s">
        <v>1744</v>
      </c>
      <c r="I680" t="s">
        <v>1711</v>
      </c>
      <c r="J680" t="s">
        <v>1424</v>
      </c>
      <c r="K680" t="s">
        <v>1131</v>
      </c>
      <c r="L680" t="s">
        <v>1132</v>
      </c>
      <c r="M680" t="s">
        <v>1028</v>
      </c>
      <c r="N680" t="s">
        <v>1133</v>
      </c>
      <c r="O680" t="s">
        <v>992</v>
      </c>
      <c r="P680" t="s">
        <v>1119</v>
      </c>
      <c r="Q680" t="b">
        <v>1</v>
      </c>
      <c r="R680" t="b">
        <v>0</v>
      </c>
      <c r="S680" t="s">
        <v>2473</v>
      </c>
      <c r="T680" t="s">
        <v>992</v>
      </c>
      <c r="U680" t="s">
        <v>1139</v>
      </c>
      <c r="V680" t="s">
        <v>995</v>
      </c>
      <c r="W680" t="s">
        <v>1034</v>
      </c>
      <c r="X680" t="s">
        <v>2474</v>
      </c>
    </row>
    <row r="681" spans="1:24" x14ac:dyDescent="0.25">
      <c r="A681" t="s">
        <v>42</v>
      </c>
      <c r="B681" t="s">
        <v>2497</v>
      </c>
      <c r="C681" t="s">
        <v>333</v>
      </c>
      <c r="E681" t="s">
        <v>2472</v>
      </c>
      <c r="F681">
        <v>77762</v>
      </c>
      <c r="G681" t="s">
        <v>1051</v>
      </c>
      <c r="H681" t="s">
        <v>1539</v>
      </c>
      <c r="I681" t="s">
        <v>1530</v>
      </c>
      <c r="J681" t="s">
        <v>1424</v>
      </c>
      <c r="K681" t="s">
        <v>1087</v>
      </c>
      <c r="L681" t="s">
        <v>1088</v>
      </c>
      <c r="M681" t="s">
        <v>1056</v>
      </c>
      <c r="N681" t="s">
        <v>1089</v>
      </c>
      <c r="O681" t="s">
        <v>992</v>
      </c>
      <c r="P681" t="s">
        <v>1058</v>
      </c>
      <c r="Q681" t="b">
        <v>1</v>
      </c>
      <c r="R681" t="b">
        <v>0</v>
      </c>
      <c r="S681" t="s">
        <v>2473</v>
      </c>
      <c r="T681" t="s">
        <v>992</v>
      </c>
      <c r="U681" t="s">
        <v>1139</v>
      </c>
      <c r="V681" t="s">
        <v>995</v>
      </c>
      <c r="W681" t="s">
        <v>1034</v>
      </c>
      <c r="X681" t="s">
        <v>2474</v>
      </c>
    </row>
    <row r="682" spans="1:24" x14ac:dyDescent="0.25">
      <c r="A682" t="s">
        <v>42</v>
      </c>
      <c r="B682" t="s">
        <v>2498</v>
      </c>
      <c r="C682" t="s">
        <v>333</v>
      </c>
      <c r="E682" t="s">
        <v>2476</v>
      </c>
      <c r="F682">
        <v>82348</v>
      </c>
      <c r="G682" t="s">
        <v>1051</v>
      </c>
      <c r="H682" t="s">
        <v>1551</v>
      </c>
      <c r="I682" t="s">
        <v>1530</v>
      </c>
      <c r="J682" t="s">
        <v>1424</v>
      </c>
      <c r="K682" t="s">
        <v>1116</v>
      </c>
      <c r="L682" t="s">
        <v>1117</v>
      </c>
      <c r="M682" t="s">
        <v>1056</v>
      </c>
      <c r="N682" t="s">
        <v>1118</v>
      </c>
      <c r="O682" t="s">
        <v>992</v>
      </c>
      <c r="P682" t="s">
        <v>1090</v>
      </c>
      <c r="Q682" t="b">
        <v>1</v>
      </c>
      <c r="R682" t="b">
        <v>0</v>
      </c>
      <c r="S682" t="s">
        <v>2473</v>
      </c>
      <c r="T682" t="s">
        <v>992</v>
      </c>
      <c r="U682" t="s">
        <v>1139</v>
      </c>
      <c r="V682" t="s">
        <v>995</v>
      </c>
      <c r="W682" t="s">
        <v>1034</v>
      </c>
      <c r="X682" t="s">
        <v>2474</v>
      </c>
    </row>
    <row r="683" spans="1:24" x14ac:dyDescent="0.25">
      <c r="A683" t="s">
        <v>42</v>
      </c>
      <c r="B683" t="s">
        <v>2499</v>
      </c>
      <c r="C683" t="s">
        <v>333</v>
      </c>
      <c r="E683" t="s">
        <v>2478</v>
      </c>
      <c r="F683">
        <v>66528</v>
      </c>
      <c r="G683" t="s">
        <v>1051</v>
      </c>
      <c r="H683" t="s">
        <v>1563</v>
      </c>
      <c r="I683" t="s">
        <v>1530</v>
      </c>
      <c r="J683" t="s">
        <v>1424</v>
      </c>
      <c r="K683" t="s">
        <v>1131</v>
      </c>
      <c r="L683" t="s">
        <v>1132</v>
      </c>
      <c r="M683" t="s">
        <v>1028</v>
      </c>
      <c r="N683" t="s">
        <v>1133</v>
      </c>
      <c r="O683" t="s">
        <v>992</v>
      </c>
      <c r="P683" t="s">
        <v>1119</v>
      </c>
      <c r="Q683" t="b">
        <v>1</v>
      </c>
      <c r="R683" t="b">
        <v>0</v>
      </c>
      <c r="S683" t="s">
        <v>2473</v>
      </c>
      <c r="T683" t="s">
        <v>992</v>
      </c>
      <c r="U683" t="s">
        <v>1139</v>
      </c>
      <c r="V683" t="s">
        <v>995</v>
      </c>
      <c r="W683" t="s">
        <v>1034</v>
      </c>
      <c r="X683" t="s">
        <v>2474</v>
      </c>
    </row>
    <row r="684" spans="1:24" x14ac:dyDescent="0.25">
      <c r="A684" t="s">
        <v>42</v>
      </c>
      <c r="B684" t="s">
        <v>2500</v>
      </c>
      <c r="C684" t="s">
        <v>338</v>
      </c>
      <c r="E684" t="s">
        <v>2472</v>
      </c>
      <c r="F684">
        <v>165302</v>
      </c>
      <c r="G684" t="s">
        <v>1051</v>
      </c>
      <c r="H684" t="s">
        <v>1683</v>
      </c>
      <c r="I684" t="s">
        <v>1677</v>
      </c>
      <c r="J684" t="s">
        <v>1424</v>
      </c>
      <c r="K684" t="s">
        <v>1087</v>
      </c>
      <c r="L684" t="s">
        <v>1088</v>
      </c>
      <c r="M684" t="s">
        <v>1056</v>
      </c>
      <c r="N684" t="s">
        <v>1089</v>
      </c>
      <c r="O684" t="s">
        <v>992</v>
      </c>
      <c r="P684" t="s">
        <v>1058</v>
      </c>
      <c r="Q684" t="b">
        <v>1</v>
      </c>
      <c r="R684" t="b">
        <v>0</v>
      </c>
      <c r="S684" t="s">
        <v>2473</v>
      </c>
      <c r="T684" t="s">
        <v>992</v>
      </c>
      <c r="U684" t="s">
        <v>1139</v>
      </c>
      <c r="V684" t="s">
        <v>995</v>
      </c>
      <c r="W684" t="s">
        <v>1034</v>
      </c>
      <c r="X684" t="s">
        <v>2474</v>
      </c>
    </row>
    <row r="685" spans="1:24" x14ac:dyDescent="0.25">
      <c r="A685" t="s">
        <v>42</v>
      </c>
      <c r="B685" t="s">
        <v>2501</v>
      </c>
      <c r="C685" t="s">
        <v>338</v>
      </c>
      <c r="E685" t="s">
        <v>2476</v>
      </c>
      <c r="F685">
        <v>166313</v>
      </c>
      <c r="G685" t="s">
        <v>1051</v>
      </c>
      <c r="H685" t="s">
        <v>1691</v>
      </c>
      <c r="I685" t="s">
        <v>1677</v>
      </c>
      <c r="J685" t="s">
        <v>1424</v>
      </c>
      <c r="K685" t="s">
        <v>1116</v>
      </c>
      <c r="L685" t="s">
        <v>1117</v>
      </c>
      <c r="M685" t="s">
        <v>1056</v>
      </c>
      <c r="N685" t="s">
        <v>1118</v>
      </c>
      <c r="O685" t="s">
        <v>992</v>
      </c>
      <c r="P685" t="s">
        <v>1090</v>
      </c>
      <c r="Q685" t="b">
        <v>1</v>
      </c>
      <c r="R685" t="b">
        <v>0</v>
      </c>
      <c r="S685" t="s">
        <v>2473</v>
      </c>
      <c r="T685" t="s">
        <v>992</v>
      </c>
      <c r="U685" t="s">
        <v>1139</v>
      </c>
      <c r="V685" t="s">
        <v>995</v>
      </c>
      <c r="W685" t="s">
        <v>1034</v>
      </c>
      <c r="X685" t="s">
        <v>2474</v>
      </c>
    </row>
    <row r="686" spans="1:24" x14ac:dyDescent="0.25">
      <c r="A686" t="s">
        <v>42</v>
      </c>
      <c r="B686" t="s">
        <v>2502</v>
      </c>
      <c r="C686" t="s">
        <v>338</v>
      </c>
      <c r="E686" t="s">
        <v>2478</v>
      </c>
      <c r="F686">
        <v>148149</v>
      </c>
      <c r="G686" t="s">
        <v>1051</v>
      </c>
      <c r="H686" t="s">
        <v>1702</v>
      </c>
      <c r="I686" t="s">
        <v>1703</v>
      </c>
      <c r="J686" t="s">
        <v>1424</v>
      </c>
      <c r="K686" t="s">
        <v>1131</v>
      </c>
      <c r="L686" t="s">
        <v>1132</v>
      </c>
      <c r="M686" t="s">
        <v>1028</v>
      </c>
      <c r="N686" t="s">
        <v>1133</v>
      </c>
      <c r="O686" t="s">
        <v>992</v>
      </c>
      <c r="P686" t="s">
        <v>1119</v>
      </c>
      <c r="Q686" t="b">
        <v>1</v>
      </c>
      <c r="R686" t="b">
        <v>0</v>
      </c>
      <c r="S686" t="s">
        <v>2473</v>
      </c>
      <c r="T686" t="s">
        <v>992</v>
      </c>
      <c r="U686" t="s">
        <v>1139</v>
      </c>
      <c r="V686" t="s">
        <v>995</v>
      </c>
      <c r="W686" t="s">
        <v>1034</v>
      </c>
      <c r="X686" t="s">
        <v>2474</v>
      </c>
    </row>
    <row r="687" spans="1:24" x14ac:dyDescent="0.25">
      <c r="A687" t="s">
        <v>42</v>
      </c>
      <c r="B687" t="s">
        <v>2503</v>
      </c>
      <c r="C687" t="s">
        <v>342</v>
      </c>
      <c r="E687" t="s">
        <v>2472</v>
      </c>
      <c r="F687">
        <v>74636</v>
      </c>
      <c r="G687" t="s">
        <v>1051</v>
      </c>
      <c r="H687" t="s">
        <v>1763</v>
      </c>
      <c r="I687" t="s">
        <v>1754</v>
      </c>
      <c r="J687" t="s">
        <v>1424</v>
      </c>
      <c r="K687" t="s">
        <v>1087</v>
      </c>
      <c r="L687" t="s">
        <v>1088</v>
      </c>
      <c r="M687" t="s">
        <v>1056</v>
      </c>
      <c r="N687" t="s">
        <v>1089</v>
      </c>
      <c r="O687" t="s">
        <v>992</v>
      </c>
      <c r="P687" t="s">
        <v>1058</v>
      </c>
      <c r="Q687" t="b">
        <v>1</v>
      </c>
      <c r="R687" t="b">
        <v>0</v>
      </c>
      <c r="S687" t="s">
        <v>2473</v>
      </c>
      <c r="T687" t="s">
        <v>992</v>
      </c>
      <c r="U687" t="s">
        <v>1139</v>
      </c>
      <c r="V687" t="s">
        <v>995</v>
      </c>
      <c r="W687" t="s">
        <v>1034</v>
      </c>
      <c r="X687" t="s">
        <v>2474</v>
      </c>
    </row>
    <row r="688" spans="1:24" x14ac:dyDescent="0.25">
      <c r="A688" t="s">
        <v>42</v>
      </c>
      <c r="B688" t="s">
        <v>2504</v>
      </c>
      <c r="C688" t="s">
        <v>342</v>
      </c>
      <c r="E688" t="s">
        <v>2476</v>
      </c>
      <c r="F688">
        <v>99183</v>
      </c>
      <c r="G688" t="s">
        <v>1051</v>
      </c>
      <c r="H688" t="s">
        <v>1774</v>
      </c>
      <c r="I688" t="s">
        <v>1754</v>
      </c>
      <c r="J688" t="s">
        <v>1424</v>
      </c>
      <c r="K688" t="s">
        <v>1116</v>
      </c>
      <c r="L688" t="s">
        <v>1117</v>
      </c>
      <c r="M688" t="s">
        <v>1056</v>
      </c>
      <c r="N688" t="s">
        <v>1118</v>
      </c>
      <c r="O688" t="s">
        <v>992</v>
      </c>
      <c r="P688" t="s">
        <v>1090</v>
      </c>
      <c r="Q688" t="b">
        <v>1</v>
      </c>
      <c r="R688" t="b">
        <v>0</v>
      </c>
      <c r="S688" t="s">
        <v>2473</v>
      </c>
      <c r="T688" t="s">
        <v>992</v>
      </c>
      <c r="U688" t="s">
        <v>1139</v>
      </c>
      <c r="V688" t="s">
        <v>995</v>
      </c>
      <c r="W688" t="s">
        <v>1034</v>
      </c>
      <c r="X688" t="s">
        <v>2474</v>
      </c>
    </row>
    <row r="689" spans="1:24" x14ac:dyDescent="0.25">
      <c r="A689" t="s">
        <v>42</v>
      </c>
      <c r="B689" t="s">
        <v>2505</v>
      </c>
      <c r="C689" t="s">
        <v>342</v>
      </c>
      <c r="E689" t="s">
        <v>2478</v>
      </c>
      <c r="F689">
        <v>86716</v>
      </c>
      <c r="G689" t="s">
        <v>1051</v>
      </c>
      <c r="H689" t="s">
        <v>1786</v>
      </c>
      <c r="I689" t="s">
        <v>1754</v>
      </c>
      <c r="J689" t="s">
        <v>1424</v>
      </c>
      <c r="K689" t="s">
        <v>1131</v>
      </c>
      <c r="L689" t="s">
        <v>1132</v>
      </c>
      <c r="M689" t="s">
        <v>1028</v>
      </c>
      <c r="N689" t="s">
        <v>1133</v>
      </c>
      <c r="O689" t="s">
        <v>992</v>
      </c>
      <c r="P689" t="s">
        <v>1119</v>
      </c>
      <c r="Q689" t="b">
        <v>1</v>
      </c>
      <c r="R689" t="b">
        <v>0</v>
      </c>
      <c r="S689" t="s">
        <v>2473</v>
      </c>
      <c r="T689" t="s">
        <v>992</v>
      </c>
      <c r="U689" t="s">
        <v>1139</v>
      </c>
      <c r="V689" t="s">
        <v>995</v>
      </c>
      <c r="W689" t="s">
        <v>1034</v>
      </c>
      <c r="X689" t="s">
        <v>2474</v>
      </c>
    </row>
    <row r="690" spans="1:24" x14ac:dyDescent="0.25">
      <c r="A690" t="s">
        <v>42</v>
      </c>
      <c r="B690" t="s">
        <v>2506</v>
      </c>
      <c r="C690" t="s">
        <v>343</v>
      </c>
      <c r="E690" t="s">
        <v>2472</v>
      </c>
      <c r="F690">
        <v>8061</v>
      </c>
      <c r="G690" t="s">
        <v>1051</v>
      </c>
      <c r="H690" t="s">
        <v>1802</v>
      </c>
      <c r="I690" t="s">
        <v>1796</v>
      </c>
      <c r="J690" t="s">
        <v>1424</v>
      </c>
      <c r="K690" t="s">
        <v>1087</v>
      </c>
      <c r="L690" t="s">
        <v>1088</v>
      </c>
      <c r="M690" t="s">
        <v>1056</v>
      </c>
      <c r="N690" t="s">
        <v>1089</v>
      </c>
      <c r="O690" t="s">
        <v>992</v>
      </c>
      <c r="P690" t="s">
        <v>1058</v>
      </c>
      <c r="Q690" t="b">
        <v>1</v>
      </c>
      <c r="R690" t="b">
        <v>0</v>
      </c>
      <c r="S690" t="s">
        <v>2473</v>
      </c>
      <c r="T690" t="s">
        <v>992</v>
      </c>
      <c r="U690" t="s">
        <v>1139</v>
      </c>
      <c r="V690" t="s">
        <v>995</v>
      </c>
      <c r="W690" t="s">
        <v>1034</v>
      </c>
      <c r="X690" t="s">
        <v>2474</v>
      </c>
    </row>
    <row r="691" spans="1:24" x14ac:dyDescent="0.25">
      <c r="A691" t="s">
        <v>42</v>
      </c>
      <c r="B691" t="s">
        <v>2507</v>
      </c>
      <c r="C691" t="s">
        <v>343</v>
      </c>
      <c r="E691" t="s">
        <v>2476</v>
      </c>
      <c r="F691">
        <v>8249</v>
      </c>
      <c r="G691" t="s">
        <v>1051</v>
      </c>
      <c r="H691" t="s">
        <v>1810</v>
      </c>
      <c r="I691" t="s">
        <v>1796</v>
      </c>
      <c r="J691" t="s">
        <v>1424</v>
      </c>
      <c r="K691" t="s">
        <v>1116</v>
      </c>
      <c r="L691" t="s">
        <v>1117</v>
      </c>
      <c r="M691" t="s">
        <v>1056</v>
      </c>
      <c r="N691" t="s">
        <v>1118</v>
      </c>
      <c r="O691" t="s">
        <v>992</v>
      </c>
      <c r="P691" t="s">
        <v>1090</v>
      </c>
      <c r="Q691" t="b">
        <v>1</v>
      </c>
      <c r="R691" t="b">
        <v>0</v>
      </c>
      <c r="S691" t="s">
        <v>2473</v>
      </c>
      <c r="T691" t="s">
        <v>992</v>
      </c>
      <c r="U691" t="s">
        <v>1139</v>
      </c>
      <c r="V691" t="s">
        <v>995</v>
      </c>
      <c r="W691" t="s">
        <v>1034</v>
      </c>
      <c r="X691" t="s">
        <v>2474</v>
      </c>
    </row>
    <row r="692" spans="1:24" x14ac:dyDescent="0.25">
      <c r="A692" t="s">
        <v>42</v>
      </c>
      <c r="B692" t="s">
        <v>2508</v>
      </c>
      <c r="C692" t="s">
        <v>343</v>
      </c>
      <c r="E692" t="s">
        <v>2478</v>
      </c>
      <c r="F692">
        <v>9055</v>
      </c>
      <c r="G692" t="s">
        <v>1051</v>
      </c>
      <c r="H692" t="s">
        <v>1821</v>
      </c>
      <c r="I692" t="s">
        <v>1796</v>
      </c>
      <c r="J692" t="s">
        <v>1424</v>
      </c>
      <c r="K692" t="s">
        <v>1131</v>
      </c>
      <c r="L692" t="s">
        <v>1132</v>
      </c>
      <c r="M692" t="s">
        <v>1028</v>
      </c>
      <c r="N692" t="s">
        <v>1133</v>
      </c>
      <c r="O692" t="s">
        <v>992</v>
      </c>
      <c r="P692" t="s">
        <v>1119</v>
      </c>
      <c r="Q692" t="b">
        <v>1</v>
      </c>
      <c r="R692" t="b">
        <v>0</v>
      </c>
      <c r="S692" t="s">
        <v>2473</v>
      </c>
      <c r="T692" t="s">
        <v>992</v>
      </c>
      <c r="U692" t="s">
        <v>1139</v>
      </c>
      <c r="V692" t="s">
        <v>995</v>
      </c>
      <c r="W692" t="s">
        <v>1034</v>
      </c>
      <c r="X692" t="s">
        <v>2474</v>
      </c>
    </row>
    <row r="693" spans="1:24" x14ac:dyDescent="0.25">
      <c r="A693" t="s">
        <v>42</v>
      </c>
      <c r="B693" t="s">
        <v>2509</v>
      </c>
      <c r="C693" t="s">
        <v>346</v>
      </c>
      <c r="E693" t="s">
        <v>2472</v>
      </c>
      <c r="F693">
        <v>95281</v>
      </c>
      <c r="G693" t="s">
        <v>1051</v>
      </c>
      <c r="H693" t="s">
        <v>1835</v>
      </c>
      <c r="I693" t="s">
        <v>1829</v>
      </c>
      <c r="J693" t="s">
        <v>1424</v>
      </c>
      <c r="K693" t="s">
        <v>1087</v>
      </c>
      <c r="L693" t="s">
        <v>1088</v>
      </c>
      <c r="M693" t="s">
        <v>1056</v>
      </c>
      <c r="N693" t="s">
        <v>1089</v>
      </c>
      <c r="O693" t="s">
        <v>992</v>
      </c>
      <c r="P693" t="s">
        <v>1058</v>
      </c>
      <c r="Q693" t="b">
        <v>1</v>
      </c>
      <c r="R693" t="b">
        <v>0</v>
      </c>
      <c r="S693" t="s">
        <v>2473</v>
      </c>
      <c r="T693" t="s">
        <v>992</v>
      </c>
      <c r="U693" t="s">
        <v>1139</v>
      </c>
      <c r="V693" t="s">
        <v>995</v>
      </c>
      <c r="W693" t="s">
        <v>1034</v>
      </c>
      <c r="X693" t="s">
        <v>2474</v>
      </c>
    </row>
    <row r="694" spans="1:24" x14ac:dyDescent="0.25">
      <c r="A694" t="s">
        <v>42</v>
      </c>
      <c r="B694" t="s">
        <v>2510</v>
      </c>
      <c r="C694" t="s">
        <v>346</v>
      </c>
      <c r="E694" t="s">
        <v>2476</v>
      </c>
      <c r="F694">
        <v>85750</v>
      </c>
      <c r="G694" t="s">
        <v>1051</v>
      </c>
      <c r="H694" t="s">
        <v>1843</v>
      </c>
      <c r="I694" t="s">
        <v>1829</v>
      </c>
      <c r="J694" t="s">
        <v>1424</v>
      </c>
      <c r="K694" t="s">
        <v>1116</v>
      </c>
      <c r="L694" t="s">
        <v>1117</v>
      </c>
      <c r="M694" t="s">
        <v>1056</v>
      </c>
      <c r="N694" t="s">
        <v>1118</v>
      </c>
      <c r="O694" t="s">
        <v>992</v>
      </c>
      <c r="P694" t="s">
        <v>1090</v>
      </c>
      <c r="Q694" t="b">
        <v>1</v>
      </c>
      <c r="R694" t="b">
        <v>0</v>
      </c>
      <c r="S694" t="s">
        <v>2473</v>
      </c>
      <c r="T694" t="s">
        <v>992</v>
      </c>
      <c r="U694" t="s">
        <v>1139</v>
      </c>
      <c r="V694" t="s">
        <v>995</v>
      </c>
      <c r="W694" t="s">
        <v>1034</v>
      </c>
      <c r="X694" t="s">
        <v>2474</v>
      </c>
    </row>
    <row r="695" spans="1:24" x14ac:dyDescent="0.25">
      <c r="A695" t="s">
        <v>42</v>
      </c>
      <c r="B695" t="s">
        <v>2511</v>
      </c>
      <c r="C695" t="s">
        <v>346</v>
      </c>
      <c r="E695" t="s">
        <v>2478</v>
      </c>
      <c r="F695">
        <v>78328</v>
      </c>
      <c r="G695" t="s">
        <v>1051</v>
      </c>
      <c r="H695" t="s">
        <v>1854</v>
      </c>
      <c r="I695" t="s">
        <v>1829</v>
      </c>
      <c r="J695" t="s">
        <v>1424</v>
      </c>
      <c r="K695" t="s">
        <v>1131</v>
      </c>
      <c r="L695" t="s">
        <v>1132</v>
      </c>
      <c r="M695" t="s">
        <v>1028</v>
      </c>
      <c r="N695" t="s">
        <v>1133</v>
      </c>
      <c r="O695" t="s">
        <v>992</v>
      </c>
      <c r="P695" t="s">
        <v>1119</v>
      </c>
      <c r="Q695" t="b">
        <v>1</v>
      </c>
      <c r="R695" t="b">
        <v>0</v>
      </c>
      <c r="S695" t="s">
        <v>2473</v>
      </c>
      <c r="T695" t="s">
        <v>992</v>
      </c>
      <c r="U695" t="s">
        <v>1139</v>
      </c>
      <c r="V695" t="s">
        <v>995</v>
      </c>
      <c r="W695" t="s">
        <v>1034</v>
      </c>
      <c r="X695" t="s">
        <v>2474</v>
      </c>
    </row>
    <row r="696" spans="1:24" x14ac:dyDescent="0.25">
      <c r="A696" t="s">
        <v>42</v>
      </c>
      <c r="B696" t="s">
        <v>2512</v>
      </c>
      <c r="C696" t="s">
        <v>348</v>
      </c>
      <c r="E696" t="s">
        <v>2472</v>
      </c>
      <c r="F696">
        <v>49848</v>
      </c>
      <c r="G696" t="s">
        <v>1051</v>
      </c>
      <c r="H696" t="s">
        <v>1898</v>
      </c>
      <c r="I696" t="s">
        <v>1892</v>
      </c>
      <c r="J696" t="s">
        <v>1424</v>
      </c>
      <c r="K696" t="s">
        <v>1087</v>
      </c>
      <c r="L696" t="s">
        <v>1088</v>
      </c>
      <c r="M696" t="s">
        <v>1056</v>
      </c>
      <c r="N696" t="s">
        <v>1089</v>
      </c>
      <c r="O696" t="s">
        <v>992</v>
      </c>
      <c r="P696" t="s">
        <v>1058</v>
      </c>
      <c r="Q696" t="b">
        <v>1</v>
      </c>
      <c r="R696" t="b">
        <v>0</v>
      </c>
      <c r="S696" t="s">
        <v>2473</v>
      </c>
      <c r="T696" t="s">
        <v>992</v>
      </c>
      <c r="U696" t="s">
        <v>1139</v>
      </c>
      <c r="V696" t="s">
        <v>995</v>
      </c>
      <c r="W696" t="s">
        <v>1034</v>
      </c>
      <c r="X696" t="s">
        <v>2474</v>
      </c>
    </row>
    <row r="697" spans="1:24" x14ac:dyDescent="0.25">
      <c r="A697" t="s">
        <v>42</v>
      </c>
      <c r="B697" t="s">
        <v>2513</v>
      </c>
      <c r="C697" t="s">
        <v>348</v>
      </c>
      <c r="E697" t="s">
        <v>2476</v>
      </c>
      <c r="F697">
        <v>45888</v>
      </c>
      <c r="G697" t="s">
        <v>1051</v>
      </c>
      <c r="H697" t="s">
        <v>1906</v>
      </c>
      <c r="I697" t="s">
        <v>1892</v>
      </c>
      <c r="J697" t="s">
        <v>1424</v>
      </c>
      <c r="K697" t="s">
        <v>1116</v>
      </c>
      <c r="L697" t="s">
        <v>1117</v>
      </c>
      <c r="M697" t="s">
        <v>1056</v>
      </c>
      <c r="N697" t="s">
        <v>1118</v>
      </c>
      <c r="O697" t="s">
        <v>992</v>
      </c>
      <c r="P697" t="s">
        <v>1090</v>
      </c>
      <c r="Q697" t="b">
        <v>1</v>
      </c>
      <c r="R697" t="b">
        <v>0</v>
      </c>
      <c r="S697" t="s">
        <v>2473</v>
      </c>
      <c r="T697" t="s">
        <v>992</v>
      </c>
      <c r="U697" t="s">
        <v>1139</v>
      </c>
      <c r="V697" t="s">
        <v>995</v>
      </c>
      <c r="W697" t="s">
        <v>1034</v>
      </c>
      <c r="X697" t="s">
        <v>2474</v>
      </c>
    </row>
    <row r="698" spans="1:24" x14ac:dyDescent="0.25">
      <c r="A698" t="s">
        <v>42</v>
      </c>
      <c r="B698" t="s">
        <v>2514</v>
      </c>
      <c r="C698" t="s">
        <v>348</v>
      </c>
      <c r="E698" t="s">
        <v>2478</v>
      </c>
      <c r="F698">
        <v>41549</v>
      </c>
      <c r="G698" t="s">
        <v>1051</v>
      </c>
      <c r="H698" t="s">
        <v>1917</v>
      </c>
      <c r="I698" t="s">
        <v>1892</v>
      </c>
      <c r="J698" t="s">
        <v>1424</v>
      </c>
      <c r="K698" t="s">
        <v>1131</v>
      </c>
      <c r="L698" t="s">
        <v>1132</v>
      </c>
      <c r="M698" t="s">
        <v>1028</v>
      </c>
      <c r="N698" t="s">
        <v>1133</v>
      </c>
      <c r="O698" t="s">
        <v>992</v>
      </c>
      <c r="P698" t="s">
        <v>1119</v>
      </c>
      <c r="Q698" t="b">
        <v>1</v>
      </c>
      <c r="R698" t="b">
        <v>0</v>
      </c>
      <c r="S698" t="s">
        <v>2473</v>
      </c>
      <c r="T698" t="s">
        <v>992</v>
      </c>
      <c r="U698" t="s">
        <v>1139</v>
      </c>
      <c r="V698" t="s">
        <v>995</v>
      </c>
      <c r="W698" t="s">
        <v>1034</v>
      </c>
      <c r="X698" t="s">
        <v>2474</v>
      </c>
    </row>
    <row r="699" spans="1:24" x14ac:dyDescent="0.25">
      <c r="A699" t="s">
        <v>42</v>
      </c>
      <c r="B699" t="s">
        <v>2515</v>
      </c>
      <c r="C699" t="s">
        <v>351</v>
      </c>
      <c r="E699" t="s">
        <v>2472</v>
      </c>
      <c r="F699">
        <v>73812</v>
      </c>
      <c r="G699" t="s">
        <v>1051</v>
      </c>
      <c r="H699" t="s">
        <v>1934</v>
      </c>
      <c r="I699" t="s">
        <v>1925</v>
      </c>
      <c r="J699" t="s">
        <v>1424</v>
      </c>
      <c r="K699" t="s">
        <v>1087</v>
      </c>
      <c r="L699" t="s">
        <v>1088</v>
      </c>
      <c r="M699" t="s">
        <v>1056</v>
      </c>
      <c r="N699" t="s">
        <v>1089</v>
      </c>
      <c r="O699" t="s">
        <v>992</v>
      </c>
      <c r="P699" t="s">
        <v>1058</v>
      </c>
      <c r="Q699" t="b">
        <v>1</v>
      </c>
      <c r="R699" t="b">
        <v>0</v>
      </c>
      <c r="S699" t="s">
        <v>2473</v>
      </c>
      <c r="T699" t="s">
        <v>992</v>
      </c>
      <c r="U699" t="s">
        <v>1139</v>
      </c>
      <c r="V699" t="s">
        <v>995</v>
      </c>
      <c r="W699" t="s">
        <v>1034</v>
      </c>
      <c r="X699" t="s">
        <v>2474</v>
      </c>
    </row>
    <row r="700" spans="1:24" x14ac:dyDescent="0.25">
      <c r="A700" t="s">
        <v>42</v>
      </c>
      <c r="B700" t="s">
        <v>2516</v>
      </c>
      <c r="C700" t="s">
        <v>351</v>
      </c>
      <c r="E700" t="s">
        <v>2476</v>
      </c>
      <c r="F700">
        <v>83276</v>
      </c>
      <c r="G700" t="s">
        <v>1051</v>
      </c>
      <c r="H700" t="s">
        <v>1946</v>
      </c>
      <c r="I700" t="s">
        <v>1925</v>
      </c>
      <c r="J700" t="s">
        <v>1424</v>
      </c>
      <c r="K700" t="s">
        <v>1116</v>
      </c>
      <c r="L700" t="s">
        <v>1117</v>
      </c>
      <c r="M700" t="s">
        <v>1056</v>
      </c>
      <c r="N700" t="s">
        <v>1118</v>
      </c>
      <c r="O700" t="s">
        <v>992</v>
      </c>
      <c r="P700" t="s">
        <v>1090</v>
      </c>
      <c r="Q700" t="b">
        <v>1</v>
      </c>
      <c r="R700" t="b">
        <v>0</v>
      </c>
      <c r="S700" t="s">
        <v>2473</v>
      </c>
      <c r="T700" t="s">
        <v>992</v>
      </c>
      <c r="U700" t="s">
        <v>1139</v>
      </c>
      <c r="V700" t="s">
        <v>995</v>
      </c>
      <c r="W700" t="s">
        <v>1034</v>
      </c>
      <c r="X700" t="s">
        <v>2474</v>
      </c>
    </row>
    <row r="701" spans="1:24" x14ac:dyDescent="0.25">
      <c r="A701" t="s">
        <v>42</v>
      </c>
      <c r="B701" t="s">
        <v>2517</v>
      </c>
      <c r="C701" t="s">
        <v>351</v>
      </c>
      <c r="E701" t="s">
        <v>2478</v>
      </c>
      <c r="F701">
        <v>93568</v>
      </c>
      <c r="G701" t="s">
        <v>1051</v>
      </c>
      <c r="H701" t="s">
        <v>1958</v>
      </c>
      <c r="I701" t="s">
        <v>1925</v>
      </c>
      <c r="J701" t="s">
        <v>1424</v>
      </c>
      <c r="K701" t="s">
        <v>1131</v>
      </c>
      <c r="L701" t="s">
        <v>1132</v>
      </c>
      <c r="M701" t="s">
        <v>1028</v>
      </c>
      <c r="N701" t="s">
        <v>1133</v>
      </c>
      <c r="O701" t="s">
        <v>992</v>
      </c>
      <c r="P701" t="s">
        <v>1119</v>
      </c>
      <c r="Q701" t="b">
        <v>1</v>
      </c>
      <c r="R701" t="b">
        <v>0</v>
      </c>
      <c r="S701" t="s">
        <v>2473</v>
      </c>
      <c r="T701" t="s">
        <v>992</v>
      </c>
      <c r="U701" t="s">
        <v>1139</v>
      </c>
      <c r="V701" t="s">
        <v>995</v>
      </c>
      <c r="W701" t="s">
        <v>1034</v>
      </c>
      <c r="X701" t="s">
        <v>2474</v>
      </c>
    </row>
    <row r="702" spans="1:24" x14ac:dyDescent="0.25">
      <c r="A702" t="s">
        <v>42</v>
      </c>
      <c r="B702" t="s">
        <v>2518</v>
      </c>
      <c r="C702" t="s">
        <v>352</v>
      </c>
      <c r="E702" t="s">
        <v>2472</v>
      </c>
      <c r="F702">
        <v>-214</v>
      </c>
      <c r="G702" t="s">
        <v>1051</v>
      </c>
      <c r="H702" t="s">
        <v>1974</v>
      </c>
      <c r="I702" t="s">
        <v>1968</v>
      </c>
      <c r="J702" t="s">
        <v>1424</v>
      </c>
      <c r="K702" t="s">
        <v>1087</v>
      </c>
      <c r="L702" t="s">
        <v>1088</v>
      </c>
      <c r="M702" t="s">
        <v>1056</v>
      </c>
      <c r="N702" t="s">
        <v>1089</v>
      </c>
      <c r="O702" t="s">
        <v>992</v>
      </c>
      <c r="P702" t="s">
        <v>1058</v>
      </c>
      <c r="Q702" t="b">
        <v>1</v>
      </c>
      <c r="R702" t="b">
        <v>0</v>
      </c>
      <c r="S702" t="s">
        <v>2473</v>
      </c>
      <c r="T702" t="s">
        <v>992</v>
      </c>
      <c r="U702" t="s">
        <v>1139</v>
      </c>
      <c r="V702" t="s">
        <v>995</v>
      </c>
      <c r="W702" t="s">
        <v>1034</v>
      </c>
      <c r="X702" t="s">
        <v>2474</v>
      </c>
    </row>
    <row r="703" spans="1:24" x14ac:dyDescent="0.25">
      <c r="A703" t="s">
        <v>42</v>
      </c>
      <c r="B703" t="s">
        <v>2519</v>
      </c>
      <c r="C703" t="s">
        <v>352</v>
      </c>
      <c r="E703" t="s">
        <v>2476</v>
      </c>
      <c r="F703">
        <v>-19154</v>
      </c>
      <c r="G703" t="s">
        <v>1051</v>
      </c>
      <c r="H703" t="s">
        <v>1982</v>
      </c>
      <c r="I703" t="s">
        <v>1968</v>
      </c>
      <c r="J703" t="s">
        <v>1424</v>
      </c>
      <c r="K703" t="s">
        <v>1116</v>
      </c>
      <c r="L703" t="s">
        <v>1117</v>
      </c>
      <c r="M703" t="s">
        <v>1056</v>
      </c>
      <c r="N703" t="s">
        <v>1118</v>
      </c>
      <c r="O703" t="s">
        <v>992</v>
      </c>
      <c r="P703" t="s">
        <v>1090</v>
      </c>
      <c r="Q703" t="b">
        <v>1</v>
      </c>
      <c r="R703" t="b">
        <v>0</v>
      </c>
      <c r="S703" t="s">
        <v>2473</v>
      </c>
      <c r="T703" t="s">
        <v>992</v>
      </c>
      <c r="U703" t="s">
        <v>1139</v>
      </c>
      <c r="V703" t="s">
        <v>995</v>
      </c>
      <c r="W703" t="s">
        <v>1034</v>
      </c>
      <c r="X703" t="s">
        <v>2474</v>
      </c>
    </row>
    <row r="704" spans="1:24" x14ac:dyDescent="0.25">
      <c r="A704" t="s">
        <v>42</v>
      </c>
      <c r="B704" t="s">
        <v>2520</v>
      </c>
      <c r="C704" t="s">
        <v>352</v>
      </c>
      <c r="E704" t="s">
        <v>2478</v>
      </c>
      <c r="F704">
        <v>-14264</v>
      </c>
      <c r="G704" t="s">
        <v>1051</v>
      </c>
      <c r="H704" t="s">
        <v>1990</v>
      </c>
      <c r="I704" t="s">
        <v>1968</v>
      </c>
      <c r="J704" t="s">
        <v>1424</v>
      </c>
      <c r="K704" t="s">
        <v>1131</v>
      </c>
      <c r="L704" t="s">
        <v>1132</v>
      </c>
      <c r="M704" t="s">
        <v>1028</v>
      </c>
      <c r="N704" t="s">
        <v>1133</v>
      </c>
      <c r="O704" t="s">
        <v>992</v>
      </c>
      <c r="P704" t="s">
        <v>1119</v>
      </c>
      <c r="Q704" t="b">
        <v>1</v>
      </c>
      <c r="R704" t="b">
        <v>0</v>
      </c>
      <c r="S704" t="s">
        <v>2473</v>
      </c>
      <c r="T704" t="s">
        <v>992</v>
      </c>
      <c r="U704" t="s">
        <v>1139</v>
      </c>
      <c r="V704" t="s">
        <v>995</v>
      </c>
      <c r="W704" t="s">
        <v>1034</v>
      </c>
      <c r="X704" t="s">
        <v>2474</v>
      </c>
    </row>
    <row r="705" spans="1:24" x14ac:dyDescent="0.25">
      <c r="A705" t="s">
        <v>42</v>
      </c>
      <c r="B705" t="s">
        <v>2521</v>
      </c>
      <c r="C705" t="s">
        <v>353</v>
      </c>
      <c r="E705" t="s">
        <v>2472</v>
      </c>
      <c r="F705">
        <v>0</v>
      </c>
      <c r="G705" t="s">
        <v>1051</v>
      </c>
      <c r="H705" t="s">
        <v>1996</v>
      </c>
      <c r="I705" t="s">
        <v>1997</v>
      </c>
      <c r="J705" t="s">
        <v>1424</v>
      </c>
      <c r="K705" t="s">
        <v>992</v>
      </c>
      <c r="L705" t="s">
        <v>992</v>
      </c>
      <c r="M705" t="s">
        <v>992</v>
      </c>
      <c r="N705" t="s">
        <v>992</v>
      </c>
      <c r="O705" t="s">
        <v>992</v>
      </c>
      <c r="P705" t="s">
        <v>992</v>
      </c>
      <c r="Q705" t="b">
        <v>1</v>
      </c>
      <c r="R705" t="b">
        <v>0</v>
      </c>
      <c r="S705" t="s">
        <v>2473</v>
      </c>
      <c r="T705" t="s">
        <v>992</v>
      </c>
      <c r="U705" t="s">
        <v>1139</v>
      </c>
      <c r="V705" t="s">
        <v>995</v>
      </c>
      <c r="W705" t="s">
        <v>1034</v>
      </c>
      <c r="X705" t="s">
        <v>2474</v>
      </c>
    </row>
    <row r="706" spans="1:24" x14ac:dyDescent="0.25">
      <c r="A706" t="s">
        <v>42</v>
      </c>
      <c r="B706" t="s">
        <v>2522</v>
      </c>
      <c r="C706" t="s">
        <v>353</v>
      </c>
      <c r="E706" t="s">
        <v>2476</v>
      </c>
      <c r="F706">
        <v>0</v>
      </c>
      <c r="G706" t="s">
        <v>1051</v>
      </c>
      <c r="H706" t="s">
        <v>1996</v>
      </c>
      <c r="I706" t="s">
        <v>1997</v>
      </c>
      <c r="J706" t="s">
        <v>1424</v>
      </c>
      <c r="K706" t="s">
        <v>992</v>
      </c>
      <c r="L706" t="s">
        <v>992</v>
      </c>
      <c r="M706" t="s">
        <v>992</v>
      </c>
      <c r="N706" t="s">
        <v>992</v>
      </c>
      <c r="O706" t="s">
        <v>992</v>
      </c>
      <c r="P706" t="s">
        <v>992</v>
      </c>
      <c r="Q706" t="b">
        <v>1</v>
      </c>
      <c r="R706" t="b">
        <v>0</v>
      </c>
      <c r="S706" t="s">
        <v>2473</v>
      </c>
      <c r="T706" t="s">
        <v>992</v>
      </c>
      <c r="U706" t="s">
        <v>1139</v>
      </c>
      <c r="V706" t="s">
        <v>995</v>
      </c>
      <c r="W706" t="s">
        <v>1034</v>
      </c>
      <c r="X706" t="s">
        <v>2474</v>
      </c>
    </row>
    <row r="707" spans="1:24" x14ac:dyDescent="0.25">
      <c r="A707" t="s">
        <v>42</v>
      </c>
      <c r="B707" t="s">
        <v>2523</v>
      </c>
      <c r="C707" t="s">
        <v>353</v>
      </c>
      <c r="E707" t="s">
        <v>2478</v>
      </c>
      <c r="F707">
        <v>0</v>
      </c>
      <c r="G707" t="s">
        <v>1051</v>
      </c>
      <c r="H707" t="s">
        <v>1996</v>
      </c>
      <c r="I707" t="s">
        <v>1997</v>
      </c>
      <c r="J707" t="s">
        <v>1424</v>
      </c>
      <c r="K707" t="s">
        <v>992</v>
      </c>
      <c r="L707" t="s">
        <v>992</v>
      </c>
      <c r="M707" t="s">
        <v>992</v>
      </c>
      <c r="N707" t="s">
        <v>992</v>
      </c>
      <c r="O707" t="s">
        <v>992</v>
      </c>
      <c r="P707" t="s">
        <v>992</v>
      </c>
      <c r="Q707" t="b">
        <v>1</v>
      </c>
      <c r="R707" t="b">
        <v>0</v>
      </c>
      <c r="S707" t="s">
        <v>2473</v>
      </c>
      <c r="T707" t="s">
        <v>992</v>
      </c>
      <c r="U707" t="s">
        <v>1139</v>
      </c>
      <c r="V707" t="s">
        <v>995</v>
      </c>
      <c r="W707" t="s">
        <v>1034</v>
      </c>
      <c r="X707" t="s">
        <v>2474</v>
      </c>
    </row>
    <row r="708" spans="1:24" x14ac:dyDescent="0.25">
      <c r="A708" t="s">
        <v>42</v>
      </c>
      <c r="B708" t="s">
        <v>2524</v>
      </c>
      <c r="C708" t="s">
        <v>354</v>
      </c>
      <c r="E708" t="s">
        <v>2472</v>
      </c>
      <c r="F708">
        <v>-11452</v>
      </c>
      <c r="G708" t="s">
        <v>1051</v>
      </c>
      <c r="H708" t="s">
        <v>2033</v>
      </c>
      <c r="I708" t="s">
        <v>2027</v>
      </c>
      <c r="J708" t="s">
        <v>1424</v>
      </c>
      <c r="K708" t="s">
        <v>1087</v>
      </c>
      <c r="L708" t="s">
        <v>1088</v>
      </c>
      <c r="M708" t="s">
        <v>1056</v>
      </c>
      <c r="N708" t="s">
        <v>1089</v>
      </c>
      <c r="O708" t="s">
        <v>992</v>
      </c>
      <c r="P708" t="s">
        <v>1058</v>
      </c>
      <c r="Q708" t="b">
        <v>1</v>
      </c>
      <c r="R708" t="b">
        <v>0</v>
      </c>
      <c r="S708" t="s">
        <v>2473</v>
      </c>
      <c r="T708" t="s">
        <v>992</v>
      </c>
      <c r="U708" t="s">
        <v>1139</v>
      </c>
      <c r="V708" t="s">
        <v>995</v>
      </c>
      <c r="W708" t="s">
        <v>1034</v>
      </c>
      <c r="X708" t="s">
        <v>2474</v>
      </c>
    </row>
    <row r="709" spans="1:24" x14ac:dyDescent="0.25">
      <c r="A709" t="s">
        <v>42</v>
      </c>
      <c r="B709" t="s">
        <v>2525</v>
      </c>
      <c r="C709" t="s">
        <v>354</v>
      </c>
      <c r="E709" t="s">
        <v>2476</v>
      </c>
      <c r="F709">
        <v>-7172</v>
      </c>
      <c r="G709" t="s">
        <v>1051</v>
      </c>
      <c r="H709" t="s">
        <v>2041</v>
      </c>
      <c r="I709" t="s">
        <v>2027</v>
      </c>
      <c r="J709" t="s">
        <v>1424</v>
      </c>
      <c r="K709" t="s">
        <v>1116</v>
      </c>
      <c r="L709" t="s">
        <v>1117</v>
      </c>
      <c r="M709" t="s">
        <v>1056</v>
      </c>
      <c r="N709" t="s">
        <v>1118</v>
      </c>
      <c r="O709" t="s">
        <v>992</v>
      </c>
      <c r="P709" t="s">
        <v>1090</v>
      </c>
      <c r="Q709" t="b">
        <v>1</v>
      </c>
      <c r="R709" t="b">
        <v>0</v>
      </c>
      <c r="S709" t="s">
        <v>2473</v>
      </c>
      <c r="T709" t="s">
        <v>992</v>
      </c>
      <c r="U709" t="s">
        <v>1139</v>
      </c>
      <c r="V709" t="s">
        <v>995</v>
      </c>
      <c r="W709" t="s">
        <v>1034</v>
      </c>
      <c r="X709" t="s">
        <v>2474</v>
      </c>
    </row>
    <row r="710" spans="1:24" x14ac:dyDescent="0.25">
      <c r="A710" t="s">
        <v>42</v>
      </c>
      <c r="B710" t="s">
        <v>2526</v>
      </c>
      <c r="C710" t="s">
        <v>354</v>
      </c>
      <c r="E710" t="s">
        <v>2478</v>
      </c>
      <c r="F710">
        <v>-5571</v>
      </c>
      <c r="G710" t="s">
        <v>1051</v>
      </c>
      <c r="H710" t="s">
        <v>2049</v>
      </c>
      <c r="I710" t="s">
        <v>2027</v>
      </c>
      <c r="J710" t="s">
        <v>1424</v>
      </c>
      <c r="K710" t="s">
        <v>1131</v>
      </c>
      <c r="L710" t="s">
        <v>1132</v>
      </c>
      <c r="M710" t="s">
        <v>1028</v>
      </c>
      <c r="N710" t="s">
        <v>1133</v>
      </c>
      <c r="O710" t="s">
        <v>992</v>
      </c>
      <c r="P710" t="s">
        <v>1119</v>
      </c>
      <c r="Q710" t="b">
        <v>1</v>
      </c>
      <c r="R710" t="b">
        <v>0</v>
      </c>
      <c r="S710" t="s">
        <v>2473</v>
      </c>
      <c r="T710" t="s">
        <v>992</v>
      </c>
      <c r="U710" t="s">
        <v>1139</v>
      </c>
      <c r="V710" t="s">
        <v>995</v>
      </c>
      <c r="W710" t="s">
        <v>1034</v>
      </c>
      <c r="X710" t="s">
        <v>2474</v>
      </c>
    </row>
    <row r="711" spans="1:24" x14ac:dyDescent="0.25">
      <c r="A711" t="s">
        <v>42</v>
      </c>
      <c r="B711" t="s">
        <v>2527</v>
      </c>
      <c r="C711" t="s">
        <v>356</v>
      </c>
      <c r="E711" t="s">
        <v>2472</v>
      </c>
      <c r="F711">
        <v>0</v>
      </c>
      <c r="G711" t="s">
        <v>1051</v>
      </c>
      <c r="H711" t="s">
        <v>2528</v>
      </c>
      <c r="I711" t="s">
        <v>2529</v>
      </c>
      <c r="J711" t="s">
        <v>1424</v>
      </c>
      <c r="K711" t="s">
        <v>992</v>
      </c>
      <c r="L711" t="s">
        <v>992</v>
      </c>
      <c r="M711" t="s">
        <v>992</v>
      </c>
      <c r="N711" t="s">
        <v>992</v>
      </c>
      <c r="O711" t="s">
        <v>992</v>
      </c>
      <c r="P711" t="s">
        <v>992</v>
      </c>
      <c r="Q711" t="b">
        <v>1</v>
      </c>
      <c r="R711" t="b">
        <v>0</v>
      </c>
      <c r="S711" t="s">
        <v>2473</v>
      </c>
      <c r="T711" t="s">
        <v>992</v>
      </c>
      <c r="U711" t="s">
        <v>1139</v>
      </c>
      <c r="V711" t="s">
        <v>995</v>
      </c>
      <c r="W711" t="s">
        <v>1034</v>
      </c>
      <c r="X711" t="s">
        <v>2474</v>
      </c>
    </row>
    <row r="712" spans="1:24" x14ac:dyDescent="0.25">
      <c r="A712" t="s">
        <v>42</v>
      </c>
      <c r="B712" t="s">
        <v>2530</v>
      </c>
      <c r="C712" t="s">
        <v>356</v>
      </c>
      <c r="E712" t="s">
        <v>2476</v>
      </c>
      <c r="F712">
        <v>0</v>
      </c>
      <c r="G712" t="s">
        <v>1051</v>
      </c>
      <c r="H712" t="s">
        <v>2528</v>
      </c>
      <c r="I712" t="s">
        <v>2529</v>
      </c>
      <c r="J712" t="s">
        <v>1424</v>
      </c>
      <c r="K712" t="s">
        <v>992</v>
      </c>
      <c r="L712" t="s">
        <v>992</v>
      </c>
      <c r="M712" t="s">
        <v>992</v>
      </c>
      <c r="N712" t="s">
        <v>992</v>
      </c>
      <c r="O712" t="s">
        <v>992</v>
      </c>
      <c r="P712" t="s">
        <v>992</v>
      </c>
      <c r="Q712" t="b">
        <v>1</v>
      </c>
      <c r="R712" t="b">
        <v>0</v>
      </c>
      <c r="S712" t="s">
        <v>2473</v>
      </c>
      <c r="T712" t="s">
        <v>992</v>
      </c>
      <c r="U712" t="s">
        <v>1139</v>
      </c>
      <c r="V712" t="s">
        <v>995</v>
      </c>
      <c r="W712" t="s">
        <v>1034</v>
      </c>
      <c r="X712" t="s">
        <v>2474</v>
      </c>
    </row>
    <row r="713" spans="1:24" x14ac:dyDescent="0.25">
      <c r="A713" t="s">
        <v>42</v>
      </c>
      <c r="B713" t="s">
        <v>2531</v>
      </c>
      <c r="C713" t="s">
        <v>356</v>
      </c>
      <c r="E713" t="s">
        <v>2478</v>
      </c>
      <c r="F713">
        <v>0</v>
      </c>
      <c r="G713" t="s">
        <v>1051</v>
      </c>
      <c r="H713" t="s">
        <v>2528</v>
      </c>
      <c r="I713" t="s">
        <v>2529</v>
      </c>
      <c r="J713" t="s">
        <v>1424</v>
      </c>
      <c r="K713" t="s">
        <v>992</v>
      </c>
      <c r="L713" t="s">
        <v>992</v>
      </c>
      <c r="M713" t="s">
        <v>992</v>
      </c>
      <c r="N713" t="s">
        <v>992</v>
      </c>
      <c r="O713" t="s">
        <v>992</v>
      </c>
      <c r="P713" t="s">
        <v>992</v>
      </c>
      <c r="Q713" t="b">
        <v>1</v>
      </c>
      <c r="R713" t="b">
        <v>0</v>
      </c>
      <c r="S713" t="s">
        <v>2473</v>
      </c>
      <c r="T713" t="s">
        <v>992</v>
      </c>
      <c r="U713" t="s">
        <v>1139</v>
      </c>
      <c r="V713" t="s">
        <v>995</v>
      </c>
      <c r="W713" t="s">
        <v>1034</v>
      </c>
      <c r="X713" t="s">
        <v>2474</v>
      </c>
    </row>
    <row r="714" spans="1:24" x14ac:dyDescent="0.25">
      <c r="A714" t="s">
        <v>42</v>
      </c>
      <c r="B714" t="s">
        <v>2468</v>
      </c>
      <c r="C714" t="s">
        <v>282</v>
      </c>
      <c r="E714" t="s">
        <v>1129</v>
      </c>
      <c r="F714">
        <v>29578</v>
      </c>
      <c r="G714" t="s">
        <v>2418</v>
      </c>
      <c r="H714" t="s">
        <v>2469</v>
      </c>
      <c r="J714" t="s">
        <v>993</v>
      </c>
      <c r="K714" t="s">
        <v>1131</v>
      </c>
      <c r="L714" t="s">
        <v>992</v>
      </c>
      <c r="Q714" t="b">
        <v>1</v>
      </c>
      <c r="R714" t="b">
        <v>0</v>
      </c>
      <c r="T714" t="s">
        <v>992</v>
      </c>
      <c r="U714" t="s">
        <v>1060</v>
      </c>
      <c r="V714" t="s">
        <v>995</v>
      </c>
      <c r="W714" t="s">
        <v>1034</v>
      </c>
      <c r="X714" t="s">
        <v>2470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