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0" calcMode="auto" fullCalcOnLoad="1" forceFullCalc="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Cost of Goods and Services Sold (derived Q4). Cost of revenue normalized from EDGAR cost concepts. Derived from Cost of Goods and Services Sold less 1Q24, 2Q24, 3Q24. Filing says: 10-K filed 2024-11-01: "to customers through its retail and online stores and its direct sales force. The Company also employs a variety of indirect distribution..." Grouped from Cost of Goods and Services Sold (derived Q4). Cost of revenue normalized from EDGAR cost concepts. Derived from Cost of Goods and Services Sold less 1Q25, 2Q25, 3Q25. Filing says: 10-K filed 2025-10-31: "hrough its various service platforms. The Company also employs a variety of indirect distribution channels, such as third-party cellular..."</t>
        </r>
      </text>
    </comment>
    <comment ref="F29" authorId="0">
      <text>
        <r>
          <rPr>
            <b/>
          </rPr>
          <t xml:space="preserve">EDGAR Mapper:
</t>
        </r>
        <r>
          <t xml:space="preserve">EDGAR: 10-Q, filed 2023-02-03
Period: 1Q23 (ended 2022-12-31)
Value: -66822 mm
From: Cost of Goods and Services Sold
Confidence: high
Note: Cost of revenue normalized from EDGAR cost concepts.</t>
        </r>
      </text>
    </comment>
    <comment ref="G29" authorId="0">
      <text>
        <r>
          <rPr>
            <b/>
          </rPr>
          <t xml:space="preserve">EDGAR Mapper:
</t>
        </r>
        <r>
          <t xml:space="preserve">EDGAR: 10-Q, filed 2023-05-05
Period: 2Q23 (ended 2023-04-01)
Value: -52860 mm
From: Cost of Goods and Services Sold
Confidence: high
Note: Cost of revenue normalized from EDGAR cost concepts.</t>
        </r>
      </text>
    </comment>
    <comment ref="H29" authorId="0">
      <text>
        <r>
          <rPr>
            <b/>
          </rPr>
          <t xml:space="preserve">EDGAR Mapper:
</t>
        </r>
        <r>
          <t xml:space="preserve">EDGAR: 10-Q, filed 2023-08-04
Period: 3Q23 (ended 2023-07-01)
Value: -45384 mm
From: Cost of Goods and Services Sold
Confidence: high
Note: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10-Q, filed 2024-02-02
Period: 1Q24 (ended 2023-12-30)
Value: -64720 mm
From: Cost of Goods and Services Sold
Confidence: high
Note: Cost of revenue normalized from EDGAR cost concepts.</t>
        </r>
      </text>
    </comment>
    <comment ref="L29" authorId="0">
      <text>
        <r>
          <rPr>
            <b/>
          </rPr>
          <t xml:space="preserve">EDGAR Mapper:
</t>
        </r>
        <r>
          <t xml:space="preserve">EDGAR: 10-Q, filed 2024-05-03
Period: 2Q24 (ended 2024-03-30)
Value: -48482 mm
From: Cost of Goods and Services Sold
Confidence: high
Note: Cost of revenue normalized from EDGAR cost concepts.</t>
        </r>
      </text>
    </comment>
    <comment ref="M29" authorId="0">
      <text>
        <r>
          <rPr>
            <b/>
          </rPr>
          <t xml:space="preserve">EDGAR Mapper:
</t>
        </r>
        <r>
          <t xml:space="preserve">EDGAR: 10-Q, filed 2024-08-02
Period: 3Q24 (ended 2024-06-29)
Value: -46099 mm
From: Cost of Goods and Services Sold
Confidence: high
Note: Cost of revenue normalized from EDGAR cost concepts.</t>
        </r>
      </text>
    </comment>
    <comment ref="N29" authorId="0">
      <text>
        <r>
          <rPr>
            <b/>
          </rPr>
          <t xml:space="preserve">EDGAR Mapper:
</t>
        </r>
        <r>
          <t xml:space="preserve">EDGAR: 10-K, filed 2024-11-01
Period: 4Q24 (ended 2024-09-28)
Value: -51051 mm
From: Cost of Goods and Services Sold (derived Q4)
Confidence: medium
Note: Grouped from Cost of Goods and Services Sold (derived Q4). Cost of revenue normalized from EDGAR cost concepts. Derived from Cost of Goods and Services Sold less 1Q24, 2Q24, 3Q24. Filing says: 10-K filed 2024-11-01: "to customers through...</t>
        </r>
      </text>
    </comment>
    <comment ref="P29" authorId="0">
      <text>
        <r>
          <rPr>
            <b/>
          </rPr>
          <t xml:space="preserve">EDGAR Mapper:
</t>
        </r>
        <r>
          <t>Replaced a stale model bridge formula with the EDGAR-supported value.</t>
        </r>
      </text>
    </comment>
    <comment ref="Q29" authorId="0">
      <text>
        <r>
          <rPr>
            <b/>
          </rPr>
          <t xml:space="preserve">EDGAR Mapper:
</t>
        </r>
        <r>
          <t>Replaced a stale model bridge formula with the EDGAR-supported value.</t>
        </r>
      </text>
    </comment>
    <comment ref="R29" authorId="0">
      <text>
        <r>
          <rPr>
            <b/>
          </rPr>
          <t xml:space="preserve">EDGAR Mapper:
</t>
        </r>
        <r>
          <t>Replaced a stale model bridge formula with the EDGAR-supported value.</t>
        </r>
      </text>
    </comment>
    <comment ref="S29" authorId="0">
      <text>
        <r>
          <rPr>
            <b/>
          </rPr>
          <t xml:space="preserve">EDGAR Mapper:
</t>
        </r>
        <r>
          <t xml:space="preserve">EDGAR: 10-K, filed 2025-10-31
Period: 4Q25 (ended 2025-09-27)
Value: -54125 mm
From: Cost of Goods and Services Sold (derived Q4)
Confidence: medium
Note: Grouped from Cost of Goods and Services Sold (derived Q4). Cost of revenue normalized from EDGAR cost concepts. Derived from Cost of Goods and Services Sold less 1Q25, 2Q25, 3Q25. Filing says: 10-K filed 2025-10-31: "hrough its various...</t>
        </r>
      </text>
    </comment>
    <comment ref="U29" authorId="0">
      <text>
        <r>
          <rPr>
            <b/>
          </rPr>
          <t xml:space="preserve">EDGAR Mapper:
</t>
        </r>
        <r>
          <t>Replaced a stale model bridge formula with the EDGAR-supported value.</t>
        </r>
      </text>
    </comment>
    <comment ref="V29" authorId="0">
      <text>
        <r>
          <rPr>
            <b/>
          </rPr>
          <t xml:space="preserve">EDGAR Mapper:
</t>
        </r>
        <r>
          <t>Replaced a stale model bridge formula with the EDGAR-supported value.</t>
        </r>
      </text>
    </comment>
    <comment ref="C32" authorId="0">
      <text>
        <r>
          <rPr>
            <b/>
          </rPr>
          <t xml:space="preserve">EDGAR Mapper:
</t>
        </r>
        <r>
          <t>Grouped from Selling, General and Administrative Expense. Mapped to EDGAR selling, general, and administrative expense. Grouped from Selling, General and Administrative Expense (derived Q4). Mapped to EDGAR selling, general, and administrative expense. Derived from Selling, General and Administrative Expense less 1Q24, 2Q24, 3Q24. Filing says: 10-K filed 2024-11-01: "creases in headcount-related expenses. Selling, General and Administrative Selling, general and administrative expense increased $1.2..." Grouped from Selling, General and Administrative Expense (derived Q4). Mapped to EDGAR selling, general, and administrative expense. Derived from Selling, General and Administrative Expense less 1Q25, 2Q25, 3Q25. Filing says: 10-K filed 2025-10-31: "in selling, general and administrative expense during 2025 compared to 2024 was primarily driven by increases in headcount-related expenses..."</t>
        </r>
      </text>
    </comment>
    <comment ref="F32" authorId="0">
      <text>
        <r>
          <rPr>
            <b/>
          </rPr>
          <t xml:space="preserve">EDGAR Mapper:
</t>
        </r>
        <r>
          <t xml:space="preserve">EDGAR: 10-Q, filed 2023-02-03
Period: 1Q23 (ended 2022-12-31)
Value: -6607 mm
From: Selling, General and Administrative Expense
Confidence: high
Note: Grouped from Selling, General and Administrative Expense. Mapped to EDGAR selling, general, and administrative expense.</t>
        </r>
      </text>
    </comment>
    <comment ref="G32" authorId="0">
      <text>
        <r>
          <rPr>
            <b/>
          </rPr>
          <t xml:space="preserve">EDGAR Mapper:
</t>
        </r>
        <r>
          <t xml:space="preserve">EDGAR: 10-Q, filed 2023-05-05
Period: 2Q23 (ended 2023-04-01)
Value: -6201 mm
From: Selling, General and Administrative Expense
Confidence: high
Note: Grouped from Selling, General and Administrative Expense. Mapped to EDGAR selling, general, and administrative expense.</t>
        </r>
      </text>
    </comment>
    <comment ref="H32" authorId="0">
      <text>
        <r>
          <rPr>
            <b/>
          </rPr>
          <t xml:space="preserve">EDGAR Mapper:
</t>
        </r>
        <r>
          <t xml:space="preserve">EDGAR: 10-Q, filed 2023-08-04
Period: 3Q23 (ended 2023-07-01)
Value: -5973 mm
From: Selling, General and Administrative Expense
Confidence: high
Note: Grouped from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10-Q, filed 2024-02-02
Period: 1Q24 (ended 2023-12-30)
Value: -6786 mm
From: Selling, General and Administrative Expense
Confidence: high
Note: Grouped from Selling, General and Administrative Expense. Mapped to EDGAR selling, general, and administrative expense.</t>
        </r>
      </text>
    </comment>
    <comment ref="L32" authorId="0">
      <text>
        <r>
          <rPr>
            <b/>
          </rPr>
          <t xml:space="preserve">EDGAR Mapper:
</t>
        </r>
        <r>
          <t xml:space="preserve">EDGAR: 10-Q, filed 2024-05-03
Period: 2Q24 (ended 2024-03-30)
Value: -6468 mm
From: Selling, General and Administrative Expense
Confidence: high
Note: Grouped from Selling, General and Administrative Expense. Mapped to EDGAR selling, general, and administrative expense.</t>
        </r>
      </text>
    </comment>
    <comment ref="M32" authorId="0">
      <text>
        <r>
          <rPr>
            <b/>
          </rPr>
          <t xml:space="preserve">EDGAR Mapper:
</t>
        </r>
        <r>
          <t xml:space="preserve">EDGAR: 10-Q, filed 2024-08-02
Period: 3Q24 (ended 2024-06-29)
Value: -6320 mm
From: Selling, General and Administrative Expense
Confidence: high
Note: Grouped from Selling, General and Administrative Expense. Mapped to EDGAR selling, general, and administrative expense.</t>
        </r>
      </text>
    </comment>
    <comment ref="N32" authorId="0">
      <text>
        <r>
          <rPr>
            <b/>
          </rPr>
          <t xml:space="preserve">EDGAR Mapper:
</t>
        </r>
        <r>
          <t xml:space="preserve">EDGAR: 10-K, filed 2024-11-01
Period: 4Q24 (ended 2024-09-28)
Value: -6523 mm
From: Selling, General and Administrative Expense (derived Q4)
Confidence: medium
Note: Grouped from Selling, General and Administrative Expense (derived Q4). Mapped to EDGAR selling, general, and administrative expense. Derived from Selling, General and Administrative Expense less 1Q24, 2Q24, 3Q24. Filing says: 10-K filed...</t>
        </r>
      </text>
    </comment>
    <comment ref="P32" authorId="0">
      <text>
        <r>
          <rPr>
            <b/>
          </rPr>
          <t xml:space="preserve">EDGAR Mapper:
</t>
        </r>
        <r>
          <t>Replaced a stale model bridge formula with the EDGAR-supported value.</t>
        </r>
      </text>
    </comment>
    <comment ref="Q32" authorId="0">
      <text>
        <r>
          <rPr>
            <b/>
          </rPr>
          <t xml:space="preserve">EDGAR Mapper:
</t>
        </r>
        <r>
          <t>Replaced a stale model bridge formula with the EDGAR-supported value.</t>
        </r>
      </text>
    </comment>
    <comment ref="R32" authorId="0">
      <text>
        <r>
          <rPr>
            <b/>
          </rPr>
          <t xml:space="preserve">EDGAR Mapper:
</t>
        </r>
        <r>
          <t>Replaced a stale model bridge formula with the EDGAR-supported value.</t>
        </r>
      </text>
    </comment>
    <comment ref="S32" authorId="0">
      <text>
        <r>
          <rPr>
            <b/>
          </rPr>
          <t xml:space="preserve">EDGAR Mapper:
</t>
        </r>
        <r>
          <t xml:space="preserve">EDGAR: 10-K, filed 2025-10-31
Period: 4Q25 (ended 2025-09-27)
Value: -7048 mm
From: Selling, General and Administrative Expense (derived Q4)
Confidence: medium
Note: Grouped from Selling, General and Administrative Expense (derived Q4). Mapped to EDGAR selling, general, and administrative expense. Derived from Selling, General and Administrative Expense less 1Q25, 2Q25, 3Q25. Filing says: 10-K filed...</t>
        </r>
      </text>
    </comment>
    <comment ref="U32" authorId="0">
      <text>
        <r>
          <rPr>
            <b/>
          </rPr>
          <t xml:space="preserve">EDGAR Mapper:
</t>
        </r>
        <r>
          <t xml:space="preserve">EDGAR: 10-Q, filed 2026-01-30
Period: 1Q26 (ended 2025-12-27)
Value: -7492 mm
From: Selling, General and Administrative Expense
Confidence: high
Note: Grouped from Selling, General and Administrative Expense. Mapped to EDGAR selling, general, and administrative expense.</t>
        </r>
      </text>
    </comment>
    <comment ref="V32" authorId="0">
      <text>
        <r>
          <rPr>
            <b/>
          </rPr>
          <t xml:space="preserve">EDGAR Mapper:
</t>
        </r>
        <r>
          <t>Replaced a stale model bridge formula with the EDGAR-supported value.</t>
        </r>
      </text>
    </comment>
    <comment ref="C33" authorId="0">
      <text>
        <r>
          <rPr>
            <b/>
          </rPr>
          <t xml:space="preserve">EDGAR Mapper:
</t>
        </r>
        <r>
          <t>Grouped from Research and Development Expense. Mapped to EDGAR research, development, technology, or technology/content operating expense. Grouped from Research and Development Expense (derived Q4). Mapped to EDGAR research, development, technology, or technology/content operating expense. Derived from Research and Development Expense less 1Q23, 2Q23, 3Q23. Filing says: 10-K filed 2023-11-03: "bilities were (in millions): 2023 2022 Deferred tax assets: Tax credit carryforwards $ 8,302 $ 6,962 Accrued liabilities and other reserves..." Grouped from Research and Development Expense (derived Q4). Mapped to EDGAR research, development, technology, or technology/content operating expense. Derived from Research and Development Expense less 1Q24, 2Q24, 3Q24. Filing says: 10-K filed 2024-11-01: "s deferred tax assets and liabilities were (in millions): 2024 2023 Deferred tax assets: Capitalized research and development $ 10,739 $..." Grouped from Research and Development Expense (derived Q4). Mapped to EDGAR research, development, technology, or technology/content operating expense. Derived from Research and Development Expense less 1Q25, 2Q25, 3Q25. Filing says: 10-K filed 2025-10-31: "ax assets and liabilities were as follows (in millions): 2025 2024 Deferred tax assets: Capitalized research and development $ 15,041 $..."</t>
        </r>
      </text>
    </comment>
    <comment ref="F33" authorId="0">
      <text>
        <r>
          <rPr>
            <b/>
          </rPr>
          <t xml:space="preserve">EDGAR Mapper:
</t>
        </r>
        <r>
          <t xml:space="preserve">EDGAR: 10-Q, filed 2023-02-03
Period: 1Q23 (ended 2022-12-31)
Value: -7709 mm
From: Research and Development Expense
Confidence: high
Note: Grouped from Research and Development Expense. Mapped to EDGAR research, development, technology, or technology/content operating expense.</t>
        </r>
      </text>
    </comment>
    <comment ref="G33" authorId="0">
      <text>
        <r>
          <rPr>
            <b/>
          </rPr>
          <t xml:space="preserve">EDGAR Mapper:
</t>
        </r>
        <r>
          <t xml:space="preserve">EDGAR: 10-Q, filed 2023-05-05
Period: 2Q23 (ended 2023-04-01)
Value: -7457 mm
From: Research and Development Expense
Confidence: high
Note: Grouped from Research and Development Expense. Mapped to EDGAR research, development, technology, or technology/content operating expense.</t>
        </r>
      </text>
    </comment>
    <comment ref="H33" authorId="0">
      <text>
        <r>
          <rPr>
            <b/>
          </rPr>
          <t xml:space="preserve">EDGAR Mapper:
</t>
        </r>
        <r>
          <t xml:space="preserve">EDGAR: 10-Q, filed 2023-08-04
Period: 3Q23 (ended 2023-07-01)
Value: -7442 mm
From: Research and Development Expense
Confidence: high
Note: Grouped from Research and Development Expense. Mapped to EDGAR research, development, technology, or technology/content operating expense.</t>
        </r>
      </text>
    </comment>
    <comment ref="I33" authorId="0">
      <text>
        <r>
          <rPr>
            <b/>
          </rPr>
          <t xml:space="preserve">EDGAR Mapper:
</t>
        </r>
        <r>
          <t xml:space="preserve">EDGAR: 10-K, filed 2023-11-03
Period: 4Q23 (ended 2023-09-30)
Value: -7307 mm
From: Research and Development Expense (derived Q4)
Confidence: medium
Note: Grouped from Research and Development Expense (derived Q4). Mapped to EDGAR research, development, technology, or technology/content operating expense. Derived from Research and Development Expense less 1Q23, 2Q23, 3Q23. Filing says: 10-K...</t>
        </r>
      </text>
    </comment>
    <comment ref="K33" authorId="0">
      <text>
        <r>
          <rPr>
            <b/>
          </rPr>
          <t xml:space="preserve">EDGAR Mapper:
</t>
        </r>
        <r>
          <t xml:space="preserve">EDGAR: 10-Q, filed 2024-02-02
Period: 1Q24 (ended 2023-12-30)
Value: -7696 mm
From: Research and Development Expense
Confidence: high
Note: Grouped from Research and Development Expense. Mapped to EDGAR research, development, technology, or technology/content operating expense.</t>
        </r>
      </text>
    </comment>
    <comment ref="L33" authorId="0">
      <text>
        <r>
          <rPr>
            <b/>
          </rPr>
          <t xml:space="preserve">EDGAR Mapper:
</t>
        </r>
        <r>
          <t xml:space="preserve">EDGAR: 10-Q, filed 2024-05-03
Period: 2Q24 (ended 2024-03-30)
Value: -7903 mm
From: Research and Development Expense
Confidence: high
Note: Grouped from Research and Development Expense. Mapped to EDGAR research, development, technology, or technology/content operating expense.</t>
        </r>
      </text>
    </comment>
    <comment ref="M33" authorId="0">
      <text>
        <r>
          <rPr>
            <b/>
          </rPr>
          <t xml:space="preserve">EDGAR Mapper:
</t>
        </r>
        <r>
          <t xml:space="preserve">EDGAR: 10-Q, filed 2024-08-02
Period: 3Q24 (ended 2024-06-29)
Value: -8006 mm
From: Research and Development Expense
Confidence: high
Note: Grouped from Research and Development Expense. Mapped to EDGAR research, development, technology, or technology/content operating expense.</t>
        </r>
      </text>
    </comment>
    <comment ref="N33" authorId="0">
      <text>
        <r>
          <rPr>
            <b/>
          </rPr>
          <t xml:space="preserve">EDGAR Mapper:
</t>
        </r>
        <r>
          <t xml:space="preserve">EDGAR: 10-K, filed 2024-11-01
Period: 4Q24 (ended 2024-09-28)
Value: -7765 mm
From: Research and Development Expense (derived Q4)
Confidence: medium
Note: Grouped from Research and Development Expense (derived Q4). Mapped to EDGAR research, development, technology, or technology/content operating expense. Derived from Research and Development Expense less 1Q24, 2Q24, 3Q24. Filing says: 10-K...</t>
        </r>
      </text>
    </comment>
    <comment ref="P33" authorId="0">
      <text>
        <r>
          <rPr>
            <b/>
          </rPr>
          <t xml:space="preserve">EDGAR Mapper:
</t>
        </r>
        <r>
          <t xml:space="preserve">EDGAR: 10-Q, filed 2025-01-31
Period: 1Q25 (ended 2024-12-28)
Value: -8268 mm
From: Research and Development Expense
Confidence: high
Note: Grouped from Research and Development Expense. Mapped to EDGAR research, development, technology, or technology/content operating expense.</t>
        </r>
      </text>
    </comment>
    <comment ref="Q33" authorId="0">
      <text>
        <r>
          <rPr>
            <b/>
          </rPr>
          <t xml:space="preserve">EDGAR Mapper:
</t>
        </r>
        <r>
          <t xml:space="preserve">EDGAR: 10-Q, filed 2025-05-02
Period: 2Q25 (ended 2025-03-29)
Value: -8550 mm
From: Research and Development Expense
Confidence: high
Note: Grouped from Research and Development Expense. Mapped to EDGAR research, development, technology, or technology/content operating expense.</t>
        </r>
      </text>
    </comment>
    <comment ref="R33" authorId="0">
      <text>
        <r>
          <rPr>
            <b/>
          </rPr>
          <t xml:space="preserve">EDGAR Mapper:
</t>
        </r>
        <r>
          <t xml:space="preserve">EDGAR: 10-Q, filed 2025-08-01
Period: 3Q25 (ended 2025-06-28)
Value: -8866 mm
From: Research and Development Expense
Confidence: high
Note: Grouped from Research and Development Expense. Mapped to EDGAR research, development, technology, or technology/content operating expense.</t>
        </r>
      </text>
    </comment>
    <comment ref="S33" authorId="0">
      <text>
        <r>
          <rPr>
            <b/>
          </rPr>
          <t xml:space="preserve">EDGAR Mapper:
</t>
        </r>
        <r>
          <t xml:space="preserve">EDGAR: 10-K, filed 2025-10-31
Period: 4Q25 (ended 2025-09-27)
Value: -8866 mm
From: Research and Development Expense (derived Q4)
Confidence: medium
Note: Grouped from Research and Development Expense (derived Q4). Mapped to EDGAR research, development, technology, or technology/content operating expense. Derived from Research and Development Expense less 1Q25, 2Q25, 3Q25. Filing says: 10-K...</t>
        </r>
      </text>
    </comment>
    <comment ref="U33" authorId="0">
      <text>
        <r>
          <rPr>
            <b/>
          </rPr>
          <t xml:space="preserve">EDGAR Mapper:
</t>
        </r>
        <r>
          <t xml:space="preserve">EDGAR: 10-Q, filed 2026-01-30
Period: 1Q26 (ended 2025-12-27)
Value: -10887 mm
From: Research and Development Expense
Confidence: high
Note: Grouped from Research and Development Expense. Mapped to EDGAR research, development, technology, or technology/content operating expense.</t>
        </r>
      </text>
    </comment>
    <comment ref="V33" authorId="0">
      <text>
        <r>
          <rPr>
            <b/>
          </rPr>
          <t xml:space="preserve">EDGAR Mapper:
</t>
        </r>
        <r>
          <t xml:space="preserve">EDGAR: 10-Q, filed 2026-05-01
Period: 2Q26 (ended 2026-03-28)
Value: -11419 mm
From: Research and Development Expense
Confidence: high
Note: Grouped from Research and Development Expense. Mapped to EDGAR research, development, technology, or technology/content operating expense.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income Statement Depreciation Amortization Not Reported. Set to zero because no standalone income-statement D&amp;A expense line was reported. Cash-flow D&amp;A disclosures are often embedded in cost of revenue, fulfillment, SG&amp;A,... Filing says: 10-Q filed 2023-02-03: "IONS (Unaudited) (In millions, except number of shares which are reflected in thousands and per share amounts) Three Months Ended December..." Grouped from income Statement Depreciation Amortization Not Reported. Set to zero because no standalone income-statement D&amp;A expense line was reported. Cash-flow D&amp;A disclosures are often embedded in cost of revenue, fulfillment, SG&amp;A,... Filing says: 10-Q filed 2023-05-05: "vices 20,907 19,821 41,673 39,337 Total net sales 94,836 97,278 211,990 221,223 Cost of sales: Products 46,795 49,290 107,560 113,599..." Grouped from income Statement Depreciation Amortization Not Reported. Set to zero because no standalone income-statement D&amp;A expense line was reported. Cash-flow D&amp;A disclosures are often embedded in cost of revenue, fulfillment, SG&amp;A,... Filing says: 10-Q filed 2023-08-04: "ces 21,213 19,604 62,886 58,941 Total net sales 81,797 82,959 293,787 304,182 Cost of sales: Products 39,136 41,485 146,696 155,084 Services..." Grouped from income Statement Depreciation Amortization Not Reported. Set to zero because no standalone income-statement D&amp;A expense line was reported. Cash-flow D&amp;A disclosures are often embedded in cost of revenue, fulfillment, SG&amp;A,... Filing says: 10-Q filed 2024-02-02: "ONS (Unaudited) (In millions, except number of shares, which are reflected in thousands, and per-share amounts) Three Months Ended December..." Grouped from income Statement Depreciation Amortization Not Reported. Set to zero because no standalone income-statement D&amp;A expense line was reported. Cash-flow D&amp;A disclosures are often embedded in cost of revenue, fulfillment, SG&amp;A,... Filing says: 10-Q filed 2024-05-03: "vices 23,867 20,907 46,984 41,673 Total net sales 90,753 94,836 210,328 211,990 Cost of sales: Products 42,424 46,795 100,864 107,560..." Grouped from income Statement Depreciation Amortization Not Reported. Set to zero because no standalone income-statement D&amp;A expense line was reported. Cash-flow D&amp;A disclosures are often embedded in cost of revenue, fulfillment, SG&amp;A,... Filing says: 10-Q filed 2024-08-02: "ces 24,213 21,213 71,197 62,886 Total net sales 85,777 81,797 296,105 293,787 Cost of sales: Products 39,803 39,136 140,667 146,696 Services..." Grouped from income Statement Depreciation Amortization Not Reported. Set to zero because no standalone income-statement D&amp;A expense line was reported. Cash-flow D&amp;A disclosures are often embedded in cost of revenue, fulfillment, SG&amp;A,... Filing says: 10-K filed 2024-11-01: "s deferred tax assets and liabilities were (in millions): 2024 2023 Deferred tax assets: Capitalized research and development $ 10,739 $..." Grouped from income Statement Depreciation Amortization Not Reported. Set to zero because no standalone income-statement D&amp;A expense line was reported. Cash-flow D&amp;A disclosures are often embedded in cost of revenue, fulfillment, SG&amp;A,... Filing says: 10-K filed 2025-10-31: "ax assets and liabilities were as follows (in millions): 2025 2024 Deferred tax assets: Capitalized research and development $ 15,041 $..." Grouped from income Statement Depreciation Amortization Not Reported. Set to zero because no standalone income-statement D&amp;A expense line was reported. Cash-flow D&amp;A disclosures are often embedded in cost of revenue, fulfillment, SG&amp;A,... Filing says: 10-Q filed 2026-01-30: "NS (Unaudited) (In millions, except number of shares, which are reflected in thousands, and per-share amounts) Three Months Ended December..." Grouped from income Statement Depreciation Amortization Not Reported. Set to zero because no standalone income-statement D&amp;A expense line was reported. Cash-flow D&amp;A disclosures are often embedded in cost of revenue, fulfillment, SG&amp;A,... Filing says: 10-Q filed 2026-05-01: "es 30,976 26,645 60,989 52,985 Total net sales 111,184 95,359 254,940 219,659 Cost of sales: Products 49,179 44,030 116,657 103,477 Services..."</t>
        </r>
      </text>
    </comment>
    <comment ref="F34" authorId="0">
      <text>
        <r>
          <rPr>
            <b/>
          </rPr>
          <t xml:space="preserve">EDGAR Mapper:
</t>
        </r>
        <r>
          <t xml:space="preserve">EDGAR: SEC filing
Period: 1Q23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G34" authorId="0">
      <text>
        <r>
          <rPr>
            <b/>
          </rPr>
          <t xml:space="preserve">EDGAR Mapper:
</t>
        </r>
        <r>
          <t xml:space="preserve">EDGAR: SEC filing
Period: 2Q23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H34" authorId="0">
      <text>
        <r>
          <rPr>
            <b/>
          </rPr>
          <t xml:space="preserve">EDGAR Mapper:
</t>
        </r>
        <r>
          <t xml:space="preserve">EDGAR: SEC filing
Period: 3Q23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I34" authorId="0">
      <text>
        <r>
          <rPr>
            <b/>
          </rPr>
          <t xml:space="preserve">EDGAR Mapper:
</t>
        </r>
        <r>
          <t>Replaced a stale model bridge formula with the EDGAR-supported value. SEC validation: Value is a zero/derived model support value with no direct SEC fact.</t>
        </r>
      </text>
    </comment>
    <comment ref="K34" authorId="0">
      <text>
        <r>
          <rPr>
            <b/>
          </rPr>
          <t xml:space="preserve">EDGAR Mapper:
</t>
        </r>
        <r>
          <t xml:space="preserve">EDGAR: SEC filing
Period: 1Q24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L34" authorId="0">
      <text>
        <r>
          <rPr>
            <b/>
          </rPr>
          <t xml:space="preserve">EDGAR Mapper:
</t>
        </r>
        <r>
          <t xml:space="preserve">EDGAR: SEC filing
Period: 2Q24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M34" authorId="0">
      <text>
        <r>
          <rPr>
            <b/>
          </rPr>
          <t xml:space="preserve">EDGAR Mapper:
</t>
        </r>
        <r>
          <t xml:space="preserve">EDGAR: SEC filing
Period: 3Q24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N34" authorId="0">
      <text>
        <r>
          <rPr>
            <b/>
          </rPr>
          <t xml:space="preserve">EDGAR Mapper:
</t>
        </r>
        <r>
          <t xml:space="preserve">EDGAR: SEC filing
Period: 4Q24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P34" authorId="0">
      <text>
        <r>
          <rPr>
            <b/>
          </rPr>
          <t xml:space="preserve">EDGAR Mapper:
</t>
        </r>
        <r>
          <t>Replaced a stale model bridge formula with the EDGAR-supported value. SEC validation: Value is a zero/derived model support value with no direct SEC fact.</t>
        </r>
      </text>
    </comment>
    <comment ref="Q34" authorId="0">
      <text>
        <r>
          <rPr>
            <b/>
          </rPr>
          <t xml:space="preserve">EDGAR Mapper:
</t>
        </r>
        <r>
          <t>Replaced a stale model bridge formula with the EDGAR-supported value. SEC validation: Value is a zero/derived model support value with no direct SEC fact.</t>
        </r>
      </text>
    </comment>
    <comment ref="R34" authorId="0">
      <text>
        <r>
          <rPr>
            <b/>
          </rPr>
          <t xml:space="preserve">EDGAR Mapper:
</t>
        </r>
        <r>
          <t>Replaced a stale model bridge formula with the EDGAR-supported value. SEC validation: Value is a zero/derived model support value with no direct SEC fact.</t>
        </r>
      </text>
    </comment>
    <comment ref="S34" authorId="0">
      <text>
        <r>
          <rPr>
            <b/>
          </rPr>
          <t xml:space="preserve">EDGAR Mapper:
</t>
        </r>
        <r>
          <t xml:space="preserve">EDGAR: SEC filing
Period: 4Q25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U34" authorId="0">
      <text>
        <r>
          <rPr>
            <b/>
          </rPr>
          <t xml:space="preserve">EDGAR Mapper:
</t>
        </r>
        <r>
          <t xml:space="preserve">EDGAR: SEC filing
Period: 1Q26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V34" authorId="0">
      <text>
        <r>
          <rPr>
            <b/>
          </rPr>
          <t xml:space="preserve">EDGAR Mapper:
</t>
        </r>
        <r>
          <t xml:space="preserve">EDGAR: SEC filing
Period: 2Q26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2023-02-03: "IONS (Unaudited) (In millions, except number of shares which are reflected in thousands and per share amounts) Three Months Ended December..." 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2023-05-05: "vices 20,907 19,821 41,673 39,337 Total net sales 94,836 97,278 211,990 221,223 Cost of sales: Products 46,795 49,290 107,560 113,599..." 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2023-08-04: "ces 21,213 19,604 62,886 58,941 Total net sales 81,797 82,959 293,787 304,182 Cost of sales: Products 39,136 41,485 146,696 155,084 Services..." 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1Q23, 2Q23, 3Q23. Filing says: 10-K filed 2023-11-03: "y by increases in headcount-related expenses. Selling, General and Administrative Selling, general and administrative expense was relatively..." 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2024-02-02: "ONS (Unaudited) (In millions, except number of shares, which are reflected in thousands, and per-share amounts) Three Months Ended December..." 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2024-05-03: "vices 23,867 20,907 46,984 41,673 Total net sales 90,753 94,836 210,328 211,990 Cost of sales: Products 42,424 46,795 100,864 107,560..." 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2024-08-02: "ces 24,213 21,213 71,197 62,886 Total net sales 85,777 81,797 296,105 293,787 Cost of sales: Products 39,803 39,136 140,667 146,696 Services..." 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1Q24, 2Q24, 3Q24. Filing says: 10-K filed 2024-11-01: "creases in headcount-related expenses. Selling, General and Administrative Selling, general and administrative expense increased $1.2..." 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2025-01-31: "ONS (Unaudited) (In millions, except number of shares, which are reflected in thousands, and per-share amounts) Three Months Ended December..." 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2025-05-02: "ices 26,645 23,867 52,985 46,984 Total net sales 95,359 90,753 219,659 210,328 Cost of sales: Products 44,030 42,424 103,477 100,864..." 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2025-08-01: "ces 27,423 24,213 80,408 71,197 Total net sales 94,036 85,777 313,695 296,105 Cost of sales: Products 43,620 39,803 147,097 140,667 Services..." 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1Q25, 2Q25, 3Q25. Filing says: 10-K filed 2025-10-31: "in selling, general and administrative expense during 2025 compared to 2024 was primarily driven by increases in headcount-related expenses..." 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2026-01-30: "NS (Unaudited) (In millions, except number of shares, which are reflected in thousands, and per-share amounts) Three Months Ended December..." 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2026-05-01: "es 30,976 26,645 60,989 52,985 Total net sales 111,184 95,359 254,940 219,659 Cost of sales: Products 49,179 44,030 116,657 103,477 Services..."</t>
        </r>
      </text>
    </comment>
    <comment ref="F35" authorId="0">
      <text>
        <r>
          <rPr>
            <b/>
          </rPr>
          <t xml:space="preserve">EDGAR Mapper:
</t>
        </r>
        <r>
          <t xml:space="preserve">EDGAR: 10-Q, filed 2023-02-03
Period: 1Q23 (ended 2022-12-31)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G35" authorId="0">
      <text>
        <r>
          <rPr>
            <b/>
          </rPr>
          <t xml:space="preserve">EDGAR Mapper:
</t>
        </r>
        <r>
          <t xml:space="preserve">EDGAR: 10-Q, filed 2023-05-05
Period: 2Q23 (ended 2023-04-01)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H35" authorId="0">
      <text>
        <r>
          <rPr>
            <b/>
          </rPr>
          <t xml:space="preserve">EDGAR Mapper:
</t>
        </r>
        <r>
          <t xml:space="preserve">EDGAR: 10-Q, filed 2023-08-04
Period: 3Q23 (ended 2023-07-01)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I35" authorId="0">
      <text>
        <r>
          <rPr>
            <b/>
          </rPr>
          <t xml:space="preserve">EDGAR Mapper:
</t>
        </r>
        <r>
          <t xml:space="preserve">EDGAR: 10-K, filed 2023-11-03
Period: 4Q23 (ended 2023-09-30)
Value: 0 mm
From: Operating Income (Loss) (derived Q4), Gross Profit (derived Q4), +3 more
Confidence: medium
Note: Grouped from Operating Income (Loss) (derived Q4), Gross Profit (derived Q4), Selling, General and Administrative Expense (derived Q4), +2 more. Calculated as the residual operating bucket needed for revenue less mapped operating expenses...</t>
        </r>
      </text>
    </comment>
    <comment ref="K35" authorId="0">
      <text>
        <r>
          <rPr>
            <b/>
          </rPr>
          <t xml:space="preserve">EDGAR Mapper:
</t>
        </r>
        <r>
          <t xml:space="preserve">EDGAR: 10-Q, filed 2024-02-02
Period: 1Q24 (ended 2023-12-30)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L35" authorId="0">
      <text>
        <r>
          <rPr>
            <b/>
          </rPr>
          <t xml:space="preserve">EDGAR Mapper:
</t>
        </r>
        <r>
          <t xml:space="preserve">EDGAR: 10-Q, filed 2024-05-03
Period: 2Q24 (ended 2024-03-30)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M35" authorId="0">
      <text>
        <r>
          <rPr>
            <b/>
          </rPr>
          <t xml:space="preserve">EDGAR Mapper:
</t>
        </r>
        <r>
          <t xml:space="preserve">EDGAR: 10-Q, filed 2024-08-02
Period: 3Q24 (ended 2024-06-29)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N35" authorId="0">
      <text>
        <r>
          <rPr>
            <b/>
          </rPr>
          <t xml:space="preserve">EDGAR Mapper:
</t>
        </r>
        <r>
          <t xml:space="preserve">EDGAR: 10-K, filed 2024-11-01
Period: 4Q24 (ended 2024-09-28)
Value: 0 mm
From: Operating Income (Loss) (derived Q4), Gross Profit (derived Q4), +3 more
Confidence: medium
Note: Grouped from Operating Income (Loss) (derived Q4), Gross Profit (derived Q4), Selling, General and Administrative Expense (derived Q4), +2 more. Calculated as the residual operating bucket needed for revenue less mapped operating expenses...</t>
        </r>
      </text>
    </comment>
    <comment ref="P35" authorId="0">
      <text>
        <r>
          <rPr>
            <b/>
          </rPr>
          <t xml:space="preserve">EDGAR Mapper:
</t>
        </r>
        <r>
          <t xml:space="preserve">EDGAR: 10-Q, filed 2025-01-31
Period: 1Q25 (ended 2024-12-28)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Q35" authorId="0">
      <text>
        <r>
          <rPr>
            <b/>
          </rPr>
          <t xml:space="preserve">EDGAR Mapper:
</t>
        </r>
        <r>
          <t xml:space="preserve">EDGAR: 10-Q, filed 2025-05-02
Period: 2Q25 (ended 2025-03-29)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R35" authorId="0">
      <text>
        <r>
          <rPr>
            <b/>
          </rPr>
          <t xml:space="preserve">EDGAR Mapper:
</t>
        </r>
        <r>
          <t xml:space="preserve">EDGAR: 10-Q, filed 2025-08-01
Period: 3Q25 (ended 2025-06-28)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S35" authorId="0">
      <text>
        <r>
          <rPr>
            <b/>
          </rPr>
          <t xml:space="preserve">EDGAR Mapper:
</t>
        </r>
        <r>
          <t xml:space="preserve">EDGAR: 10-K, filed 2025-10-31
Period: 4Q25 (ended 2025-09-27)
Value: 0 mm
From: Operating Income (Loss) (derived Q4), Gross Profit (derived Q4), +3 more
Confidence: medium
Note: Grouped from Operating Income (Loss) (derived Q4), Gross Profit (derived Q4), Selling, General and Administrative Expense (derived Q4), +2 more. Calculated as the residual operating bucket needed for revenue less mapped operating expenses...</t>
        </r>
      </text>
    </comment>
    <comment ref="U35" authorId="0">
      <text>
        <r>
          <rPr>
            <b/>
          </rPr>
          <t xml:space="preserve">EDGAR Mapper:
</t>
        </r>
        <r>
          <t xml:space="preserve">EDGAR: 10-Q, filed 2026-01-30
Period: 1Q26 (ended 2025-12-27)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V35" authorId="0">
      <text>
        <r>
          <rPr>
            <b/>
          </rPr>
          <t xml:space="preserve">EDGAR Mapper:
</t>
        </r>
        <r>
          <t xml:space="preserve">EDGAR: 10-Q, filed 2026-05-01
Period: 2Q26 (ended 2026-03-28)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10-Q, filed 2023-02-03
Period: 1Q23 (ended 2022-12-31)
Value: -1003 mm
From: Interest Expense
Confidence: high
Note: Included SEC interest expense, including operating interest expense when that is the company's presentation.</t>
        </r>
      </text>
    </comment>
    <comment ref="G39" authorId="0">
      <text>
        <r>
          <rPr>
            <b/>
          </rPr>
          <t xml:space="preserve">EDGAR Mapper:
</t>
        </r>
        <r>
          <t xml:space="preserve">EDGAR: 10-Q, filed 2023-05-05
Period: 2Q23 (ended 2023-04-01)
Value: -930 mm
From: Interest Expense
Confidence: high
Note: Included SEC interest expense, including operating interest expense when that is the company's presentation.</t>
        </r>
      </text>
    </comment>
    <comment ref="H39" authorId="0">
      <text>
        <r>
          <rPr>
            <b/>
          </rPr>
          <t xml:space="preserve">EDGAR Mapper:
</t>
        </r>
        <r>
          <t xml:space="preserve">EDGAR: 10-Q, filed 2023-08-04
Period: 3Q23 (ended 2023-07-01)
Value: -998 mm
From: Interest Expense
Confidence: high
Note: Included SEC interest expense, including operating interest expense when that is the company's presentation.</t>
        </r>
      </text>
    </comment>
    <comment ref="I39" authorId="0">
      <text>
        <r>
          <rPr>
            <b/>
          </rPr>
          <t xml:space="preserve">EDGAR Mapper:
</t>
        </r>
        <r>
          <t>Updated the preserved formula's cached result from EDGAR while keeping the model formula in place.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Derived from Other Nonoperating Income (Expense) less 1Q23, 2Q23, 3Q23. Filing says: 10-K filed 2023-11-03: "y by increases in headcount-related expenses. Selling, General and Administrative Selling, general and administrative expense was relatively..." Needs review: one or more historical periods were left unchanged because no matching EDGAR fact was found.</t>
        </r>
      </text>
    </comment>
    <comment ref="F41" authorId="0">
      <text>
        <r>
          <rPr>
            <b/>
          </rPr>
          <t xml:space="preserve">EDGAR Mapper:
</t>
        </r>
        <r>
          <t xml:space="preserve">EDGAR: 10-Q, filed 2023-02-03
Period: 1Q23 (ended 2022-12-31)
Value: -258 mm
From: Other Nonoperating Income (Expense)
Confidence: high
EDGAR Mapper:
Calculated as the residual needed for the model's pre-tax income formula to tie to EDGAR income before taxes.</t>
        </r>
      </text>
    </comment>
    <comment ref="G41" authorId="0">
      <text>
        <r>
          <rPr>
            <b/>
          </rPr>
          <t xml:space="preserve">EDGAR Mapper:
</t>
        </r>
        <r>
          <t xml:space="preserve">EDGAR: 10-Q, filed 2023-05-05
Period: 2Q23 (ended 2023-04-01)
Value: 76 mm
From: Other Nonoperating Income (Expense)
Confidence: high
EDGAR Mapper:
Calculated as the residual needed for the model's pre-tax income formula to tie to EDGAR income before taxes.</t>
        </r>
      </text>
    </comment>
    <comment ref="H41" authorId="0">
      <text>
        <r>
          <rPr>
            <b/>
          </rPr>
          <t xml:space="preserve">EDGAR Mapper:
</t>
        </r>
        <r>
          <t xml:space="preserve">EDGAR: 10-Q, filed 2023-08-04
Period: 3Q23 (ended 2023-07-01)
Value: -247 mm
From: Other Nonoperating Income (Expense)
Confidence: high
EDGAR Mapper:
Calculated as the residual needed for the model's pre-tax income formula to tie to EDGAR income before taxes.</t>
        </r>
      </text>
    </comment>
    <comment ref="I41" authorId="0">
      <text>
        <r>
          <rPr>
            <b/>
          </rPr>
          <t xml:space="preserve">EDGAR Mapper:
</t>
        </r>
        <r>
          <t xml:space="preserve">EDGAR: 10-K, filed 2023-11-03
Period: 4Q23 (ended 2023-09-30)
Value: 47 mm
From: Other Nonoperating Income (Expense) (derived Q4)
Confidence: medium
Note: Derived from Other Nonoperating Income (Expense) less 1Q23, 2Q23, 3Q23. Filing says: 10-K filed 2023-11-03: "y by increases in headcount-related expenses. Selling, General and Administrative Selling, general and administrative expense was...
EDGAR Mapper:
Calculated as the residual needed for the model's pre-tax income formula to tie to EDGAR income before taxes.</t>
        </r>
      </text>
    </comment>
    <comment ref="K41" authorId="0">
      <text>
        <r>
          <rPr>
            <b/>
          </rPr>
          <t xml:space="preserve">EDGAR Mapper:
</t>
        </r>
        <r>
          <t>Calculated as the residual needed for the model's pre-tax income formula to tie to EDGAR income before taxes.</t>
        </r>
      </text>
    </comment>
    <comment ref="L41" authorId="0">
      <text>
        <r>
          <rPr>
            <b/>
          </rPr>
          <t xml:space="preserve">EDGAR Mapper:
</t>
        </r>
        <r>
          <t>Calculated as the residual needed for the model's pre-tax income formula to tie to EDGAR income before taxes.</t>
        </r>
      </text>
    </comment>
    <comment ref="M41" authorId="0">
      <text>
        <r>
          <rPr>
            <b/>
          </rPr>
          <t xml:space="preserve">EDGAR Mapper:
</t>
        </r>
        <r>
          <t>Calculated as the residual needed for the model's pre-tax income formula to tie to EDGAR income before taxes.</t>
        </r>
      </text>
    </comment>
    <comment ref="N41" authorId="0">
      <text>
        <r>
          <rPr>
            <b/>
          </rPr>
          <t xml:space="preserve">EDGAR Mapper:
</t>
        </r>
        <r>
          <t>Calculated as the residual needed for the model's pre-tax income formula to tie to EDGAR income before taxes.</t>
        </r>
      </text>
    </comment>
    <comment ref="P41" authorId="0">
      <text>
        <r>
          <rPr>
            <b/>
          </rPr>
          <t xml:space="preserve">EDGAR Mapper:
</t>
        </r>
        <r>
          <t>Calculated as the residual needed for the model's pre-tax income formula to tie to EDGAR income before taxes.</t>
        </r>
      </text>
    </comment>
    <comment ref="Q41" authorId="0">
      <text>
        <r>
          <rPr>
            <b/>
          </rPr>
          <t xml:space="preserve">EDGAR Mapper:
</t>
        </r>
        <r>
          <t>Calculated as the residual needed for the model's pre-tax income formula to tie to EDGAR income before taxes.</t>
        </r>
      </text>
    </comment>
    <comment ref="R41" authorId="0">
      <text>
        <r>
          <rPr>
            <b/>
          </rPr>
          <t xml:space="preserve">EDGAR Mapper:
</t>
        </r>
        <r>
          <t xml:space="preserve">======
ID#AAABbnJBV08
Microsoft Office User    (2025-01-14 21:09:38)
Brian Otaszewski: Loss on extinguishment of debt
EDGAR Mapper:
Calculated as the residual needed for the model's pre-tax income formula to tie to EDGAR income before taxes.</t>
        </r>
      </text>
    </comment>
    <comment ref="S41" authorId="0">
      <text>
        <r>
          <rPr>
            <b/>
          </rPr>
          <t xml:space="preserve">EDGAR Mapper:
</t>
        </r>
        <r>
          <t>Calculated as the residual needed for the model's pre-tax income formula to tie to EDGAR income before taxes.</t>
        </r>
      </text>
    </comment>
    <comment ref="U41" authorId="0">
      <text>
        <r>
          <rPr>
            <b/>
          </rPr>
          <t xml:space="preserve">EDGAR Mapper:
</t>
        </r>
        <r>
          <t>Calculated as the residual needed for the model's pre-tax income formula to tie to EDGAR income before taxes.</t>
        </r>
      </text>
    </comment>
    <comment ref="V41" authorId="0">
      <text>
        <r>
          <rPr>
            <b/>
          </rPr>
          <t xml:space="preserve">EDGAR Mapper:
</t>
        </r>
        <r>
          <t>Calculated as the residual needed for the model's pre-tax income formula to tie to EDGAR income before taxes.</t>
        </r>
      </text>
    </comment>
    <comment ref="C44" authorId="0">
      <text>
        <r>
          <rPr>
            <b/>
          </rPr>
          <t xml:space="preserve">EDGAR Mapper:
</t>
        </r>
        <r>
          <t>Mapped to EDGAR income tax expense/benefit using the model's negative-expense sign convention. Derived from Income Tax Expense (Benefit) less 1Q24, 2Q24, 3Q24. Filing says: 10-K filed 2024-11-01: "creases in headcount-related expenses. Selling, General and Administrative Selling, general and administrative expense increased $1.2..." Mapped to EDGAR income tax expense/benefit using the model's negative-expense sign convention. Derived from Income Tax Expense (Benefit) less 1Q25, 2Q25, 3Q25. Filing says: 10-K filed 2025-10-31: "in selling, general and administrative expense during 2025 compared to 2024 was primarily driven by increases in headcount-related expenses..."</t>
        </r>
      </text>
    </comment>
    <comment ref="F44" authorId="0">
      <text>
        <r>
          <rPr>
            <b/>
          </rPr>
          <t xml:space="preserve">EDGAR Mapper:
</t>
        </r>
        <r>
          <t xml:space="preserve">EDGAR: 10-Q, filed 2023-02-03
Period: 1Q23 (ended 2022-12-31)
Value: -5625 mm
From: Income Tax Expense (Benefit)
Confidence: high
Note: Mapped to EDGAR income tax expense/benefit using the model's negative-expense sign convention.</t>
        </r>
      </text>
    </comment>
    <comment ref="G44" authorId="0">
      <text>
        <r>
          <rPr>
            <b/>
          </rPr>
          <t xml:space="preserve">EDGAR Mapper:
</t>
        </r>
        <r>
          <t xml:space="preserve">EDGAR: 10-Q, filed 2023-05-05
Period: 2Q23 (ended 2023-04-01)
Value: -4222 mm
From: Income Tax Expense (Benefit)
Confidence: high
Note: Mapped to EDGAR income tax expense/benefit using the model's negative-expense sign convention.</t>
        </r>
      </text>
    </comment>
    <comment ref="H44" authorId="0">
      <text>
        <r>
          <rPr>
            <b/>
          </rPr>
          <t xml:space="preserve">EDGAR Mapper:
</t>
        </r>
        <r>
          <t xml:space="preserve">EDGAR: 10-Q, filed 2023-08-04
Period: 3Q23 (ended 2023-07-01)
Value: -2852 mm
From: Income Tax Expense (Benefit)
Confidence: high
Note: Mapped to EDGAR income tax expense/benefit using the model's negative-expense sign convention.</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10-Q, filed 2024-02-02
Period: 1Q24 (ended 2023-12-30)
Value: -6407 mm
From: Income Tax Expense (Benefit)
Confidence: high
Note: Mapped to EDGAR income tax expense/benefit using the model's negative-expense sign convention.</t>
        </r>
      </text>
    </comment>
    <comment ref="L44" authorId="0">
      <text>
        <r>
          <rPr>
            <b/>
          </rPr>
          <t xml:space="preserve">EDGAR Mapper:
</t>
        </r>
        <r>
          <t xml:space="preserve">EDGAR: 10-Q, filed 2024-05-03
Period: 2Q24 (ended 2024-03-30)
Value: -4422 mm
From: Income Tax Expense (Benefit)
Confidence: high
Note: Mapped to EDGAR income tax expense/benefit using the model's negative-expense sign convention.</t>
        </r>
      </text>
    </comment>
    <comment ref="M44" authorId="0">
      <text>
        <r>
          <rPr>
            <b/>
          </rPr>
          <t xml:space="preserve">EDGAR Mapper:
</t>
        </r>
        <r>
          <t xml:space="preserve">EDGAR: 10-Q, filed 2024-08-02
Period: 3Q24 (ended 2024-06-29)
Value: -4046 mm
From: Income Tax Expense (Benefit)
Confidence: high
Note: Mapped to EDGAR income tax expense/benefit using the model's negative-expense sign convention.</t>
        </r>
      </text>
    </comment>
    <comment ref="N44" authorId="0">
      <text>
        <r>
          <rPr>
            <b/>
          </rPr>
          <t xml:space="preserve">EDGAR Mapper:
</t>
        </r>
        <r>
          <t xml:space="preserve">EDGAR: 10-K, filed 2024-11-01
Period: 4Q24 (ended 2024-09-28)
Value: -14874 mm
From: Income Tax Expense (Benefit) (derived Q4)
Confidence: medium
Note: Mapped to EDGAR income tax expense/benefit using the model's negative-expense sign convention. Derived from Income Tax Expense (Benefit) less 1Q24, 2Q24, 3Q24. Filing says: 10-K filed 2024-11-01: "creases in headcount-related expenses....</t>
        </r>
      </text>
    </comment>
    <comment ref="P44" authorId="0">
      <text>
        <r>
          <rPr>
            <b/>
          </rPr>
          <t xml:space="preserve">EDGAR Mapper:
</t>
        </r>
        <r>
          <t xml:space="preserve">EDGAR: 10-Q, filed 2025-01-31
Period: 1Q25 (ended 2024-12-28)
Value: -6254 mm
From: Income Tax Expense (Benefit)
Confidence: high
Note: Mapped to EDGAR income tax expense/benefit using the model's negative-expense sign convention.</t>
        </r>
      </text>
    </comment>
    <comment ref="Q44" authorId="0">
      <text>
        <r>
          <rPr>
            <b/>
          </rPr>
          <t xml:space="preserve">EDGAR Mapper:
</t>
        </r>
        <r>
          <t xml:space="preserve">EDGAR: 10-Q, filed 2025-05-02
Period: 2Q25 (ended 2025-03-29)
Value: -4530 mm
From: Income Tax Expense (Benefit)
Confidence: high
Note: Mapped to EDGAR income tax expense/benefit using the model's negative-expense sign convention.</t>
        </r>
      </text>
    </comment>
    <comment ref="R44" authorId="0">
      <text>
        <r>
          <rPr>
            <b/>
          </rPr>
          <t xml:space="preserve">EDGAR Mapper:
</t>
        </r>
        <r>
          <t xml:space="preserve">EDGAR: 10-Q, filed 2025-08-01
Period: 3Q25 (ended 2025-06-28)
Value: -4597 mm
From: Income Tax Expense (Benefit)
Confidence: high
Note: Mapped to EDGAR income tax expense/benefit using the model's negative-expense sign convention.</t>
        </r>
      </text>
    </comment>
    <comment ref="S44" authorId="0">
      <text>
        <r>
          <rPr>
            <b/>
          </rPr>
          <t xml:space="preserve">EDGAR Mapper:
</t>
        </r>
        <r>
          <t xml:space="preserve">EDGAR: 10-K, filed 2025-10-31
Period: 4Q25 (ended 2025-09-27)
Value: -5338 mm
From: Income Tax Expense (Benefit) (derived Q4)
Confidence: medium
Note: Mapped to EDGAR income tax expense/benefit using the model's negative-expense sign convention. Derived from Income Tax Expense (Benefit) less 1Q25, 2Q25, 3Q25. Filing says: 10-K filed 2025-10-31: "in selling, general and administrative...</t>
        </r>
      </text>
    </comment>
    <comment ref="U44" authorId="0">
      <text>
        <r>
          <rPr>
            <b/>
          </rPr>
          <t xml:space="preserve">EDGAR Mapper:
</t>
        </r>
        <r>
          <t xml:space="preserve">EDGAR: 10-Q, filed 2026-01-30
Period: 1Q26 (ended 2025-12-27)
Value: -8905 mm
From: Income Tax Expense (Benefit)
Confidence: high
Note: Mapped to EDGAR income tax expense/benefit using the model's negative-expense sign convention.</t>
        </r>
      </text>
    </comment>
    <comment ref="V44" authorId="0">
      <text>
        <r>
          <rPr>
            <b/>
          </rPr>
          <t xml:space="preserve">EDGAR Mapper:
</t>
        </r>
        <r>
          <t>Replaced a stale model bridge formula with the EDGAR-supported value.</t>
        </r>
      </text>
    </comment>
    <comment ref="C47" authorId="0">
      <text>
        <r>
          <rPr>
            <b/>
          </rPr>
          <t xml:space="preserve">EDGAR Mapper:
</t>
        </r>
        <r>
          <t>Grouped from Pre Tax Adjustments Not Reported. No EDGAR-supported pre-tax adjustment item was reported for this period, so the adjusted net income bridge uses zero instead of preserving stale model hardcodes. Filing says: 10-Q filed 2023-02-03: "ree Months Ended December 31, 2022 December 25, 2021 Cash, cash equivalents and restricted cash, beginning balances $ 24,977 $ 35,929..." Grouped from Pre Tax Adjustments Not Reported. No EDGAR-supported pre-tax adjustment item was reported for this period, so the adjusted net income bridge uses zero instead of preserving stale model hardcodes. Filing says: 10-Q filed 2023-05-05: "lions) Six Months Ended April 1, 2023 March 26, 2022 Cash, cash equivalents and restricted cash, beginning balances $ 24,977 $ 35,929..." Grouped from Pre Tax Adjustments Not Reported. No EDGAR-supported pre-tax adjustment item was reported for this period, so the adjusted net income bridge uses zero instead of preserving stale model hardcodes. Filing says: 10-Q filed 2023-08-04: "llions) Nine Months Ended July 1, 2023 June 25, 2022 Cash, cash equivalents and restricted cash, beginning balances $ 24,977 $ 35,929..." Grouped from Pre Tax Adjustments Not Reported. No EDGAR-supported pre-tax adjustment item was reported for this period, so the adjusted net income bridge uses zero instead of preserving stale model hardcodes. Filing says: 10-K filed 2023-11-03: "y by increases in headcount-related expenses. Selling, General and Administrative Selling, general and administrative expense was relatively..." Grouped from Pre Tax Adjustments Not Reported. No EDGAR-supported pre-tax adjustment item was reported for this period, so the adjusted net income bridge uses zero instead of preserving stale model hardcodes. Filing says: 10-Q filed 2024-02-02: "ree Months Ended December 30, 2023 December 31, 2022 Cash, cash equivalents and restricted cash, beginning balances $ 30,737 $ 24,977..." Grouped from Pre Tax Adjustments Not Reported. No EDGAR-supported pre-tax adjustment item was reported for this period, so the adjusted net income bridge uses zero instead of preserving stale model hardcodes. Filing says: 10-Q filed 2024-05-03: "lions) Six Months Ended March 30, 2024 April 1, 2023 Cash, cash equivalents and restricted cash, beginning balances $ 30,737 $ 24,977..." Grouped from Pre Tax Adjustments Not Reported. No EDGAR-supported pre-tax adjustment item was reported for this period, so the adjusted net income bridge uses zero instead of preserving stale model hardcodes. Filing says: 10-Q filed 2024-08-02: "llions) Nine Months Ended June 29, 2024 July 1, 2023 Cash, cash equivalents and restricted cash, beginning balances $ 30,737 $ 24,977..." Grouped from Pre Tax Adjustments Not Reported. No EDGAR-supported pre-tax adjustment item was reported for this period, so the adjusted net income bridge uses zero instead of preserving stale model hardcodes. Filing says: 10-K filed 2024-11-01: "creases in headcount-related expenses. Selling, General and Administrative Selling, general and administrative expense increased $1.2..." Grouped from Pre Tax Adjustments Not Reported. No EDGAR-supported pre-tax adjustment item was reported for this period, so the adjusted net income bridge uses zero instead of preserving stale model hardcodes. Filing says: 10-Q filed 2025-01-31: "ber 28, 2024 December 30, 2023 Cash, cash equivalents, and restricted cash and cash equivalents, beginning balances $ 29,943 $ 30,737..." Grouped from Pre Tax Adjustments Not Reported. No EDGAR-supported pre-tax adjustment item was reported for this period, so the adjusted net income bridge uses zero instead of preserving stale model hardcodes. Filing says: 10-Q filed 2025-05-02: "March 29, 2025 March 30, 2024 Cash, cash equivalents, and restricted cash and cash equivalents, beginning balances $ 29,943 $ 30,737..." Grouped from Pre Tax Adjustments Not Reported. No EDGAR-supported pre-tax adjustment item was reported for this period, so the adjusted net income bridge uses zero instead of preserving stale model hardcodes. Filing says: 10-Q filed 2025-08-01: "ed June 28, 2025 June 29, 2024 Cash, cash equivalents, and restricted cash and cash equivalents, beginning balances $ 29,943 $ 30,737..." Grouped from Pre Tax Adjustments Not Reported. No EDGAR-supported pre-tax adjustment item was reported for this period, so the adjusted net income bridge uses zero instead of preserving stale model hardcodes. Filing says: 10-K filed 2025-10-31: "in selling, general and administrative expense during 2025 compared to 2024 was primarily driven by increases in headcount-related expenses..." Grouped from Pre Tax Adjustments Not Reported. No EDGAR-supported pre-tax adjustment item was reported for this period, so the adjusted net income bridge uses zero instead of preserving stale model hardcodes. Filing says: 10-Q filed 2026-01-30: "ber 27, 2025 December 28, 2024 Cash, cash equivalents, and restricted cash and cash equivalents, beginning balances $ 35,934 $ 29,943..." Grouped from Pre Tax Adjustments Not Reported. No EDGAR-supported pre-tax adjustment item was reported for this period, so the adjusted net income bridge uses zero instead of preserving stale model hardcodes. Filing says: 10-Q filed 2026-05-01: "March 28, 2026 March 29, 2025 Cash, cash equivalents, and restricted cash and cash equivalents, beginning balances $ 35,934 $ 29,943..."</t>
        </r>
      </text>
    </comment>
    <comment ref="F47" authorId="0">
      <text>
        <r>
          <rPr>
            <b/>
          </rPr>
          <t xml:space="preserve">EDGAR Mapper:
</t>
        </r>
        <r>
          <t xml:space="preserve">EDGAR: SEC filing
Period: 1Q23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G47" authorId="0">
      <text>
        <r>
          <rPr>
            <b/>
          </rPr>
          <t xml:space="preserve">EDGAR Mapper:
</t>
        </r>
        <r>
          <t xml:space="preserve">EDGAR: SEC filing
Period: 2Q23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H47" authorId="0">
      <text>
        <r>
          <rPr>
            <b/>
          </rPr>
          <t xml:space="preserve">EDGAR Mapper:
</t>
        </r>
        <r>
          <t xml:space="preserve">EDGAR: SEC filing
Period: 3Q23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I47" authorId="0">
      <text>
        <r>
          <rPr>
            <b/>
          </rPr>
          <t xml:space="preserve">EDGAR Mapper:
</t>
        </r>
        <r>
          <t xml:space="preserve">EDGAR: SEC filing
Period: 4Q23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K47" authorId="0">
      <text>
        <r>
          <rPr>
            <b/>
          </rPr>
          <t xml:space="preserve">EDGAR Mapper:
</t>
        </r>
        <r>
          <t xml:space="preserve">EDGAR: SEC filing
Period: 1Q24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L47" authorId="0">
      <text>
        <r>
          <rPr>
            <b/>
          </rPr>
          <t xml:space="preserve">EDGAR Mapper:
</t>
        </r>
        <r>
          <t xml:space="preserve">EDGAR: SEC filing
Period: 2Q24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M47" authorId="0">
      <text>
        <r>
          <rPr>
            <b/>
          </rPr>
          <t xml:space="preserve">EDGAR Mapper:
</t>
        </r>
        <r>
          <t xml:space="preserve">EDGAR: SEC filing
Period: 3Q24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N47" authorId="0">
      <text>
        <r>
          <rPr>
            <b/>
          </rPr>
          <t xml:space="preserve">EDGAR Mapper:
</t>
        </r>
        <r>
          <t xml:space="preserve">EDGAR: SEC filing
Period: 4Q24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P47" authorId="0">
      <text>
        <r>
          <rPr>
            <b/>
          </rPr>
          <t xml:space="preserve">EDGAR Mapper:
</t>
        </r>
        <r>
          <t xml:space="preserve">EDGAR: SEC filing
Period: 1Q25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Q47" authorId="0">
      <text>
        <r>
          <rPr>
            <b/>
          </rPr>
          <t xml:space="preserve">EDGAR Mapper:
</t>
        </r>
        <r>
          <t xml:space="preserve">EDGAR: SEC filing
Period: 2Q25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R47" authorId="0">
      <text>
        <r>
          <rPr>
            <b/>
          </rPr>
          <t xml:space="preserve">EDGAR Mapper:
</t>
        </r>
        <r>
          <t xml:space="preserve">EDGAR: SEC filing
Period: 3Q25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S47" authorId="0">
      <text>
        <r>
          <rPr>
            <b/>
          </rPr>
          <t xml:space="preserve">EDGAR Mapper:
</t>
        </r>
        <r>
          <t xml:space="preserve">EDGAR: SEC filing
Period: 4Q25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U47" authorId="0">
      <text>
        <r>
          <rPr>
            <b/>
          </rPr>
          <t xml:space="preserve">EDGAR Mapper:
</t>
        </r>
        <r>
          <t xml:space="preserve">EDGAR: SEC filing
Period: 1Q26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V47" authorId="0">
      <text>
        <r>
          <rPr>
            <b/>
          </rPr>
          <t xml:space="preserve">EDGAR Mapper:
</t>
        </r>
        <r>
          <t xml:space="preserve">EDGAR: SEC filing
Period: 2Q26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Post Tax Adjustments Not Reported. No EDGAR-supported post-tax adjustment item was reported for this period, so the adjusted net income bridge uses zero instead of preserving stale model hardcodes. Filing says: 10-Q filed 2023-02-03: "s of the respective vesting dates of RSUs was $ 6.8 billion and $ 8.5 billion for the three months ended December 31, 2022 and December 25,..." Grouped from Post Tax Adjustments Not Reported. No EDGAR-supported post-tax adjustment item was reported for this period, so the adjusted net income bridge uses zero instead of preserving stale model hardcodes. Filing says: 10-Q filed 2023-05-05: "nth periods ended April 1, 2023, respectively, and was $ 1.0 billion and $ 9.5 billion for the three- and six-month periods ended March 26,..." Grouped from Post Tax Adjustments Not Reported. No EDGAR-supported post-tax adjustment item was reported for this period, so the adjusted net income bridge uses zero instead of preserving stale model hardcodes. Filing says: 10-K filed 2023-11-03: "insolvency. Adverse economic conditions can also lead to increased credit and collectibility risk on the Company’s trade receivables; the..." Grouped from Post Tax Adjustments Not Reported. No EDGAR-supported post-tax adjustment item was reported for this period, so the adjusted net income bridge uses zero instead of preserving stale model hardcodes. Filing says: 10-Q filed 2024-02-02: "RSUs was $ 7.7 billion and $ 6.8 billion for the three months ended December 30, 2023 and December 31, 2022, respectively. Apple Inc. | Q1..." Grouped from Post Tax Adjustments Not Reported. No EDGAR-supported post-tax adjustment item was reported for this period, so the adjusted net income bridge uses zero instead of preserving stale model hardcodes. Filing says: 10-Q filed 2024-05-03: "spectively, and was $ 1.1 billion and $ 8.0 billion for the three- and six-month periods ended April 1, 2023, respectively. Apple Inc. | Q2..." Grouped from Post Tax Adjustments Not Reported. No EDGAR-supported post-tax adjustment item was reported for this period, so the adjusted net income bridge uses zero instead of preserving stale model hardcodes. Filing says: 10-Q filed 2024-08-02: "nth periods ended June 29, 2024, respectively, and was $ 7.0 billion and $ 14.9 billion for the three- and nine-month periods ended July 1,..." Grouped from Post Tax Adjustments Not Reported. No EDGAR-supported post-tax adjustment item was reported for this period, so the adjusted net income bridge uses zero instead of preserving stale model hardcodes. Filing says: 10-K filed 2024-11-01: "insolvency. Adverse economic conditions can also lead to increased credit and collectibility risk on the Company’s trade receivables; the..." Grouped from Post Tax Adjustments Not Reported. No EDGAR-supported post-tax adjustment item was reported for this period, so the adjusted net income bridge uses zero instead of preserving stale model hardcodes. Filing says: 10-Q filed 2025-01-31: "The total vesting-date fair value of RSUs was $ 8.4 billion and $ 7.7 billion for the three months ended December 28, 2024 and December 30,..." Grouped from Post Tax Adjustments Not Reported. No EDGAR-supported post-tax adjustment item was reported for this period, so the adjusted net income bridge uses zero instead of preserving stale model hardcodes. Filing says: 10-Q filed 2025-05-02: "th periods ended March 29, 2025, respectively, and was $ 821 million and $ 8.6 billion for the three- and six-month periods ended March 30,..." Grouped from Post Tax Adjustments Not Reported. No EDGAR-supported post-tax adjustment item was reported for this period, so the adjusted net income bridge uses zero instead of preserving stale model hardcodes. Filing says: 10-Q filed 2025-08-01: "ectively, and was $ 6.4 billion and $ 15.0 billion for the three- and nine-month periods ended June 29, 2024, respectively. Apple Inc. | Q3..." Grouped from Post Tax Adjustments Not Reported. No EDGAR-supported post-tax adjustment item was reported for this period, so the adjusted net income bridge uses zero instead of preserving stale model hardcodes. Filing says: 10-K filed 2025-10-31: "insolvency. Adverse economic conditions can also lead to increased credit and collectibility risk on the Company’s trade receivables; the..." Grouped from Post Tax Adjustments Not Reported. No EDGAR-supported post-tax adjustment item was reported for this period, so the adjusted net income bridge uses zero instead of preserving stale model hardcodes. Filing says: 10-Q filed 2026-01-30: "RSUs was $ 8.6 billion and $ 8.4 billion for the three months ended December 27, 2025 and December 28, 2024, respectively. Apple Inc. | Q1..." Grouped from Post Tax Adjustments Not Reported. No EDGAR-supported post-tax adjustment item was reported for this period, so the adjusted net income bridge uses zero instead of preserving stale model hardcodes. Filing says: 10-Q filed 2026-05-01: "ectively, and was $ 9.5 billion and $ 9.3 billion for the six months ended March 28, 2026 and March 29, 2025, respectively. Apple Inc. | Q2..."</t>
        </r>
      </text>
    </comment>
    <comment ref="F48" authorId="0">
      <text>
        <r>
          <rPr>
            <b/>
          </rPr>
          <t xml:space="preserve">EDGAR Mapper:
</t>
        </r>
        <r>
          <t xml:space="preserve">EDGAR: SEC filing
Period: 1Q23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G48" authorId="0">
      <text>
        <r>
          <rPr>
            <b/>
          </rPr>
          <t xml:space="preserve">EDGAR Mapper:
</t>
        </r>
        <r>
          <t xml:space="preserve">EDGAR: SEC filing
Period: 2Q23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SEC filing
Period: 4Q23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K48" authorId="0">
      <text>
        <r>
          <rPr>
            <b/>
          </rPr>
          <t xml:space="preserve">EDGAR Mapper:
</t>
        </r>
        <r>
          <t xml:space="preserve">======
ID#AAABbnJBV1o
Lilianna Ruby    (2025-01-14 21:09:38)
Mexico adjustments
EDGAR Mapper:
EDGAR: SEC filing
Period: 1Q24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L48" authorId="0">
      <text>
        <r>
          <rPr>
            <b/>
          </rPr>
          <t xml:space="preserve">EDGAR Mapper:
</t>
        </r>
        <r>
          <t xml:space="preserve">======
ID#AAABbnJBV1A
Lilianna Ruby    (2025-01-14 21:09:38)
Mexico adjustments
EDGAR Mapper:
EDGAR: SEC filing
Period: 2Q24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M48" authorId="0">
      <text>
        <r>
          <rPr>
            <b/>
          </rPr>
          <t xml:space="preserve">EDGAR Mapper:
</t>
        </r>
        <r>
          <t xml:space="preserve">======
ID#AAABbnJBVy0
Lilianna Ruby    (2025-01-14 21:09:38)
2019 Canada restructuring
EDGAR Mapper:
EDGAR: SEC filing
Period: 3Q24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N48" authorId="0">
      <text>
        <r>
          <rPr>
            <b/>
          </rPr>
          <t xml:space="preserve">EDGAR Mapper:
</t>
        </r>
        <r>
          <t xml:space="preserve">======
ID#AAABbnJBV1g
Lilianna Ruby    (2025-01-14 21:09:38)
Mexico adjustments and 2019 Canada restructuring
EDGAR Mapper:
EDGAR: SEC filing
Period: 4Q24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P48" authorId="0">
      <text>
        <r>
          <rPr>
            <b/>
          </rPr>
          <t xml:space="preserve">EDGAR Mapper:
</t>
        </r>
        <r>
          <t xml:space="preserve">======
ID#AAABbnJBVzs
Lilianna Ruby    (2025-01-14 21:09:38)
Canada restructuring
EDGAR Mapper:
EDGAR: SEC filing
Period: 1Q25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Q48" authorId="0">
      <text>
        <r>
          <rPr>
            <b/>
          </rPr>
          <t xml:space="preserve">EDGAR Mapper:
</t>
        </r>
        <r>
          <t xml:space="preserve">======
ID#AAABbnJBVx8
Lilianna Ruby    (2025-01-14 21:09:38)
Canada restructuring
EDGAR Mapper:
EDGAR: SEC filing
Period: 2Q25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R48" authorId="0">
      <text>
        <r>
          <rPr>
            <b/>
          </rPr>
          <t xml:space="preserve">EDGAR Mapper:
</t>
        </r>
        <r>
          <t xml:space="preserve">EDGAR: SEC filing
Period: 3Q25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S48" authorId="0">
      <text>
        <r>
          <rPr>
            <b/>
          </rPr>
          <t xml:space="preserve">EDGAR Mapper:
</t>
        </r>
        <r>
          <t xml:space="preserve">EDGAR: SEC filing
Period: 4Q25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U48" authorId="0">
      <text>
        <r>
          <rPr>
            <b/>
          </rPr>
          <t xml:space="preserve">EDGAR Mapper:
</t>
        </r>
        <r>
          <t xml:space="preserve">EDGAR: SEC filing
Period: 1Q26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V48" authorId="0">
      <text>
        <r>
          <rPr>
            <b/>
          </rPr>
          <t xml:space="preserve">EDGAR Mapper:
</t>
        </r>
        <r>
          <t xml:space="preserve">EDGAR: SEC filing
Period: 2Q26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C49" authorId="0">
      <text>
        <r>
          <rPr>
            <b/>
          </rPr>
          <t xml:space="preserve">EDGAR Mapper:
</t>
        </r>
        <r>
          <t>Grouped from Discontinued Operations Bridge. Set to zero for prior years because the model bridge reconciles common-shareholder income through post-tax adjustments and the NCI plug. Filing says: 10-Q filed 2023-02-03: "fair value of derivative instruments ( 988 ) 362 Adjustment for net (gains)/losses realized and included in net income ( 1,766 ) 93 Total..." Grouped from Discontinued Operations Bridge. Set to zero for prior years because the model bridge reconciles common-shareholder income through post-tax adjustments and the NCI plug. Filing says: 10-Q filed 2023-05-05: "34 ( 1,001 ) 696 Adjustment for net (gains)/losses realized and included in net income ( 191 ) ( 301 ) ( 1,957 ) ( 208 ) Total change in..." Grouped from Discontinued Operations Bridge. Set to zero for prior years because the model bridge reconciles common-shareholder income through post-tax adjustments and the NCI plug. Filing says: 10-Q filed 2023-08-04: "ents 509 852 ( 492 ) 1,548 Adjustment for net (gains)/losses realized and included in net income 103 121 ( 1,854 ) ( 87 ) Total change in..." Grouped from Discontinued Operations Bridge. Set to zero for prior years because the model bridge reconciles common-shareholder income through post-tax adjustments and the NCI plug. Filing says: 10-K filed 2023-11-03: "insolvency. Adverse economic conditions can also lead to increased credit and collectibility risk on the Company’s trade receivables; the..." Grouped from Discontinued Operations Bridge. Set to zero for prior years because the model bridge reconciles common-shareholder income through post-tax adjustments and the NCI plug. Filing says: 10-Q filed 2024-02-02: "erivative instruments ( 531 ) ( 988 ) Adjustment for net (gains)/losses realized and included in net income ( 823 ) ( 1,766 ) Total change..." Grouped from Discontinued Operations Bridge. Set to zero for prior years because the model bridge reconciles common-shareholder income through post-tax adjustments and the NCI plug. Filing says: 10-Q filed 2024-05-03: "75 ) ( 1,001 ) Adjustment for net (gains)/losses realized and included in net income 232 ( 191 ) ( 591 ) ( 1,957 ) Total change in..." Grouped from Discontinued Operations Bridge. Set to zero for prior years because the model bridge reconciles common-shareholder income through post-tax adjustments and the NCI plug. Filing says: 10-Q filed 2024-08-02: "406 509 331 ( 492 ) Adjustment for net (gains)/losses realized and included in net income ( 87 ) 103 ( 678 ) ( 1,854 ) Total change in..." Grouped from Discontinued Operations Bridge. Set to zero for prior years because the model bridge reconciles common-shareholder income through post-tax adjustments and the NCI plug. Filing says: 10-K filed 2024-11-01: "insolvency. Adverse economic conditions can also lead to increased credit and collectibility risk on the Company’s trade receivables; the..." Grouped from Discontinued Operations Bridge. Set to zero for prior years because the model bridge reconciles common-shareholder income through post-tax adjustments and the NCI plug. Filing says: 10-Q filed 2026-01-30: "ber 27, 2025 December 28, 2024 Cash, cash equivalents, and restricted cash and cash equivalents, beginning balances $ 35,934 $ 29,943..." Grouped from Discontinued Operations Bridge. Set to zero for prior years because the model bridge reconciles common-shareholder income through post-tax adjustments and the NCI plug. Filing says: 10-Q filed 2026-05-01: "instruments 162 ( 318 ) 373 1,333 Adjustment for net (gains)/losses realized and included in net income 44 ( 628 ) 281 156 Total change in..." Needs review: one or more historical periods were left unchanged because no matching EDGAR fact was found.</t>
        </r>
      </text>
    </comment>
    <comment ref="F49" authorId="0">
      <text>
        <r>
          <rPr>
            <b/>
          </rPr>
          <t xml:space="preserve">EDGAR Mapper:
</t>
        </r>
        <r>
          <t xml:space="preserve">EDGAR: SEC filing
Period: 1Q23
Value: 0 mm
From: Discontinued Operations Bridge
Confidence: medium
Note: Grouped from Discontinued Operations Bridge. Set to zero for prior years because the model bridge reconciles common-shareholder income through post-tax adjustments and the NCI plug. Filing says: 10-Q filed 2023-02-03: "fair value of...</t>
        </r>
      </text>
    </comment>
    <comment ref="G49" authorId="0">
      <text>
        <r>
          <rPr>
            <b/>
          </rPr>
          <t xml:space="preserve">EDGAR Mapper:
</t>
        </r>
        <r>
          <t xml:space="preserve">EDGAR: SEC filing
Period: 2Q23
Value: 0 mm
From: Discontinued Operations Bridge
Confidence: medium
Note: Grouped from Discontinued Operations Bridge. Set to zero for prior years because the model bridge reconciles common-shareholder income through post-tax adjustments and the NCI plug. Filing says: 10-Q filed 2023-05-05: "34 ( 1,001 ) 696...</t>
        </r>
      </text>
    </comment>
    <comment ref="H49" authorId="0">
      <text>
        <r>
          <rPr>
            <b/>
          </rPr>
          <t xml:space="preserve">EDGAR Mapper:
</t>
        </r>
        <r>
          <t xml:space="preserve">EDGAR: SEC filing
Period: 3Q23
Value: 0 mm
From: Discontinued Operations Bridge
Confidence: medium
Note: Grouped from Discontinued Operations Bridge. Set to zero for prior years because the model bridge reconciles common-shareholder income through post-tax adjustments and the NCI plug. Filing says: 10-Q filed 2023-08-04: "ents 509 852 ( 492 )...</t>
        </r>
      </text>
    </comment>
    <comment ref="I49" authorId="0">
      <text>
        <r>
          <rPr>
            <b/>
          </rPr>
          <t xml:space="preserve">EDGAR Mapper:
</t>
        </r>
        <r>
          <t xml:space="preserve">EDGAR: SEC filing
Period: 4Q23
Value: 0 mm
From: Discontinued Operations Bridge
Confidence: medium
Note: Grouped from Discontinued Operations Bridge. Set to zero for prior years because the model bridge reconciles common-shareholder income through post-tax adjustments and the NCI plug. Filing says: 10-K filed 2023-11-03: "insolvency. Adverse...</t>
        </r>
      </text>
    </comment>
    <comment ref="K49" authorId="0">
      <text>
        <r>
          <rPr>
            <b/>
          </rPr>
          <t xml:space="preserve">EDGAR Mapper:
</t>
        </r>
        <r>
          <t xml:space="preserve">EDGAR: SEC filing
Period: 1Q24
Value: 0 mm
From: Discontinued Operations Bridge
Confidence: medium
Note: Grouped from Discontinued Operations Bridge. Set to zero for prior years because the model bridge reconciles common-shareholder income through post-tax adjustments and the NCI plug. Filing says: 10-Q filed 2024-02-02: "erivative instruments...</t>
        </r>
      </text>
    </comment>
    <comment ref="L49" authorId="0">
      <text>
        <r>
          <rPr>
            <b/>
          </rPr>
          <t xml:space="preserve">EDGAR Mapper:
</t>
        </r>
        <r>
          <t xml:space="preserve">EDGAR: SEC filing
Period: 2Q24
Value: 0 mm
From: Discontinued Operations Bridge
Confidence: medium
Note: Grouped from Discontinued Operations Bridge. Set to zero for prior years because the model bridge reconciles common-shareholder income through post-tax adjustments and the NCI plug. Filing says: 10-Q filed 2024-05-03: "75 ) ( 1,001 )...</t>
        </r>
      </text>
    </comment>
    <comment ref="M49" authorId="0">
      <text>
        <r>
          <rPr>
            <b/>
          </rPr>
          <t xml:space="preserve">EDGAR Mapper:
</t>
        </r>
        <r>
          <t xml:space="preserve">EDGAR: SEC filing
Period: 3Q24
Value: 0 mm
From: Discontinued Operations Bridge
Confidence: medium
Note: Grouped from Discontinued Operations Bridge. Set to zero for prior years because the model bridge reconciles common-shareholder income through post-tax adjustments and the NCI plug. Filing says: 10-Q filed 2024-08-02: "406 509 331 ( 492 )...</t>
        </r>
      </text>
    </comment>
    <comment ref="N49" authorId="0">
      <text>
        <r>
          <rPr>
            <b/>
          </rPr>
          <t xml:space="preserve">EDGAR Mapper:
</t>
        </r>
        <r>
          <t xml:space="preserve">EDGAR: SEC filing
Period: 4Q24
Value: 0 mm
From: Discontinued Operations Bridge
Confidence: medium
Note: Grouped from Discontinued Operations Bridge. Set to zero for prior years because the model bridge reconciles common-shareholder income through post-tax adjustments and the NCI plug. Filing says: 10-K filed 2024-11-01: "insolvency. Adverse...</t>
        </r>
      </text>
    </comment>
    <comment ref="U49" authorId="0">
      <text>
        <r>
          <rPr>
            <b/>
          </rPr>
          <t xml:space="preserve">EDGAR Mapper:
</t>
        </r>
        <r>
          <t xml:space="preserve">EDGAR: SEC filing
Period: 1Q26
Value: 0 mm
From: Discontinued Operations Bridge
Confidence: medium
Note: Grouped from Discontinued Operations Bridge. Set to zero for prior years because the model bridge reconciles common-shareholder income through post-tax adjustments and the NCI plug. Filing says: 10-Q filed 2026-01-30: "ber 27, 2025 December...</t>
        </r>
      </text>
    </comment>
    <comment ref="V49" authorId="0">
      <text>
        <r>
          <rPr>
            <b/>
          </rPr>
          <t xml:space="preserve">EDGAR Mapper:
</t>
        </r>
        <r>
          <t xml:space="preserve">EDGAR: SEC filing
Period: 2Q26
Value: 0 mm
From: Discontinued Operations Bridge
Confidence: medium
Note: Grouped from Discontinued Operations Bridge. Set to zero for prior years because the model bridge reconciles common-shareholder income through post-tax adjustments and the NCI plug. Filing says: 10-Q filed 2026-05-01: "instruments 162 ( 318...</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Cash and Cash Equivalents, at Carrying Value. Filing says: 10-Q filed 2025-01-31: "olidated Financial Statements. Apple Inc. | Q1 2025 Form 10-Q | 2 Apple Inc. CONDENSED CONSOLIDATED BALANCE SHEETS (Unaudited) (In millions,..." Grouped from Cash and Cash Equivalents, at Carrying Value. Filing says: 10-Q filed 2025-05-02: "onsolidated Financial Statements. Apple Inc. | Q2 2025 Form 10-Q | 2 Apple Inc. CONDENSED CONSOLIDATED BALANCE SHEETS (Unaudited) (In..." Grouped from Cash and Cash Equivalents, at Carrying Value. Filing says: 10-Q filed 2025-08-01: "Consolidated Financial Statements. Apple Inc. | Q3 2025 Form 10-Q | 2 Apple Inc. CONDENSED CONSOLIDATED BALANCE SHEETS (Unaudited) (In..." Grouped from Cash and Cash Equivalents, at Carrying Value. Filing says: 10-K filed 2025-10-31: "987 Non-current assets: Marketable securities 77,723 91,479 Property, plant and equipment, net 49,834 45,680 Other non-current assets 83,727..."</t>
        </r>
      </text>
    </comment>
    <comment ref="F120" authorId="0">
      <text>
        <r>
          <rPr>
            <b/>
          </rPr>
          <t xml:space="preserve">EDGAR Mapper:
</t>
        </r>
        <r>
          <t>Replaced a balance-sheet formula with the EDGAR period-end balance so instant values are not derived from prior quarters.</t>
        </r>
      </text>
    </comment>
    <comment ref="G120" authorId="0">
      <text>
        <r>
          <rPr>
            <b/>
          </rPr>
          <t xml:space="preserve">EDGAR Mapper:
</t>
        </r>
        <r>
          <t>Replaced a balance-sheet formula with the EDGAR period-end balance so instant values are not derived from prior quarters.</t>
        </r>
      </text>
    </comment>
    <comment ref="H120" authorId="0">
      <text>
        <r>
          <rPr>
            <b/>
          </rPr>
          <t xml:space="preserve">EDGAR Mapper:
</t>
        </r>
        <r>
          <t>Replaced a balance-sheet formula with the EDGAR period-end balance so instant values are not derived from prior quarters.</t>
        </r>
      </text>
    </comment>
    <comment ref="I120" authorId="0">
      <text>
        <r>
          <rPr>
            <b/>
          </rPr>
          <t xml:space="preserve">EDGAR Mapper:
</t>
        </r>
        <r>
          <t>Replaced a balance-sheet formula with the EDGAR period-end balance so instant values are not derived from prior quarters.</t>
        </r>
      </text>
    </comment>
    <comment ref="K120" authorId="0">
      <text>
        <r>
          <rPr>
            <b/>
          </rPr>
          <t xml:space="preserve">EDGAR Mapper:
</t>
        </r>
        <r>
          <t>Replaced a balance-sheet formula with the EDGAR period-end balance so instant values are not derived from prior quarters.</t>
        </r>
      </text>
    </comment>
    <comment ref="L120" authorId="0">
      <text>
        <r>
          <rPr>
            <b/>
          </rPr>
          <t xml:space="preserve">EDGAR Mapper:
</t>
        </r>
        <r>
          <t>Replaced a balance-sheet formula with the EDGAR period-end balance so instant values are not derived from prior quarters.</t>
        </r>
      </text>
    </comment>
    <comment ref="M120" authorId="0">
      <text>
        <r>
          <rPr>
            <b/>
          </rPr>
          <t xml:space="preserve">EDGAR Mapper:
</t>
        </r>
        <r>
          <t>Replaced a balance-sheet formula with the EDGAR period-end balance so instant values are not derived from prior quarters.</t>
        </r>
      </text>
    </comment>
    <comment ref="N120" authorId="0">
      <text>
        <r>
          <rPr>
            <b/>
          </rPr>
          <t xml:space="preserve">EDGAR Mapper:
</t>
        </r>
        <r>
          <t>Replaced a balance-sheet formula with the EDGAR period-end balance so instant values are not derived from prior quarters.</t>
        </r>
      </text>
    </comment>
    <comment ref="P120" authorId="0">
      <text>
        <r>
          <rPr>
            <b/>
          </rPr>
          <t xml:space="preserve">EDGAR Mapper:
</t>
        </r>
        <r>
          <t xml:space="preserve">EDGAR: 10-Q, filed 2025-01-31
Period: 1Q25 (ended 2024-12-28)
Value: 30299 mm
From: Cash and Cash Equivalents, at Carrying Value
Confidence: high
Note: Grouped from Cash and Cash Equivalents, at Carrying Value. Filing says: 10-Q filed 2025-01-31: "olidated Financial Statements. Apple Inc. | Q1 2025 Form 10-Q | 2 Apple Inc. CONDENSED CONSOLIDATED BALANCE SHEETS (Unaudited) (In millions,..."</t>
        </r>
      </text>
    </comment>
    <comment ref="Q120" authorId="0">
      <text>
        <r>
          <rPr>
            <b/>
          </rPr>
          <t xml:space="preserve">EDGAR Mapper:
</t>
        </r>
        <r>
          <t xml:space="preserve">EDGAR: 10-Q, filed 2025-05-02
Period: 2Q25 (ended 2025-03-29)
Value: 28162 mm
From: Cash and Cash Equivalents, at Carrying Value
Confidence: high
Note: Grouped from Cash and Cash Equivalents, at Carrying Value. Filing says: 10-Q filed 2025-05-02: "onsolidated Financial Statements. Apple Inc. | Q2 2025 Form 10-Q | 2 Apple Inc. CONDENSED CONSOLIDATED BALANCE SHEETS (Unaudited) (In..."</t>
        </r>
      </text>
    </comment>
    <comment ref="R120" authorId="0">
      <text>
        <r>
          <rPr>
            <b/>
          </rPr>
          <t xml:space="preserve">EDGAR Mapper:
</t>
        </r>
        <r>
          <t xml:space="preserve">EDGAR: 10-Q, filed 2025-08-01
Period: 3Q25 (ended 2025-06-28)
Value: 36269 mm
From: Cash and Cash Equivalents, at Carrying Value
Confidence: high
Note: Grouped from Cash and Cash Equivalents, at Carrying Value. Filing says: 10-Q filed 2025-08-01: "Consolidated Financial Statements. Apple Inc. | Q3 2025 Form 10-Q | 2 Apple Inc. CONDENSED CONSOLIDATED BALANCE SHEETS (Unaudited) (In..."</t>
        </r>
      </text>
    </comment>
    <comment ref="S120" authorId="0">
      <text>
        <r>
          <rPr>
            <b/>
          </rPr>
          <t xml:space="preserve">EDGAR Mapper:
</t>
        </r>
        <r>
          <t xml:space="preserve">EDGAR: 10-Q, filed 2026-05-01
Period: 4Q25 (ended 2025-09-27)
Value: 35934 mm
From: Cash and Cash Equivalents, at Carrying Value
Confidence: high
Note: Grouped from Cash and Cash Equivalents, at Carrying Value. Filing says: 10-K filed 2025-10-31: "987 Non-current assets: Marketable securities 77,723 91,479 Property, plant and equipment, net 49,834 45,680 Other non-current assets 83,727..."</t>
        </r>
      </text>
    </comment>
    <comment ref="U120" authorId="0">
      <text>
        <r>
          <rPr>
            <b/>
          </rPr>
          <t xml:space="preserve">EDGAR Mapper:
</t>
        </r>
        <r>
          <t>Replaced a balance-sheet formula with the EDGAR period-end balance so instant values are not derived from prior quarters.</t>
        </r>
      </text>
    </comment>
    <comment ref="V120" authorId="0">
      <text>
        <r>
          <rPr>
            <b/>
          </rPr>
          <t xml:space="preserve">EDGAR Mapper:
</t>
        </r>
        <r>
          <t>Replaced a balance-sheet formula with the EDGAR period-end balance so instant values are not derived from prior quarters.</t>
        </r>
      </text>
    </comment>
    <comment ref="Y120" authorId="0">
      <text/>
    </comment>
    <comment ref="Z120" authorId="0">
      <text/>
    </comment>
    <comment ref="AD120" authorId="0">
      <text/>
    </comment>
    <comment ref="AE120" authorId="0">
      <text/>
    </comment>
    <comment ref="C121" authorId="0">
      <text>
        <r>
          <rPr>
            <b/>
          </rPr>
          <t xml:space="preserve">EDGAR Mapper:
</t>
        </r>
        <r>
          <t>Grouped from Accounts Receivable, after Allowance for Credit Loss, Current. Filing says: 10-Q filed 2023-02-03: "ree Months Ended December 31, 2022 December 25, 2021 Cash, cash equivalents and restricted cash, beginning balances $ 24,977 $ 35,929..." Grouped from Accounts Receivable, after Allowance for Credit Loss, Current. Filing says: 10-Q filed 2023-05-05: "lions) Six Months Ended April 1, 2023 March 26, 2022 Cash, cash equivalents and restricted cash, beginning balances $ 24,977 $ 35,929..." Grouped from Accounts Receivable, after Allowance for Credit Loss, Current. Filing says: 10-Q filed 2023-08-04: "llions) Nine Months Ended July 1, 2023 June 25, 2022 Cash, cash equivalents and restricted cash, beginning balances $ 24,977 $ 35,929..." Grouped from Accounts Receivable, after Allowance for Credit Loss, Current. Filing says: 10-K filed 2023-11-03: "bilities were (in millions): 2023 2022 Deferred tax assets: Tax credit carryforwards $ 8,302 $ 6,962 Accrued liabilities and other reserves..." Grouped from Accounts Receivable, after Allowance for Credit Loss, Current. Filing says: 10-Q filed 2024-02-02: "ree Months Ended December 30, 2023 December 31, 2022 Cash, cash equivalents and restricted cash, beginning balances $ 30,737 $ 24,977..." Grouped from Accounts Receivable, after Allowance for Credit Loss, Current. Filing says: 10-Q filed 2024-05-03: "lions) Six Months Ended March 30, 2024 April 1, 2023 Cash, cash equivalents and restricted cash, beginning balances $ 30,737 $ 24,977..." Grouped from Accounts Receivable, after Allowance for Credit Loss, Current. Filing says: 10-Q filed 2024-08-02: "llions) Nine Months Ended June 29, 2024 July 1, 2023 Cash, cash equivalents and restricted cash, beginning balances $ 30,737 $ 24,977..." Grouped from Accounts Receivable, after Allowance for Credit Loss, Current. Filing says: 10-K filed 2024-11-01: "s deferred tax assets and liabilities were (in millions): 2024 2023 Deferred tax assets: Capitalized research and development $ 10,739 $..." Grouped from Accounts Receivable, after Allowance for Credit Loss, Current. Filing says: 10-Q filed 2025-01-31: "ber 28, 2024 December 30, 2023 Cash, cash equivalents, and restricted cash and cash equivalents, beginning balances $ 29,943 $ 30,737..." Grouped from Accounts Receivable, after Allowance for Credit Loss, Current. Filing says: 10-Q filed 2025-05-02: "March 29, 2025 March 30, 2024 Cash, cash equivalents, and restricted cash and cash equivalents, beginning balances $ 29,943 $ 30,737..." Grouped from Accounts Receivable, after Allowance for Credit Loss, Current. Filing says: 10-Q filed 2025-08-01: "ed June 28, 2025 June 29, 2024 Cash, cash equivalents, and restricted cash and cash equivalents, beginning balances $ 29,943 $ 30,737..." Grouped from Accounts Receivable, after Allowance for Credit Loss, Current. Filing says: 10-K filed 2025-10-31: "ax assets and liabilities were as follows (in millions): 2025 2024 Deferred tax assets: Capitalized research and development $ 15,041 $..." Grouped from Accounts Receivable, after Allowance for Credit Loss, Current. Filing says: 10-Q filed 2026-01-30: "ber 27, 2025 December 28, 2024 Cash, cash equivalents, and restricted cash and cash equivalents, beginning balances $ 35,934 $ 29,943..." Grouped from Accounts Receivable, after Allowance for Credit Loss, Current. Filing says: 10-Q filed 2026-05-01: "March 28, 2026 March 29, 2025 Cash, cash equivalents, and restricted cash and cash equivalents, beginning balances $ 35,934 $ 29,943..."</t>
        </r>
      </text>
    </comment>
    <comment ref="F121" authorId="0">
      <text>
        <r>
          <rPr>
            <b/>
          </rPr>
          <t xml:space="preserve">EDGAR Mapper:
</t>
        </r>
        <r>
          <t xml:space="preserve">EDGAR: 10-Q, filed 2023-02-03
Period: 1Q23 (ended 2022-12-31)
Value: 23752 mm
From: Accounts Receivable, after Allowance for Credit Loss, Current
Confidence: high
Note: Grouped from Accounts Receivable, after Allowance for Credit Loss, Current. Filing says: 10-Q filed 2023-02-03: "ree Months Ended December 31, 2022 December 25, 2021 Cash, cash equivalents and restricted cash, beginning balances $ 24,977 $...</t>
        </r>
      </text>
    </comment>
    <comment ref="G121" authorId="0">
      <text>
        <r>
          <rPr>
            <b/>
          </rPr>
          <t xml:space="preserve">EDGAR Mapper:
</t>
        </r>
        <r>
          <t xml:space="preserve">EDGAR: 10-Q, filed 2023-05-05
Period: 2Q23 (ended 2023-04-01)
Value: 17936 mm
From: Accounts Receivable, after Allowance for Credit Loss, Current
Confidence: high
Note: Grouped from Accounts Receivable, after Allowance for Credit Loss, Current. Filing says: 10-Q filed 2023-05-05: "lions) Six Months Ended April 1, 2023 March 26, 2022 Cash, cash equivalents and restricted cash, beginning balances $ 24,977 $...</t>
        </r>
      </text>
    </comment>
    <comment ref="H121" authorId="0">
      <text>
        <r>
          <rPr>
            <b/>
          </rPr>
          <t xml:space="preserve">EDGAR Mapper:
</t>
        </r>
        <r>
          <t xml:space="preserve">EDGAR: 10-Q, filed 2023-08-04
Period: 3Q23 (ended 2023-07-01)
Value: 19549 mm
From: Accounts Receivable, after Allowance for Credit Loss, Current
Confidence: high
Note: Grouped from Accounts Receivable, after Allowance for Credit Loss, Current. Filing says: 10-Q filed 2023-08-04: "llions) Nine Months Ended July 1, 2023 June 25, 2022 Cash, cash equivalents and restricted cash, beginning balances $ 24,977 $...</t>
        </r>
      </text>
    </comment>
    <comment ref="I121" authorId="0">
      <text>
        <r>
          <rPr>
            <b/>
          </rPr>
          <t xml:space="preserve">EDGAR Mapper:
</t>
        </r>
        <r>
          <t xml:space="preserve">EDGAR: 10-K, filed 2024-11-01
Period: 4Q23 (ended 2023-09-30)
Value: 29508 mm
From: Accounts Receivable, after Allowance for Credit Loss, Current
Confidence: high
Note: Grouped from Accounts Receivable, after Allowance for Credit Loss, Current. Filing says: 10-K filed 2023-11-03: "bilities were (in millions): 2023 2022 Deferred tax assets: Tax credit carryforwards $ 8,302 $ 6,962 Accrued liabilities and...</t>
        </r>
      </text>
    </comment>
    <comment ref="K121" authorId="0">
      <text>
        <r>
          <rPr>
            <b/>
          </rPr>
          <t xml:space="preserve">EDGAR Mapper:
</t>
        </r>
        <r>
          <t xml:space="preserve">EDGAR: 10-Q, filed 2024-02-02
Period: 1Q24 (ended 2023-12-30)
Value: 23194 mm
From: Accounts Receivable, after Allowance for Credit Loss, Current
Confidence: high
Note: Grouped from Accounts Receivable, after Allowance for Credit Loss, Current. Filing says: 10-Q filed 2024-02-02: "ree Months Ended December 30, 2023 December 31, 2022 Cash, cash equivalents and restricted cash, beginning balances $ 30,737 $...</t>
        </r>
      </text>
    </comment>
    <comment ref="L121" authorId="0">
      <text>
        <r>
          <rPr>
            <b/>
          </rPr>
          <t xml:space="preserve">EDGAR Mapper:
</t>
        </r>
        <r>
          <t xml:space="preserve">EDGAR: 10-Q, filed 2024-05-03
Period: 2Q24 (ended 2024-03-30)
Value: 21837 mm
From: Accounts Receivable, after Allowance for Credit Loss, Current
Confidence: high
Note: Grouped from Accounts Receivable, after Allowance for Credit Loss, Current. Filing says: 10-Q filed 2024-05-03: "lions) Six Months Ended March 30, 2024 April 1, 2023 Cash, cash equivalents and restricted cash, beginning balances $ 30,737 $...</t>
        </r>
      </text>
    </comment>
    <comment ref="M121" authorId="0">
      <text>
        <r>
          <rPr>
            <b/>
          </rPr>
          <t xml:space="preserve">EDGAR Mapper:
</t>
        </r>
        <r>
          <t xml:space="preserve">EDGAR: 10-Q, filed 2024-08-02
Period: 3Q24 (ended 2024-06-29)
Value: 22795 mm
From: Accounts Receivable, after Allowance for Credit Loss, Current
Confidence: high
Note: Grouped from Accounts Receivable, after Allowance for Credit Loss, Current. Filing says: 10-Q filed 2024-08-02: "llions) Nine Months Ended June 29, 2024 July 1, 2023 Cash, cash equivalents and restricted cash, beginning balances $ 30,737 $...</t>
        </r>
      </text>
    </comment>
    <comment ref="N121" authorId="0">
      <text>
        <r>
          <rPr>
            <b/>
          </rPr>
          <t xml:space="preserve">EDGAR Mapper:
</t>
        </r>
        <r>
          <t xml:space="preserve">EDGAR: 10-K, filed 2025-10-31
Period: 4Q24 (ended 2024-09-28)
Value: 33410 mm
From: Accounts Receivable, after Allowance for Credit Loss, Current
Confidence: high
Note: Grouped from Accounts Receivable, after Allowance for Credit Loss, Current. Filing says: 10-K filed 2024-11-01: "s deferred tax assets and liabilities were (in millions): 2024 2023 Deferred tax assets: Capitalized research and development $...</t>
        </r>
      </text>
    </comment>
    <comment ref="P121" authorId="0">
      <text>
        <r>
          <rPr>
            <b/>
          </rPr>
          <t xml:space="preserve">EDGAR Mapper:
</t>
        </r>
        <r>
          <t xml:space="preserve">EDGAR: 10-Q, filed 2025-01-31
Period: 1Q25 (ended 2024-12-28)
Value: 29639 mm
From: Accounts Receivable, after Allowance for Credit Loss, Current
Confidence: high
Note: Grouped from Accounts Receivable, after Allowance for Credit Loss, Current. Filing says: 10-Q filed 2025-01-31: "ber 28, 2024 December 30, 2023 Cash, cash equivalents, and restricted cash and cash equivalents, beginning balances $ 29,943 $...</t>
        </r>
      </text>
    </comment>
    <comment ref="Q121" authorId="0">
      <text>
        <r>
          <rPr>
            <b/>
          </rPr>
          <t xml:space="preserve">EDGAR Mapper:
</t>
        </r>
        <r>
          <t xml:space="preserve">EDGAR: 10-Q, filed 2025-05-02
Period: 2Q25 (ended 2025-03-29)
Value: 26136 mm
From: Accounts Receivable, after Allowance for Credit Loss, Current
Confidence: high
Note: Grouped from Accounts Receivable, after Allowance for Credit Loss, Current. Filing says: 10-Q filed 2025-05-02: "March 29, 2025 March 30, 2024 Cash, cash equivalents, and restricted cash and cash equivalents, beginning balances $ 29,943 $...</t>
        </r>
      </text>
    </comment>
    <comment ref="R121" authorId="0">
      <text>
        <r>
          <rPr>
            <b/>
          </rPr>
          <t xml:space="preserve">EDGAR Mapper:
</t>
        </r>
        <r>
          <t xml:space="preserve">EDGAR: 10-Q, filed 2025-08-01
Period: 3Q25 (ended 2025-06-28)
Value: 27557 mm
From: Accounts Receivable, after Allowance for Credit Loss, Current
Confidence: high
Note: Grouped from Accounts Receivable, after Allowance for Credit Loss, Current. Filing says: 10-Q filed 2025-08-01: "ed June 28, 2025 June 29, 2024 Cash, cash equivalents, and restricted cash and cash equivalents, beginning balances $ 29,943 $...</t>
        </r>
      </text>
    </comment>
    <comment ref="S121" authorId="0">
      <text>
        <r>
          <rPr>
            <b/>
          </rPr>
          <t xml:space="preserve">EDGAR Mapper:
</t>
        </r>
        <r>
          <t xml:space="preserve">EDGAR: 10-Q, filed 2026-05-01
Period: 4Q25 (ended 2025-09-27)
Value: 39777 mm
From: Accounts Receivable, after Allowance for Credit Loss, Current
Confidence: high
Note: Grouped from Accounts Receivable, after Allowance for Credit Loss, Current. Filing says: 10-K filed 2025-10-31: "ax assets and liabilities were as follows (in millions): 2025 2024 Deferred tax assets: Capitalized research and development $...</t>
        </r>
      </text>
    </comment>
    <comment ref="U121" authorId="0">
      <text>
        <r>
          <rPr>
            <b/>
          </rPr>
          <t xml:space="preserve">EDGAR Mapper:
</t>
        </r>
        <r>
          <t xml:space="preserve">EDGAR: 10-Q, filed 2026-01-30
Period: 1Q26 (ended 2025-12-27)
Value: 39921 mm
From: Accounts Receivable, after Allowance for Credit Loss, Current
Confidence: high
Note: Grouped from Accounts Receivable, after Allowance for Credit Loss, Current. Filing says: 10-Q filed 2026-01-30: "ber 27, 2025 December 28, 2024 Cash, cash equivalents, and restricted cash and cash equivalents, beginning balances $ 35,934 $...</t>
        </r>
      </text>
    </comment>
    <comment ref="V121" authorId="0">
      <text>
        <r>
          <rPr>
            <b/>
          </rPr>
          <t xml:space="preserve">EDGAR Mapper:
</t>
        </r>
        <r>
          <t xml:space="preserve">EDGAR: 10-Q, filed 2026-05-01
Period: 2Q26 (ended 2026-03-28)
Value: 30339 mm
From: Accounts Receivable, after Allowance for Credit Loss, Current
Confidence: high
Note: Grouped from Accounts Receivable, after Allowance for Credit Loss, Current. Filing says: 10-Q filed 2026-05-01: "March 28, 2026 March 29, 2025 Cash, cash equivalents, and restricted cash and cash equivalents, beginning balances $ 35,934 $...</t>
        </r>
      </text>
    </comment>
    <comment ref="F122" authorId="0">
      <text>
        <r>
          <rPr>
            <b/>
          </rPr>
          <t xml:space="preserve">EDGAR Mapper:
</t>
        </r>
        <r>
          <t xml:space="preserve">EDGAR: 10-Q, filed 2023-02-03
Period: 1Q23 (ended 2022-12-31)
Value: 6820 mm
From: Inventory, Net
Confidence: high</t>
        </r>
      </text>
    </comment>
    <comment ref="G122" authorId="0">
      <text>
        <r>
          <rPr>
            <b/>
          </rPr>
          <t xml:space="preserve">EDGAR Mapper:
</t>
        </r>
        <r>
          <t xml:space="preserve">EDGAR: 10-Q, filed 2023-05-05
Period: 2Q23 (ended 2023-04-01)
Value: 7482 mm
From: Inventory, Net
Confidence: high</t>
        </r>
      </text>
    </comment>
    <comment ref="H122" authorId="0">
      <text>
        <r>
          <rPr>
            <b/>
          </rPr>
          <t xml:space="preserve">EDGAR Mapper:
</t>
        </r>
        <r>
          <t xml:space="preserve">EDGAR: 10-Q, filed 2023-08-04
Period: 3Q23 (ended 2023-07-01)
Value: 7351 mm
From: Inventory, Net
Confidence: high</t>
        </r>
      </text>
    </comment>
    <comment ref="I122" authorId="0">
      <text>
        <r>
          <rPr>
            <b/>
          </rPr>
          <t xml:space="preserve">EDGAR Mapper:
</t>
        </r>
        <r>
          <t xml:space="preserve">EDGAR: 10-K, filed 2024-11-01
Period: 4Q23 (ended 2023-09-30)
Value: 6331 mm
From: Inventory, Net
Confidence: high</t>
        </r>
      </text>
    </comment>
    <comment ref="K122" authorId="0">
      <text>
        <r>
          <rPr>
            <b/>
          </rPr>
          <t xml:space="preserve">EDGAR Mapper:
</t>
        </r>
        <r>
          <t xml:space="preserve">EDGAR: 10-Q, filed 2024-02-02
Period: 1Q24 (ended 2023-12-30)
Value: 6511 mm
From: Inventory, Net
Confidence: high</t>
        </r>
      </text>
    </comment>
    <comment ref="L122" authorId="0">
      <text>
        <r>
          <rPr>
            <b/>
          </rPr>
          <t xml:space="preserve">EDGAR Mapper:
</t>
        </r>
        <r>
          <t xml:space="preserve">EDGAR: 10-Q, filed 2024-05-03
Period: 2Q24 (ended 2024-03-30)
Value: 6232 mm
From: Inventory, Net
Confidence: high</t>
        </r>
      </text>
    </comment>
    <comment ref="M122" authorId="0">
      <text>
        <r>
          <rPr>
            <b/>
          </rPr>
          <t xml:space="preserve">EDGAR Mapper:
</t>
        </r>
        <r>
          <t xml:space="preserve">EDGAR: 10-Q, filed 2024-08-02
Period: 3Q24 (ended 2024-06-29)
Value: 6165 mm
From: Inventory, Net
Confidence: high</t>
        </r>
      </text>
    </comment>
    <comment ref="N122" authorId="0">
      <text>
        <r>
          <rPr>
            <b/>
          </rPr>
          <t xml:space="preserve">EDGAR Mapper:
</t>
        </r>
        <r>
          <t xml:space="preserve">EDGAR: 10-K, filed 2025-10-31
Period: 4Q24 (ended 2024-09-28)
Value: 7286 mm
From: Inventory, Net
Confidence: high</t>
        </r>
      </text>
    </comment>
    <comment ref="P122" authorId="0">
      <text>
        <r>
          <rPr>
            <b/>
          </rPr>
          <t xml:space="preserve">EDGAR Mapper:
</t>
        </r>
        <r>
          <t xml:space="preserve">EDGAR: 10-Q, filed 2025-01-31
Period: 1Q25 (ended 2024-12-28)
Value: 6911 mm
From: Inventory, Net
Confidence: high</t>
        </r>
      </text>
    </comment>
    <comment ref="Q122" authorId="0">
      <text>
        <r>
          <rPr>
            <b/>
          </rPr>
          <t xml:space="preserve">EDGAR Mapper:
</t>
        </r>
        <r>
          <t xml:space="preserve">EDGAR: 10-Q, filed 2025-05-02
Period: 2Q25 (ended 2025-03-29)
Value: 6269 mm
From: Inventory, Net
Confidence: high</t>
        </r>
      </text>
    </comment>
    <comment ref="R122" authorId="0">
      <text>
        <r>
          <rPr>
            <b/>
          </rPr>
          <t xml:space="preserve">EDGAR Mapper:
</t>
        </r>
        <r>
          <t xml:space="preserve">EDGAR: 10-Q, filed 2025-08-01
Period: 3Q25 (ended 2025-06-28)
Value: 5925 mm
From: Inventory, Net
Confidence: high</t>
        </r>
      </text>
    </comment>
    <comment ref="S122" authorId="0">
      <text>
        <r>
          <rPr>
            <b/>
          </rPr>
          <t xml:space="preserve">EDGAR Mapper:
</t>
        </r>
        <r>
          <t xml:space="preserve">EDGAR: 10-Q, filed 2026-05-01
Period: 4Q25 (ended 2025-09-27)
Value: 5718 mm
From: Inventory, Net
Confidence: high</t>
        </r>
      </text>
    </comment>
    <comment ref="U122" authorId="0">
      <text>
        <r>
          <rPr>
            <b/>
          </rPr>
          <t xml:space="preserve">EDGAR Mapper:
</t>
        </r>
        <r>
          <t xml:space="preserve">EDGAR: 10-Q, filed 2026-01-30
Period: 1Q26 (ended 2025-12-27)
Value: 5875 mm
From: Inventory, Net
Confidence: high</t>
        </r>
      </text>
    </comment>
    <comment ref="V122" authorId="0">
      <text>
        <r>
          <rPr>
            <b/>
          </rPr>
          <t xml:space="preserve">EDGAR Mapper:
</t>
        </r>
        <r>
          <t xml:space="preserve">EDGAR: 10-Q, filed 2026-05-01
Period: 2Q26 (ended 2026-03-28)
Value: 6747 mm
From: Inventory, Net
Confidence: high</t>
        </r>
      </text>
    </comment>
    <comment ref="C123" authorId="0">
      <text>
        <r>
          <rPr>
            <b/>
          </rPr>
          <t xml:space="preserve">EDGAR Mapper:
</t>
        </r>
        <r>
          <t xml:space="preserve">======
ID#AAABbnJBVzo
Luke Brennan    (2025-01-14 21:09:38)
Short-Term and Other Investments
and Current Portion of Customer Financing, net
EDGAR Mapper:
Grouped from Assets, Current, Cash and Cash Equivalents, at Carrying Value, Accounts Receivable, after Allowance for Credit Loss, Current, +1 more. Included current assets less separately modeled cash/current investments, receivables, and inventory. Filing says: 10-Q filed 2023-02-03: "nsolidated Financial Statements. Apple Inc. | Q1 2023 Form 10-Q | 2 Apple Inc. CONDENSED CONSOLIDATED BALANCE SHEETS (Unaudited) (In..." Grouped from Assets, Current, Cash and Cash Equivalents, at Carrying Value, Accounts Receivable, after Allowance for Credit Loss, Current, +1 more. Included current assets less separately modeled cash/current investments, receivables, and inventory. Filing says: 10-Q filed 2023-05-05: "d Consolidated Financial Statements. Apple Inc. | Q2 2023 Form 10-Q | 2 Apple Inc. CONDENSED CONSOLIDATED BALANCE SHEETS (Unaudited) (In..." Grouped from Assets, Current, Cash and Cash Equivalents, at Carrying Value, Accounts Receivable, after Allowance for Credit Loss, Current, +1 more. Included current assets less separately modeled cash/current investments, receivables, and inventory. Filing says: 10-Q filed 2023-08-04: "ed Consolidated Financial Statements. Apple Inc. | Q3 2023 Form 10-Q | 2 Apple Inc. CONDENSED CONSOLIDATED BALANCE SHEETS (Unaudited) (In..." Grouped from Assets, Current, Cash and Cash Equivalents, at Carrying Value, Accounts Receivable, after Allowance for Credit Loss, Current, +1 more. Included current assets less separately modeled cash/current investments, receivables, and inventory. Filing says: 10-K filed 2023-11-03: "bilities were (in millions): 2023 2022 Deferred tax assets: Tax credit carryforwards $ 8,302 $ 6,962 Accrued liabilities and other reserves..." Grouped from Assets, Current, Cash and Cash Equivalents, at Carrying Value, Accounts Receivable, after Allowance for Credit Loss, Current, +1 more. Included current assets less separately modeled cash/current investments, receivables, and inventory. Filing says: 10-Q filed 2024-02-02: "olidated Financial Statements. Apple Inc. | Q1 2024 Form 10-Q | 2 Apple Inc. CONDENSED CONSOLIDATED BALANCE SHEETS (Unaudited) (In millions,..." Grouped from Assets, Current, Cash and Cash Equivalents, at Carrying Value, Accounts Receivable, after Allowance for Credit Loss, Current, +1 more. Included current assets less separately modeled cash/current investments, receivables, and inventory. Filing says: 10-Q filed 2024-05-03: "onsolidated Financial Statements. Apple Inc. | Q2 2024 Form 10-Q | 2 Apple Inc. CONDENSED CONSOLIDATED BALANCE SHEETS (Unaudited) (In..." Grouped from Assets, Current, Cash and Cash Equivalents, at Carrying Value, Accounts Receivable, after Allowance for Credit Loss, Current, +1 more. Included current assets less separately modeled cash/current investments, receivables, and inventory. Filing says: 10-Q filed 2024-08-02: "Consolidated Financial Statements. Apple Inc. | Q3 2024 Form 10-Q | 2 Apple Inc. CONDENSED CONSOLIDATED BALANCE SHEETS (Unaudited) (In..." Grouped from Assets, Current, Cash and Cash Equivalents, at Carrying Value, Accounts Receivable, after Allowance for Credit Loss, Current, +1 more. Included current assets less separately modeled cash/current investments, receivables, and inventory. Filing says: 10-K filed 2024-11-01: "s deferred tax assets and liabilities were (in millions): 2024 2023 Deferred tax assets: Capitalized research and development $ 10,739 $..." Grouped from Assets, Current, Cash and Cash Equivalents, at Carrying Value, Accounts Receivable, after Allowance for Credit Loss, Current, +1 more. Included current assets less separately modeled cash/current investments, receivables, and inventory. Filing says: 10-Q filed 2025-01-31: "olidated Financial Statements. Apple Inc. | Q1 2025 Form 10-Q | 2 Apple Inc. CONDENSED CONSOLIDATED BALANCE SHEETS (Unaudited) (In millions,..." Grouped from Assets, Current, Cash and Cash Equivalents, at Carrying Value, Accounts Receivable, after Allowance for Credit Loss, Current, +1 more. Included current assets less separately modeled cash/current investments, receivables, and inventory. Filing says: 10-Q filed 2025-05-02: "onsolidated Financial Statements. Apple Inc. | Q2 2025 Form 10-Q | 2 Apple Inc. CONDENSED CONSOLIDATED BALANCE SHEETS (Unaudited) (In..." Grouped from Assets, Current, Cash and Cash Equivalents, at Carrying Value, Accounts Receivable, after Allowance for Credit Loss, Current, +1 more. Included current assets less separately modeled cash/current investments, receivables, and inventory. Filing says: 10-Q filed 2025-08-01: "Consolidated Financial Statements. Apple Inc. | Q3 2025 Form 10-Q | 2 Apple Inc. CONDENSED CONSOLIDATED BALANCE SHEETS (Unaudited) (In..." Grouped from Assets, Current, Cash and Cash Equivalents, at Carrying Value, Accounts Receivable, after Allowance for Credit Loss, Current, +1 more. Included current assets less separately modeled cash/current investments, receivables, and inventory. Filing says: 10-K filed 2025-10-31: "ax assets and liabilities were as follows (in millions): 2025 2024 Deferred tax assets: Capitalized research and development $ 15,041 $..." Grouped from Assets, Current, Cash and Cash Equivalents, at Carrying Value, Accounts Receivable, after Allowance for Credit Loss, Current, +1 more. Included current assets less separately modeled cash/current investments, receivables, and inventory. Filing says: 10-Q filed 2026-01-30: "olidated Financial Statements. Apple Inc. | Q1 2026 Form 10-Q | 2 Apple Inc. CONDENSED CONSOLIDATED BALANCE SHEETS (Unaudited) (In millions,..." Grouped from Assets, Current, Cash and Cash Equivalents, at Carrying Value, Accounts Receivable, after Allowance for Credit Loss, Current, +1 more. Included current assets less separately modeled cash/current investments, receivables, and inventory. Filing says: 10-Q filed 2026-05-01: "onsolidated Financial Statements. Apple Inc. | Q2 2026 Form 10-Q | 2 Apple Inc. CONDENSED CONSOLIDATED BALANCE SHEETS (Unaudited) (In..."</t>
        </r>
      </text>
    </comment>
    <comment ref="F123" authorId="0">
      <text>
        <r>
          <rPr>
            <b/>
          </rPr>
          <t xml:space="preserve">EDGAR Mapper:
</t>
        </r>
        <r>
          <t xml:space="preserve">EDGAR: 10-Q, filed 2023-02-03
Period: 1Q23 (ended 2022-12-31)
Value: 77670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G123" authorId="0">
      <text>
        <r>
          <rPr>
            <b/>
          </rPr>
          <t xml:space="preserve">EDGAR Mapper:
</t>
        </r>
        <r>
          <t xml:space="preserve">EDGAR: 10-Q, filed 2023-05-05
Period: 2Q23 (ended 2023-04-01)
Value: 62808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H123" authorId="0">
      <text>
        <r>
          <rPr>
            <b/>
          </rPr>
          <t xml:space="preserve">EDGAR Mapper:
</t>
        </r>
        <r>
          <t xml:space="preserve">EDGAR: 10-Q, filed 2023-08-04
Period: 3Q23 (ended 2023-07-01)
Value: 67351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I123" authorId="0">
      <text>
        <r>
          <rPr>
            <b/>
          </rPr>
          <t xml:space="preserve">EDGAR Mapper:
</t>
        </r>
        <r>
          <t xml:space="preserve">EDGAR: 10-K, filed 2024-11-01
Period: 4Q23 (ended 2023-09-30)
Value: 77762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K123" authorId="0">
      <text>
        <r>
          <rPr>
            <b/>
          </rPr>
          <t xml:space="preserve">EDGAR Mapper:
</t>
        </r>
        <r>
          <t xml:space="preserve">EDGAR: 10-Q, filed 2024-02-02
Period: 1Q24 (ended 2023-12-30)
Value: 73227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L123" authorId="0">
      <text>
        <r>
          <rPr>
            <b/>
          </rPr>
          <t xml:space="preserve">EDGAR Mapper:
</t>
        </r>
        <r>
          <t xml:space="preserve">EDGAR: 10-Q, filed 2024-05-03
Period: 2Q24 (ended 2024-03-30)
Value: 67652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M123" authorId="0">
      <text>
        <r>
          <rPr>
            <b/>
          </rPr>
          <t xml:space="preserve">EDGAR Mapper:
</t>
        </r>
        <r>
          <t xml:space="preserve">EDGAR: 10-Q, filed 2024-08-02
Period: 3Q24 (ended 2024-06-29)
Value: 70910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N123" authorId="0">
      <text>
        <r>
          <rPr>
            <b/>
          </rPr>
          <t xml:space="preserve">EDGAR Mapper:
</t>
        </r>
        <r>
          <t xml:space="preserve">EDGAR: 10-K, filed 2025-10-31
Period: 4Q24 (ended 2024-09-28)
Value: 82348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P123" authorId="0">
      <text>
        <r>
          <rPr>
            <b/>
          </rPr>
          <t xml:space="preserve">EDGAR Mapper:
</t>
        </r>
        <r>
          <t xml:space="preserve">EDGAR: 10-Q, filed 2025-01-31
Period: 1Q25 (ended 2024-12-28)
Value: 66391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Q123" authorId="0">
      <text>
        <r>
          <rPr>
            <b/>
          </rPr>
          <t xml:space="preserve">EDGAR Mapper:
</t>
        </r>
        <r>
          <t xml:space="preserve">EDGAR: 10-Q, filed 2025-05-02
Period: 2Q25 (ended 2025-03-29)
Value: 58107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R123" authorId="0">
      <text>
        <r>
          <rPr>
            <b/>
          </rPr>
          <t xml:space="preserve">EDGAR Mapper:
</t>
        </r>
        <r>
          <t xml:space="preserve">EDGAR: 10-Q, filed 2025-08-01
Period: 3Q25 (ended 2025-06-28)
Value: 52740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S123" authorId="0">
      <text>
        <r>
          <rPr>
            <b/>
          </rPr>
          <t xml:space="preserve">EDGAR Mapper:
</t>
        </r>
        <r>
          <t xml:space="preserve">EDGAR: 10-Q, filed 2026-05-01
Period: 4Q25 (ended 2025-09-27)
Value: 66528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U123" authorId="0">
      <text>
        <r>
          <rPr>
            <b/>
          </rPr>
          <t xml:space="preserve">EDGAR Mapper:
</t>
        </r>
        <r>
          <t xml:space="preserve">EDGAR: 10-Q, filed 2026-01-30
Period: 1Q26 (ended 2025-12-27)
Value: 66991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V123" authorId="0">
      <text>
        <r>
          <rPr>
            <b/>
          </rPr>
          <t xml:space="preserve">EDGAR Mapper:
</t>
        </r>
        <r>
          <t xml:space="preserve">EDGAR: 10-Q, filed 2026-05-01
Period: 2Q26 (ended 2026-03-28)
Value: 61456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Z124" authorId="0">
      <text/>
    </comment>
    <comment ref="AE124" authorId="0">
      <text/>
    </comment>
    <comment ref="C126" authorId="0">
      <text>
        <r>
          <rPr>
            <b/>
          </rPr>
          <t xml:space="preserve">EDGAR Mapper:
</t>
        </r>
        <r>
          <t>Grouped from Property, Plant and Equipment, Net. Filing says: 10-Q filed 2023-02-03: "nsolidated Financial Statements. Apple Inc. | Q1 2023 Form 10-Q | 2 Apple Inc. CONDENSED CONSOLIDATED BALANCE SHEETS (Unaudited) (In..." Grouped from Property, Plant and Equipment, Net. Filing says: 10-Q filed 2023-05-05: "d Consolidated Financial Statements. Apple Inc. | Q2 2023 Form 10-Q | 2 Apple Inc. CONDENSED CONSOLIDATED BALANCE SHEETS (Unaudited) (In..." Grouped from Property, Plant and Equipment, Net. Filing says: 10-Q filed 2023-08-04: "ed Consolidated Financial Statements. Apple Inc. | Q3 2023 Form 10-Q | 2 Apple Inc. CONDENSED CONSOLIDATED BALANCE SHEETS (Unaudited) (In..." Grouped from Property, Plant and Equipment, Net. Filing says: 10-K filed 2023-11-03: "5 Non-current assets: Marketable securities 100,544 120,805 Property, plant and equipment, net 43,715 42,117 Other non-current assets 64,758..." Grouped from Property, Plant and Equipment, Net. Filing says: 10-Q filed 2024-02-02: "olidated Financial Statements. Apple Inc. | Q1 2024 Form 10-Q | 2 Apple Inc. CONDENSED CONSOLIDATED BALANCE SHEETS (Unaudited) (In millions,..." Grouped from Property, Plant and Equipment, Net. Filing says: 10-Q filed 2024-05-03: "onsolidated Financial Statements. Apple Inc. | Q2 2024 Form 10-Q | 2 Apple Inc. CONDENSED CONSOLIDATED BALANCE SHEETS (Unaudited) (In..." Grouped from Property, Plant and Equipment, Net. Filing says: 10-Q filed 2024-08-02: "Consolidated Financial Statements. Apple Inc. | Q3 2024 Form 10-Q | 2 Apple Inc. CONDENSED CONSOLIDATED BALANCE SHEETS (Unaudited) (In..." Grouped from Property, Plant and Equipment, Net. Filing says: 10-K filed 2024-11-01: "66 Non-current assets: Marketable securities 91,479 100,544 Property, plant and equipment, net 45,680 43,715 Other non-current assets 74,834..." Grouped from Property, Plant and Equipment, Net. Filing says: 10-Q filed 2025-01-31: "olidated Financial Statements. Apple Inc. | Q1 2025 Form 10-Q | 2 Apple Inc. CONDENSED CONSOLIDATED BALANCE SHEETS (Unaudited) (In millions,..." Grouped from Property, Plant and Equipment, Net. Filing says: 10-Q filed 2025-05-02: "onsolidated Financial Statements. Apple Inc. | Q2 2025 Form 10-Q | 2 Apple Inc. CONDENSED CONSOLIDATED BALANCE SHEETS (Unaudited) (In..." Grouped from Property, Plant and Equipment, Net. Filing says: 10-Q filed 2025-08-01: "Consolidated Financial Statements. Apple Inc. | Q3 2025 Form 10-Q | 2 Apple Inc. CONDENSED CONSOLIDATED BALANCE SHEETS (Unaudited) (In..." Grouped from Property, Plant and Equipment, Net. Filing says: 10-K filed 2025-10-31: "987 Non-current assets: Marketable securities 77,723 91,479 Property, plant and equipment, net 49,834 45,680 Other non-current assets 83,727..." Grouped from Property, Plant and Equipment, Net. Filing says: 10-Q filed 2026-01-30: "olidated Financial Statements. Apple Inc. | Q1 2026 Form 10-Q | 2 Apple Inc. CONDENSED CONSOLIDATED BALANCE SHEETS (Unaudited) (In millions,..." Grouped from Property, Plant and Equipment, Net. Filing says: 10-Q filed 2026-05-01: "onsolidated Financial Statements. Apple Inc. | Q2 2026 Form 10-Q | 2 Apple Inc. CONDENSED CONSOLIDATED BALANCE SHEETS (Unaudited) (In..."</t>
        </r>
      </text>
    </comment>
    <comment ref="F126" authorId="0">
      <text>
        <r>
          <rPr>
            <b/>
          </rPr>
          <t xml:space="preserve">EDGAR Mapper:
</t>
        </r>
        <r>
          <t xml:space="preserve">EDGAR: 10-Q, filed 2023-02-03
Period: 1Q23 (ended 2022-12-31)
Value: 42951 mm
From: Property, Plant and Equipment, Net
Confidence: high
Note: Grouped from Property, Plant and Equipment, Net. Filing says: 10-Q filed 2023-02-03: "nsolidated Financial Statements. Apple Inc. | Q1 2023 Form 10-Q | 2 Apple Inc. CONDENSED CONSOLIDATED BALANCE SHEETS (Unaudited) (In..."</t>
        </r>
      </text>
    </comment>
    <comment ref="G126" authorId="0">
      <text>
        <r>
          <rPr>
            <b/>
          </rPr>
          <t xml:space="preserve">EDGAR Mapper:
</t>
        </r>
        <r>
          <t xml:space="preserve">EDGAR: 10-Q, filed 2023-05-05
Period: 2Q23 (ended 2023-04-01)
Value: 43398 mm
From: Property, Plant and Equipment, Net
Confidence: high
Note: Grouped from Property, Plant and Equipment, Net. Filing says: 10-Q filed 2023-05-05: "d Consolidated Financial Statements. Apple Inc. | Q2 2023 Form 10-Q | 2 Apple Inc. CONDENSED CONSOLIDATED BALANCE SHEETS (Unaudited) (In..."</t>
        </r>
      </text>
    </comment>
    <comment ref="H126" authorId="0">
      <text>
        <r>
          <rPr>
            <b/>
          </rPr>
          <t xml:space="preserve">EDGAR Mapper:
</t>
        </r>
        <r>
          <t xml:space="preserve">EDGAR: 10-Q, filed 2023-08-04
Period: 3Q23 (ended 2023-07-01)
Value: 43550 mm
From: Property, Plant and Equipment, Net
Confidence: high
Note: Grouped from Property, Plant and Equipment, Net. Filing says: 10-Q filed 2023-08-04: "ed Consolidated Financial Statements. Apple Inc. | Q3 2023 Form 10-Q | 2 Apple Inc. CONDENSED CONSOLIDATED BALANCE SHEETS (Unaudited) (In..."</t>
        </r>
      </text>
    </comment>
    <comment ref="I126" authorId="0">
      <text>
        <r>
          <rPr>
            <b/>
          </rPr>
          <t xml:space="preserve">EDGAR Mapper:
</t>
        </r>
        <r>
          <t xml:space="preserve">EDGAR: 10-K, filed 2024-11-01
Period: 4Q23 (ended 2023-09-30)
Value: 43715 mm
From: Property, Plant and Equipment, Net
Confidence: high
Note: Grouped from Property, Plant and Equipment, Net. Filing says: 10-K filed 2023-11-03: "5 Non-current assets: Marketable securities 100,544 120,805 Property, plant and equipment, net 43,715 42,117 Other non-current assets 64,758..."</t>
        </r>
      </text>
    </comment>
    <comment ref="K126" authorId="0">
      <text>
        <r>
          <rPr>
            <b/>
          </rPr>
          <t xml:space="preserve">EDGAR Mapper:
</t>
        </r>
        <r>
          <t xml:space="preserve">EDGAR: 10-Q, filed 2024-02-02
Period: 1Q24 (ended 2023-12-30)
Value: 43666 mm
From: Property, Plant and Equipment, Net
Confidence: high
Note: Grouped from Property, Plant and Equipment, Net. Filing says: 10-Q filed 2024-02-02: "olidated Financial Statements. Apple Inc. | Q1 2024 Form 10-Q | 2 Apple Inc. CONDENSED CONSOLIDATED BALANCE SHEETS (Unaudited) (In millions,..."</t>
        </r>
      </text>
    </comment>
    <comment ref="L126" authorId="0">
      <text>
        <r>
          <rPr>
            <b/>
          </rPr>
          <t xml:space="preserve">EDGAR Mapper:
</t>
        </r>
        <r>
          <t xml:space="preserve">EDGAR: 10-Q, filed 2024-05-03
Period: 2Q24 (ended 2024-03-30)
Value: 43546 mm
From: Property, Plant and Equipment, Net
Confidence: high
Note: Grouped from Property, Plant and Equipment, Net. Filing says: 10-Q filed 2024-05-03: "onsolidated Financial Statements. Apple Inc. | Q2 2024 Form 10-Q | 2 Apple Inc. CONDENSED CONSOLIDATED BALANCE SHEETS (Unaudited) (In..."</t>
        </r>
      </text>
    </comment>
    <comment ref="M126" authorId="0">
      <text>
        <r>
          <rPr>
            <b/>
          </rPr>
          <t xml:space="preserve">EDGAR Mapper:
</t>
        </r>
        <r>
          <t xml:space="preserve">EDGAR: 10-Q, filed 2024-08-02
Period: 3Q24 (ended 2024-06-29)
Value: 44502 mm
From: Property, Plant and Equipment, Net
Confidence: high
Note: Grouped from Property, Plant and Equipment, Net. Filing says: 10-Q filed 2024-08-02: "Consolidated Financial Statements. Apple Inc. | Q3 2024 Form 10-Q | 2 Apple Inc. CONDENSED CONSOLIDATED BALANCE SHEETS (Unaudited) (In..."</t>
        </r>
      </text>
    </comment>
    <comment ref="N126" authorId="0">
      <text>
        <r>
          <rPr>
            <b/>
          </rPr>
          <t xml:space="preserve">EDGAR Mapper:
</t>
        </r>
        <r>
          <t xml:space="preserve">EDGAR: 10-K, filed 2025-10-31
Period: 4Q24 (ended 2024-09-28)
Value: 45680 mm
From: Property, Plant and Equipment, Net
Confidence: high
Note: Grouped from Property, Plant and Equipment, Net. Filing says: 10-K filed 2024-11-01: "66 Non-current assets: Marketable securities 91,479 100,544 Property, plant and equipment, net 45,680 43,715 Other non-current assets 74,834..."</t>
        </r>
      </text>
    </comment>
    <comment ref="P126" authorId="0">
      <text>
        <r>
          <rPr>
            <b/>
          </rPr>
          <t xml:space="preserve">EDGAR Mapper:
</t>
        </r>
        <r>
          <t xml:space="preserve">EDGAR: 10-Q, filed 2025-01-31
Period: 1Q25 (ended 2024-12-28)
Value: 46069 mm
From: Property, Plant and Equipment, Net
Confidence: high
Note: Grouped from Property, Plant and Equipment, Net. Filing says: 10-Q filed 2025-01-31: "olidated Financial Statements. Apple Inc. | Q1 2025 Form 10-Q | 2 Apple Inc. CONDENSED CONSOLIDATED BALANCE SHEETS (Unaudited) (In millions,..."</t>
        </r>
      </text>
    </comment>
    <comment ref="Q126" authorId="0">
      <text>
        <r>
          <rPr>
            <b/>
          </rPr>
          <t xml:space="preserve">EDGAR Mapper:
</t>
        </r>
        <r>
          <t xml:space="preserve">EDGAR: 10-Q, filed 2025-05-02
Period: 2Q25 (ended 2025-03-29)
Value: 46876 mm
From: Property, Plant and Equipment, Net
Confidence: high
Note: Grouped from Property, Plant and Equipment, Net. Filing says: 10-Q filed 2025-05-02: "onsolidated Financial Statements. Apple Inc. | Q2 2025 Form 10-Q | 2 Apple Inc. CONDENSED CONSOLIDATED BALANCE SHEETS (Unaudited) (In..."</t>
        </r>
      </text>
    </comment>
    <comment ref="R126" authorId="0">
      <text>
        <r>
          <rPr>
            <b/>
          </rPr>
          <t xml:space="preserve">EDGAR Mapper:
</t>
        </r>
        <r>
          <t xml:space="preserve">EDGAR: 10-Q, filed 2025-08-01
Period: 3Q25 (ended 2025-06-28)
Value: 48508 mm
From: Property, Plant and Equipment, Net
Confidence: high
Note: Grouped from Property, Plant and Equipment, Net. Filing says: 10-Q filed 2025-08-01: "Consolidated Financial Statements. Apple Inc. | Q3 2025 Form 10-Q | 2 Apple Inc. CONDENSED CONSOLIDATED BALANCE SHEETS (Unaudited) (In..."</t>
        </r>
      </text>
    </comment>
    <comment ref="S126" authorId="0">
      <text>
        <r>
          <rPr>
            <b/>
          </rPr>
          <t xml:space="preserve">EDGAR Mapper:
</t>
        </r>
        <r>
          <t xml:space="preserve">EDGAR: 10-Q, filed 2026-05-01
Period: 4Q25 (ended 2025-09-27)
Value: 49834 mm
From: Property, Plant and Equipment, Net
Confidence: high
Note: Grouped from Property, Plant and Equipment, Net. Filing says: 10-K filed 2025-10-31: "987 Non-current assets: Marketable securities 77,723 91,479 Property, plant and equipment, net 49,834 45,680 Other non-current assets 83,727..."</t>
        </r>
      </text>
    </comment>
    <comment ref="U126" authorId="0">
      <text>
        <r>
          <rPr>
            <b/>
          </rPr>
          <t xml:space="preserve">EDGAR Mapper:
</t>
        </r>
        <r>
          <t xml:space="preserve">EDGAR: 10-Q, filed 2026-01-30
Period: 1Q26 (ended 2025-12-27)
Value: 50159 mm
From: Property, Plant and Equipment, Net
Confidence: high
Note: Grouped from Property, Plant and Equipment, Net. Filing says: 10-Q filed 2026-01-30: "olidated Financial Statements. Apple Inc. | Q1 2026 Form 10-Q | 2 Apple Inc. CONDENSED CONSOLIDATED BALANCE SHEETS (Unaudited) (In millions,..."</t>
        </r>
      </text>
    </comment>
    <comment ref="V126" authorId="0">
      <text>
        <r>
          <rPr>
            <b/>
          </rPr>
          <t xml:space="preserve">EDGAR Mapper:
</t>
        </r>
        <r>
          <t xml:space="preserve">EDGAR: 10-Q, filed 2026-05-01
Period: 2Q26 (ended 2026-03-28)
Value: 50116 mm
From: Property, Plant and Equipment, Net
Confidence: high
Note: Grouped from Property, Plant and Equipment, Net. Filing says: 10-Q filed 2026-05-01: "onsolidated Financial Statements. Apple Inc. | Q2 2026 Form 10-Q | 2 Apple Inc. CONDENSED CONSOLIDATED BALANCE SHEETS (Unaudited) (In..."</t>
        </r>
      </text>
    </comment>
    <comment ref="C127" authorId="0">
      <text>
        <r>
          <rPr>
            <b/>
          </rPr>
          <t xml:space="preserve">EDGAR Mapper:
</t>
        </r>
        <r>
          <t>Grouped from Finite Lived Intangible Assets net. No separate intangible assets line item was reported in the SEC balance sheet for this period, so stale template values were cleared. Filing says: 10-Q filed 2023-02-03: "ree Months Ended December 31, 2022 December 25, 2021 Cash, cash equivalents and restricted cash, beginning balances $ 24,977 $ 35,929..." Grouped from Finite Lived Intangible Assets net. No separate intangible assets line item was reported in the SEC balance sheet for this period, so stale template values were cleared. Filing says: 10-Q filed 2023-05-05: "lions) Six Months Ended April 1, 2023 March 26, 2022 Cash, cash equivalents and restricted cash, beginning balances $ 24,977 $ 35,929..." Grouped from Finite Lived Intangible Assets net. No separate intangible assets line item was reported in the SEC balance sheet for this period, so stale template values were cleared. Filing says: 10-Q filed 2023-08-04: "llions) Nine Months Ended July 1, 2023 June 25, 2022 Cash, cash equivalents and restricted cash, beginning balances $ 24,977 $ 35,929..." Grouped from Finite Lived Intangible Assets net. No separate intangible assets line item was reported in the SEC balance sheet for this period, so stale template values were cleared. Grouped from Finite Lived Intangible Assets net. No separate intangible assets line item was reported in the SEC balance sheet for this period, so stale template values were cleared. Filing says: 10-Q filed 2024-02-02: "ree Months Ended December 30, 2023 December 31, 2022 Cash, cash equivalents and restricted cash, beginning balances $ 30,737 $ 24,977..." Grouped from Finite Lived Intangible Assets net. No separate intangible assets line item was reported in the SEC balance sheet for this period, so stale template values were cleared. Filing says: 10-Q filed 2024-05-03: "lions) Six Months Ended March 30, 2024 April 1, 2023 Cash, cash equivalents and restricted cash, beginning balances $ 30,737 $ 24,977..." Grouped from Finite Lived Intangible Assets net. No separate intangible assets line item was reported in the SEC balance sheet for this period, so stale template values were cleared. Filing says: 10-Q filed 2024-08-02: "llions) Nine Months Ended June 29, 2024 July 1, 2023 Cash, cash equivalents and restricted cash, beginning balances $ 30,737 $ 24,977..." Grouped from Finite Lived Intangible Assets net. No separate intangible assets line item was reported in the SEC balance sheet for this period, so stale template values were cleared. Filing says: 10-Q filed 2025-01-31: "ber 28, 2024 December 30, 2023 Cash, cash equivalents, and restricted cash and cash equivalents, beginning balances $ 29,943 $ 30,737..." Grouped from Finite Lived Intangible Assets net. No separate intangible assets line item was reported in the SEC balance sheet for this period, so stale template values were cleared. Filing says: 10-Q filed 2025-05-02: "March 29, 2025 March 30, 2024 Cash, cash equivalents, and restricted cash and cash equivalents, beginning balances $ 29,943 $ 30,737..." Grouped from Finite Lived Intangible Assets net. No separate intangible assets line item was reported in the SEC balance sheet for this period, so stale template values were cleared. Filing says: 10-Q filed 2025-08-01: "ed June 28, 2025 June 29, 2024 Cash, cash equivalents, and restricted cash and cash equivalents, beginning balances $ 29,943 $ 30,737..." Grouped from Intangible Assets, Net (Excluding Goodwill). Grouped from Finite Lived Intangible Assets net. No separate intangible assets line item was reported in the SEC balance sheet for this period, so stale template values were cleared. Filing says: 10-Q filed 2026-01-30: "ber 27, 2025 December 28, 2024 Cash, cash equivalents, and restricted cash and cash equivalents, beginning balances $ 35,934 $ 29,943..." Grouped from Intangible Assets, Net (Excluding Goodwill). Filing says: 10-Q filed 2026-05-01: "onsolidated Financial Statements. Apple Inc. | Q2 2026 Form 10-Q | 2 Apple Inc. CONDENSED CONSOLIDATED BALANCE SHEETS (Unaudited) (In..."</t>
        </r>
      </text>
    </comment>
    <comment ref="F127" authorId="0">
      <text>
        <r>
          <rPr>
            <b/>
          </rPr>
          <t xml:space="preserve">EDGAR Mapper:
</t>
        </r>
        <r>
          <t xml:space="preserve">EDGAR: SEC filing
Period: 1Q23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2023-02-03: "ree Months Ended...</t>
        </r>
      </text>
    </comment>
    <comment ref="G127" authorId="0">
      <text>
        <r>
          <rPr>
            <b/>
          </rPr>
          <t xml:space="preserve">EDGAR Mapper:
</t>
        </r>
        <r>
          <t xml:space="preserve">EDGAR: SEC filing
Period: 2Q23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2023-05-05: "lions) Six Months...</t>
        </r>
      </text>
    </comment>
    <comment ref="H127" authorId="0">
      <text>
        <r>
          <rPr>
            <b/>
          </rPr>
          <t xml:space="preserve">EDGAR Mapper:
</t>
        </r>
        <r>
          <t xml:space="preserve">EDGAR: SEC filing
Period: 3Q23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2023-08-04: "llions) Nine Months...</t>
        </r>
      </text>
    </comment>
    <comment ref="I127" authorId="0">
      <text>
        <r>
          <rPr>
            <b/>
          </rPr>
          <t xml:space="preserve">EDGAR Mapper:
</t>
        </r>
        <r>
          <t xml:space="preserve">EDGAR: SEC filing
Period: 4Q23
Value: 0 mm
From: Finite Lived Intangible Assets net
Confidence: medium
Note: Grouped from Finite Lived Intangible Assets net. No separate intangible assets line item was reported in the SEC balance sheet for this period, so stale template values were cleared. SEC validation: Value is a zero/derived model support...</t>
        </r>
      </text>
    </comment>
    <comment ref="K127" authorId="0">
      <text>
        <r>
          <rPr>
            <b/>
          </rPr>
          <t xml:space="preserve">EDGAR Mapper:
</t>
        </r>
        <r>
          <t xml:space="preserve">EDGAR: SEC filing
Period: 1Q24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2024-02-02: "ree Months Ended...</t>
        </r>
      </text>
    </comment>
    <comment ref="L127" authorId="0">
      <text>
        <r>
          <rPr>
            <b/>
          </rPr>
          <t xml:space="preserve">EDGAR Mapper:
</t>
        </r>
        <r>
          <t xml:space="preserve">EDGAR: SEC filing
Period: 2Q24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2024-05-03: "lions) Six Months...</t>
        </r>
      </text>
    </comment>
    <comment ref="M127" authorId="0">
      <text>
        <r>
          <rPr>
            <b/>
          </rPr>
          <t xml:space="preserve">EDGAR Mapper:
</t>
        </r>
        <r>
          <t xml:space="preserve">EDGAR: SEC filing
Period: 3Q24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2024-08-02: "llions) Nine Months...</t>
        </r>
      </text>
    </comment>
    <comment ref="N127" authorId="0">
      <text>
        <r>
          <rPr>
            <b/>
          </rPr>
          <t xml:space="preserve">EDGAR Mapper:
</t>
        </r>
        <r>
          <t xml:space="preserve">EDGAR: SEC filing
Period: 4Q24
Value: 0 mm
From: Finite Lived Intangible Assets net
Confidence: medium
Note: Grouped from Finite Lived Intangible Assets net. No separate intangible assets line item was reported in the SEC balance sheet for this period, so stale template values were cleared. SEC validation: Value is a zero/derived model support...</t>
        </r>
      </text>
    </comment>
    <comment ref="P127" authorId="0">
      <text>
        <r>
          <rPr>
            <b/>
          </rPr>
          <t xml:space="preserve">EDGAR Mapper:
</t>
        </r>
        <r>
          <t xml:space="preserve">EDGAR: SEC filing
Period: 1Q25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2025-01-31: "ber 28, 2024...</t>
        </r>
      </text>
    </comment>
    <comment ref="Q127" authorId="0">
      <text>
        <r>
          <rPr>
            <b/>
          </rPr>
          <t xml:space="preserve">EDGAR Mapper:
</t>
        </r>
        <r>
          <t xml:space="preserve">EDGAR: SEC filing
Period: 2Q25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2025-05-02: "March 29, 2025 March...</t>
        </r>
      </text>
    </comment>
    <comment ref="R127" authorId="0">
      <text>
        <r>
          <rPr>
            <b/>
          </rPr>
          <t xml:space="preserve">EDGAR Mapper:
</t>
        </r>
        <r>
          <t xml:space="preserve">EDGAR: SEC filing
Period: 3Q25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2025-08-01: "ed June 28, 2025...</t>
        </r>
      </text>
    </comment>
    <comment ref="S127" authorId="0">
      <text>
        <r>
          <rPr>
            <b/>
          </rPr>
          <t xml:space="preserve">EDGAR Mapper:
</t>
        </r>
        <r>
          <t xml:space="preserve">EDGAR: 10-Q, filed 2026-05-01
Period: 4Q25 (ended 2025-09-27)
Value: 13301 mm
From: Intangible Assets, Net (Excluding Goodwill)
Confidence: high
Note: Grouped from Intangible Assets, Net (Excluding Goodwill).</t>
        </r>
      </text>
    </comment>
    <comment ref="U127" authorId="0">
      <text>
        <r>
          <rPr>
            <b/>
          </rPr>
          <t xml:space="preserve">EDGAR Mapper:
</t>
        </r>
        <r>
          <t xml:space="preserve">EDGAR: SEC filing
Period: 1Q26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2026-01-30: "ber 27, 2025...</t>
        </r>
      </text>
    </comment>
    <comment ref="V127" authorId="0">
      <text>
        <r>
          <rPr>
            <b/>
          </rPr>
          <t xml:space="preserve">EDGAR Mapper:
</t>
        </r>
        <r>
          <t xml:space="preserve">EDGAR: 10-Q, filed 2026-05-01
Period: 2Q26 (ended 2026-03-28)
Value: 25797 mm
From: Intangible Assets, Net (Excluding Goodwill)
Confidence: high
Note: Grouped from Intangible Assets, Net (Excluding Goodwill). Filing says: 10-Q filed 2026-05-01: "onsolidated Financial Statements. Apple Inc. | Q2 2026 Form 10-Q | 2 Apple Inc. CONDENSED CONSOLIDATED BALANCE SHEETS (Unaudited) (In..."</t>
        </r>
      </text>
    </comment>
    <comment ref="C128" authorId="0">
      <text>
        <r>
          <rPr>
            <b/>
          </rPr>
          <t xml:space="preserve">EDGAR Mapper:
</t>
        </r>
        <r>
          <t>Grouped from Goodwill. No separate goodwill line item was reported in the SEC balance sheet for this period, so stale template values were cleared. Filing says: 10-Q filed 2023-02-03: "ree Months Ended December 31, 2022 December 25, 2021 Cash, cash equivalents and restricted cash, beginning balances $ 24,977 $ 35,929..." Grouped from Goodwill. No separate goodwill line item was reported in the SEC balance sheet for this period, so stale template values were cleared. Filing says: 10-Q filed 2023-05-05: "lions) Six Months Ended April 1, 2023 March 26, 2022 Cash, cash equivalents and restricted cash, beginning balances $ 24,977 $ 35,929..." Grouped from Goodwill. No separate goodwill line item was reported in the SEC balance sheet for this period, so stale template values were cleared. Filing says: 10-Q filed 2023-08-04: "llions) Nine Months Ended July 1, 2023 June 25, 2022 Cash, cash equivalents and restricted cash, beginning balances $ 24,977 $ 35,929..." Grouped from Goodwill. No separate goodwill line item was reported in the SEC balance sheet for this period, so stale template values were cleared. Filing says: 10-K filed 2023-11-03: "5 Non-current assets: Marketable securities 100,544 120,805 Property, plant and equipment, net 43,715 42,117 Other non-current assets 64,758..." Grouped from Goodwill. No separate goodwill line item was reported in the SEC balance sheet for this period, so stale template values were cleared. Filing says: 10-Q filed 2024-02-02: "ree Months Ended December 30, 2023 December 31, 2022 Cash, cash equivalents and restricted cash, beginning balances $ 30,737 $ 24,977..." Grouped from Goodwill. No separate goodwill line item was reported in the SEC balance sheet for this period, so stale template values were cleared. Filing says: 10-Q filed 2024-05-03: "lions) Six Months Ended March 30, 2024 April 1, 2023 Cash, cash equivalents and restricted cash, beginning balances $ 30,737 $ 24,977..." Grouped from Goodwill. No separate goodwill line item was reported in the SEC balance sheet for this period, so stale template values were cleared. Filing says: 10-Q filed 2024-08-02: "llions) Nine Months Ended June 29, 2024 July 1, 2023 Cash, cash equivalents and restricted cash, beginning balances $ 30,737 $ 24,977..." Grouped from Goodwill. No separate goodwill line item was reported in the SEC balance sheet for this period, so stale template values were cleared. Filing says: 10-K filed 2024-11-01: "66 Non-current assets: Marketable securities 91,479 100,544 Property, plant and equipment, net 45,680 43,715 Other non-current assets 74,834..." Grouped from Goodwill. No separate goodwill line item was reported in the SEC balance sheet for this period, so stale template values were cleared. Filing says: 10-Q filed 2025-01-31: "ber 28, 2024 December 30, 2023 Cash, cash equivalents, and restricted cash and cash equivalents, beginning balances $ 29,943 $ 30,737..." Grouped from Goodwill. No separate goodwill line item was reported in the SEC balance sheet for this period, so stale template values were cleared. Filing says: 10-Q filed 2025-05-02: "March 29, 2025 March 30, 2024 Cash, cash equivalents, and restricted cash and cash equivalents, beginning balances $ 29,943 $ 30,737..." Grouped from Goodwill. No separate goodwill line item was reported in the SEC balance sheet for this period, so stale template values were cleared. Filing says: 10-Q filed 2025-08-01: "ed June 28, 2025 June 29, 2024 Cash, cash equivalents, and restricted cash and cash equivalents, beginning balances $ 29,943 $ 30,737..." Grouped from Goodwill. No separate goodwill line item was reported in the SEC balance sheet for this period, so stale template values were cleared. Filing says: 10-K filed 2025-10-31: "987 Non-current assets: Marketable securities 77,723 91,479 Property, plant and equipment, net 49,834 45,680 Other non-current assets 83,727..." Grouped from Goodwill. No separate goodwill line item was reported in the SEC balance sheet for this period, so stale template values were cleared. Filing says: 10-Q filed 2026-01-30: "ber 27, 2025 December 28, 2024 Cash, cash equivalents, and restricted cash and cash equivalents, beginning balances $ 35,934 $ 29,943..." Grouped from Goodwill. No separate goodwill line item was reported in the SEC balance sheet for this period, so stale template values were cleared. Filing says: 10-Q filed 2026-05-01: "onsolidated Financial Statements. Apple Inc. | Q2 2026 Form 10-Q | 2 Apple Inc. CONDENSED CONSOLIDATED BALANCE SHEETS (Unaudited) (In..."</t>
        </r>
      </text>
    </comment>
    <comment ref="F128" authorId="0">
      <text>
        <r>
          <rPr>
            <b/>
          </rPr>
          <t xml:space="preserve">EDGAR Mapper:
</t>
        </r>
        <r>
          <t xml:space="preserve">EDGAR: SEC filing
Period: 1Q23
Value: 0 mm
From: Goodwill
Confidence: medium
Note: Grouped from Goodwill. No separate goodwill line item was reported in the SEC balance sheet for this period, so stale template values were cleared. Filing says: 10-Q filed 2023-02-03: "ree Months Ended December 31, 2022 December 25, 2021...</t>
        </r>
      </text>
    </comment>
    <comment ref="G128" authorId="0">
      <text>
        <r>
          <rPr>
            <b/>
          </rPr>
          <t xml:space="preserve">EDGAR Mapper:
</t>
        </r>
        <r>
          <t xml:space="preserve">EDGAR: SEC filing
Period: 2Q23
Value: 0 mm
From: Goodwill
Confidence: medium
Note: Grouped from Goodwill. No separate goodwill line item was reported in the SEC balance sheet for this period, so stale template values were cleared. Filing says: 10-Q filed 2023-05-05: "lions) Six Months Ended April 1, 2023 March 26, 2022...</t>
        </r>
      </text>
    </comment>
    <comment ref="H128" authorId="0">
      <text>
        <r>
          <rPr>
            <b/>
          </rPr>
          <t xml:space="preserve">EDGAR Mapper:
</t>
        </r>
        <r>
          <t xml:space="preserve">EDGAR: SEC filing
Period: 3Q23
Value: 0 mm
From: Goodwill
Confidence: medium
Note: Grouped from Goodwill. No separate goodwill line item was reported in the SEC balance sheet for this period, so stale template values were cleared. Filing says: 10-Q filed 2023-08-04: "llions) Nine Months Ended July 1, 2023 June 25, 2022...</t>
        </r>
      </text>
    </comment>
    <comment ref="I128" authorId="0">
      <text>
        <r>
          <rPr>
            <b/>
          </rPr>
          <t xml:space="preserve">EDGAR Mapper:
</t>
        </r>
        <r>
          <t xml:space="preserve">EDGAR: SEC filing
Period: 4Q23
Value: 0 mm
From: Goodwill
Confidence: medium
Note: Grouped from Goodwill. No separate goodwill line item was reported in the SEC balance sheet for this period, so stale template values were cleared. Filing says: 10-K filed 2023-11-03: "5 Non-current assets: Marketable securities 100,544...</t>
        </r>
      </text>
    </comment>
    <comment ref="K128" authorId="0">
      <text>
        <r>
          <rPr>
            <b/>
          </rPr>
          <t xml:space="preserve">EDGAR Mapper:
</t>
        </r>
        <r>
          <t xml:space="preserve">EDGAR: SEC filing
Period: 1Q24
Value: 0 mm
From: Goodwill
Confidence: medium
Note: Grouped from Goodwill. No separate goodwill line item was reported in the SEC balance sheet for this period, so stale template values were cleared. Filing says: 10-Q filed 2024-02-02: "ree Months Ended December 30, 2023 December 31, 2022...</t>
        </r>
      </text>
    </comment>
    <comment ref="L128" authorId="0">
      <text>
        <r>
          <rPr>
            <b/>
          </rPr>
          <t xml:space="preserve">EDGAR Mapper:
</t>
        </r>
        <r>
          <t xml:space="preserve">EDGAR: SEC filing
Period: 2Q24
Value: 0 mm
From: Goodwill
Confidence: medium
Note: Grouped from Goodwill. No separate goodwill line item was reported in the SEC balance sheet for this period, so stale template values were cleared. Filing says: 10-Q filed 2024-05-03: "lions) Six Months Ended March 30, 2024 April 1, 2023...</t>
        </r>
      </text>
    </comment>
    <comment ref="M128" authorId="0">
      <text>
        <r>
          <rPr>
            <b/>
          </rPr>
          <t xml:space="preserve">EDGAR Mapper:
</t>
        </r>
        <r>
          <t xml:space="preserve">EDGAR: SEC filing
Period: 3Q24
Value: 0 mm
From: Goodwill
Confidence: medium
Note: Grouped from Goodwill. No separate goodwill line item was reported in the SEC balance sheet for this period, so stale template values were cleared. Filing says: 10-Q filed 2024-08-02: "llions) Nine Months Ended June 29, 2024 July 1, 2023...</t>
        </r>
      </text>
    </comment>
    <comment ref="N128" authorId="0">
      <text>
        <r>
          <rPr>
            <b/>
          </rPr>
          <t xml:space="preserve">EDGAR Mapper:
</t>
        </r>
        <r>
          <t xml:space="preserve">EDGAR: SEC filing
Period: 4Q24
Value: 0 mm
From: Goodwill
Confidence: medium
Note: Grouped from Goodwill. No separate goodwill line item was reported in the SEC balance sheet for this period, so stale template values were cleared. Filing says: 10-K filed 2024-11-01: "66 Non-current assets: Marketable securities 91,479...</t>
        </r>
      </text>
    </comment>
    <comment ref="P128" authorId="0">
      <text>
        <r>
          <rPr>
            <b/>
          </rPr>
          <t xml:space="preserve">EDGAR Mapper:
</t>
        </r>
        <r>
          <t xml:space="preserve">EDGAR: SEC filing
Period: 1Q25
Value: 0 mm
From: Goodwill
Confidence: medium
Note: Grouped from Goodwill. No separate goodwill line item was reported in the SEC balance sheet for this period, so stale template values were cleared. Filing says: 10-Q filed 2025-01-31: "ber 28, 2024 December 30, 2023 Cash, cash equivalents,...</t>
        </r>
      </text>
    </comment>
    <comment ref="Q128" authorId="0">
      <text>
        <r>
          <rPr>
            <b/>
          </rPr>
          <t xml:space="preserve">EDGAR Mapper:
</t>
        </r>
        <r>
          <t xml:space="preserve">EDGAR: SEC filing
Period: 2Q25
Value: 0 mm
From: Goodwill
Confidence: medium
Note: Grouped from Goodwill. No separate goodwill line item was reported in the SEC balance sheet for this period, so stale template values were cleared. Filing says: 10-Q filed 2025-05-02: "March 29, 2025 March 30, 2024 Cash, cash equivalents,...</t>
        </r>
      </text>
    </comment>
    <comment ref="R128" authorId="0">
      <text>
        <r>
          <rPr>
            <b/>
          </rPr>
          <t xml:space="preserve">EDGAR Mapper:
</t>
        </r>
        <r>
          <t xml:space="preserve">EDGAR: SEC filing
Period: 3Q25
Value: 0 mm
From: Goodwill
Confidence: medium
Note: Grouped from Goodwill. No separate goodwill line item was reported in the SEC balance sheet for this period, so stale template values were cleared. Filing says: 10-Q filed 2025-08-01: "ed June 28, 2025 June 29, 2024 Cash, cash equivalents,...</t>
        </r>
      </text>
    </comment>
    <comment ref="S128" authorId="0">
      <text>
        <r>
          <rPr>
            <b/>
          </rPr>
          <t xml:space="preserve">EDGAR Mapper:
</t>
        </r>
        <r>
          <t xml:space="preserve">EDGAR: SEC filing
Period: 4Q25
Value: 0 mm
From: Goodwill
Confidence: medium
Note: Grouped from Goodwill. No separate goodwill line item was reported in the SEC balance sheet for this period, so stale template values were cleared. Filing says: 10-K filed 2025-10-31: "987 Non-current assets: Marketable securities 77,723...</t>
        </r>
      </text>
    </comment>
    <comment ref="U128" authorId="0">
      <text>
        <r>
          <rPr>
            <b/>
          </rPr>
          <t xml:space="preserve">EDGAR Mapper:
</t>
        </r>
        <r>
          <t xml:space="preserve">EDGAR: SEC filing
Period: 1Q26
Value: 0 mm
From: Goodwill
Confidence: medium
Note: Grouped from Goodwill. No separate goodwill line item was reported in the SEC balance sheet for this period, so stale template values were cleared. Filing says: 10-Q filed 2026-01-30: "ber 27, 2025 December 28, 2024 Cash, cash equivalents,...</t>
        </r>
      </text>
    </comment>
    <comment ref="V128" authorId="0">
      <text>
        <r>
          <rPr>
            <b/>
          </rPr>
          <t xml:space="preserve">EDGAR Mapper:
</t>
        </r>
        <r>
          <t xml:space="preserve">EDGAR: SEC filing
Period: 2Q26
Value: 0 mm
From: Goodwill
Confidence: medium
Note: Grouped from Goodwill. No separate goodwill line item was reported in the SEC balance sheet for this period, so stale template values were cleared. Filing says: 10-Q filed 2026-05-01: "onsolidated Financial Statements. Apple Inc. | Q2 2026...</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Assets, Assets, Current, Property, Plant and Equipment, Net, +2 more. Calculated from SEC total assets less current assets and separately modeled PP&amp;E, intangible assets, and goodwill. Filing says: 10-Q filed 2025-01-31: "olidated Financial Statements. Apple Inc. | Q1 2025 Form 10-Q | 2 Apple Inc. CONDENSED CONSOLIDATED BALANCE SHEETS (Unaudited) (In millions,..." Grouped from Assets, Assets, Current, Property, Plant and Equipment, Net, +2 more. Calculated from SEC total assets less current assets and separately modeled PP&amp;E, intangible assets, and goodwill. Filing says: 10-Q filed 2025-05-02: "onsolidated Financial Statements. Apple Inc. | Q2 2025 Form 10-Q | 2 Apple Inc. CONDENSED CONSOLIDATED BALANCE SHEETS (Unaudited) (In..." Grouped from Assets, Assets, Current, Property, Plant and Equipment, Net, +2 more. Calculated from SEC total assets less current assets and separately modeled PP&amp;E, intangible assets, and goodwill. Filing says: 10-Q filed 2025-08-01: "Consolidated Financial Statements. Apple Inc. | Q3 2025 Form 10-Q | 2 Apple Inc. CONDENSED CONSOLIDATED BALANCE SHEETS (Unaudited) (In..." Grouped from Assets, Assets, Current, Property, Plant and Equipment, Net, +2 more. Calculated from SEC total assets less current assets and separately modeled PP&amp;E, intangible assets, and goodwill. Filing says: 10-K filed 2025-10-31: "987 Non-current assets: Marketable securities 77,723 91,479 Property, plant and equipment, net 49,834 45,680 Other non-current assets 83,727..."</t>
        </r>
      </text>
    </comment>
    <comment ref="F129" authorId="0">
      <text>
        <r>
          <rPr>
            <b/>
          </rPr>
          <t xml:space="preserve">EDGAR Mapper:
</t>
        </r>
        <r>
          <t>Replaced a balance-sheet formula with the EDGAR period-end balance so instant values are not derived from prior quarters.</t>
        </r>
      </text>
    </comment>
    <comment ref="G129" authorId="0">
      <text>
        <r>
          <rPr>
            <b/>
          </rPr>
          <t xml:space="preserve">EDGAR Mapper:
</t>
        </r>
        <r>
          <t>Replaced a balance-sheet formula with the EDGAR period-end balance so instant values are not derived from prior quarters.</t>
        </r>
      </text>
    </comment>
    <comment ref="H129" authorId="0">
      <text>
        <r>
          <rPr>
            <b/>
          </rPr>
          <t xml:space="preserve">EDGAR Mapper:
</t>
        </r>
        <r>
          <t>Replaced a balance-sheet formula with the EDGAR period-end balance so instant values are not derived from prior quarters.</t>
        </r>
      </text>
    </comment>
    <comment ref="I129" authorId="0">
      <text>
        <r>
          <rPr>
            <b/>
          </rPr>
          <t xml:space="preserve">EDGAR Mapper:
</t>
        </r>
        <r>
          <t>Replaced a balance-sheet formula with the EDGAR period-end balance so instant values are not derived from prior quarters.</t>
        </r>
      </text>
    </comment>
    <comment ref="K129" authorId="0">
      <text>
        <r>
          <rPr>
            <b/>
          </rPr>
          <t xml:space="preserve">EDGAR Mapper:
</t>
        </r>
        <r>
          <t xml:space="preserve">======
ID#AAABbnJBVzw
Lilianna Ruby    (2025-01-14 21:09:38)
operating lease right of use assets, long term investments, deferred income taxes, other assets
EDGAR Mapper:
Replaced a balance-sheet formula with the EDGAR period-end balance so instant values are not derived from prior quarters.</t>
        </r>
      </text>
    </comment>
    <comment ref="L129" authorId="0">
      <text>
        <r>
          <rPr>
            <b/>
          </rPr>
          <t xml:space="preserve">EDGAR Mapper:
</t>
        </r>
        <r>
          <t>Replaced a balance-sheet formula with the EDGAR period-end balance so instant values are not derived from prior quarters.</t>
        </r>
      </text>
    </comment>
    <comment ref="M129" authorId="0">
      <text>
        <r>
          <rPr>
            <b/>
          </rPr>
          <t xml:space="preserve">EDGAR Mapper:
</t>
        </r>
        <r>
          <t>Replaced a balance-sheet formula with the EDGAR period-end balance so instant values are not derived from prior quarters.</t>
        </r>
      </text>
    </comment>
    <comment ref="N129" authorId="0">
      <text>
        <r>
          <rPr>
            <b/>
          </rPr>
          <t xml:space="preserve">EDGAR Mapper:
</t>
        </r>
        <r>
          <t>Replaced a balance-sheet formula with the EDGAR period-end balance so instant values are not derived from prior quarters.</t>
        </r>
      </text>
    </comment>
    <comment ref="P129" authorId="0">
      <text>
        <r>
          <rPr>
            <b/>
          </rPr>
          <t xml:space="preserve">EDGAR Mapper:
</t>
        </r>
        <r>
          <t xml:space="preserve">======
ID#AAABbnJBVxY
Lilianna Ruby    (2025-01-14 21:09:38)
operating lease right of use assets, long term investments, deferred income taxes, other assets
EDGAR Mapper:
EDGAR: 10-Q, filed 2025-01-31
Period: 1Q25 (ended 2024-12-28)
Value: 164776 mm
From: Assets, Assets, Current, +3 more
Confidence: high
Note: Grouped from Assets, Assets, Current, Property, Plant and Equipment, Net, +2 more. Calculated from SEC total assets less current assets and separately modeled PP&amp;E, intangible assets, and goodwill. Filing says: 10-Q filed 2025-01-31:...</t>
        </r>
      </text>
    </comment>
    <comment ref="Q129" authorId="0">
      <text>
        <r>
          <rPr>
            <b/>
          </rPr>
          <t xml:space="preserve">EDGAR Mapper:
</t>
        </r>
        <r>
          <t xml:space="preserve">EDGAR: 10-Q, filed 2025-05-02
Period: 2Q25 (ended 2025-03-29)
Value: 165683 mm
From: Assets, Assets, Current, +3 more
Confidence: high
Note: Grouped from Assets, Assets, Current, Property, Plant and Equipment, Net, +2 more. Calculated from SEC total assets less current assets and separately modeled PP&amp;E, intangible assets, and goodwill. Filing says: 10-Q filed 2025-05-02:...</t>
        </r>
      </text>
    </comment>
    <comment ref="R129" authorId="0">
      <text>
        <r>
          <rPr>
            <b/>
          </rPr>
          <t xml:space="preserve">EDGAR Mapper:
</t>
        </r>
        <r>
          <t xml:space="preserve">EDGAR: 10-Q, filed 2025-08-01
Period: 3Q25 (ended 2025-06-28)
Value: 160496 mm
From: Assets, Assets, Current, +3 more
Confidence: high
Note: Grouped from Assets, Assets, Current, Property, Plant and Equipment, Net, +2 more. Calculated from SEC total assets less current assets and separately modeled PP&amp;E, intangible assets, and goodwill. Filing says: 10-Q filed 2025-08-01:...</t>
        </r>
      </text>
    </comment>
    <comment ref="S129" authorId="0">
      <text>
        <r>
          <rPr>
            <b/>
          </rPr>
          <t xml:space="preserve">EDGAR Mapper:
</t>
        </r>
        <r>
          <t xml:space="preserve">EDGAR: 10-Q, filed 2026-05-01
Period: 4Q25 (ended 2025-09-27)
Value: 148149 mm
From: Assets, Assets, Current, +3 more
Confidence: high
Note: Grouped from Assets, Assets, Current, Property, Plant and Equipment, Net, +2 more. Calculated from SEC total assets less current assets and separately modeled PP&amp;E, intangible assets, and goodwill. Filing says: 10-K filed 2025-10-31: "987...</t>
        </r>
      </text>
    </comment>
    <comment ref="U129" authorId="0">
      <text>
        <r>
          <rPr>
            <b/>
          </rPr>
          <t xml:space="preserve">EDGAR Mapper:
</t>
        </r>
        <r>
          <t xml:space="preserve">======
ID#AAABbnJBVy4
Lilianna Ruby    (2025-01-14 21:09:38)
Includes operating lease right-of-use assets, long-term investments, deferred income taxes, and other
EDGAR Mapper:
Replaced a balance-sheet formula with the EDGAR period-end balance so instant values are not derived from prior quarters.</t>
        </r>
      </text>
    </comment>
    <comment ref="V129" authorId="0">
      <text>
        <r>
          <rPr>
            <b/>
          </rPr>
          <t xml:space="preserve">EDGAR Mapper:
</t>
        </r>
        <r>
          <t>Replaced a balance-sheet formula with the EDGAR period-end balance so instant values are not derived from prior quarters.</t>
        </r>
      </text>
    </comment>
    <comment ref="C134" authorId="0">
      <text>
        <r>
          <rPr>
            <b/>
          </rPr>
          <t xml:space="preserve">EDGAR Mapper:
</t>
        </r>
        <r>
          <t>Grouped from Accounts Payable, Current. Filing says: 10-Q filed 2023-02-03: "ree Months Ended December 31, 2022 December 25, 2021 Cash, cash equivalents and restricted cash, beginning balances $ 24,977 $ 35,929..." Grouped from Accounts Payable, Current. Filing says: 10-Q filed 2023-05-05: "lions) Six Months Ended April 1, 2023 March 26, 2022 Cash, cash equivalents and restricted cash, beginning balances $ 24,977 $ 35,929..." Grouped from Accounts Payable, Current. Filing says: 10-Q filed 2023-08-04: "llions) Nine Months Ended July 1, 2023 June 25, 2022 Cash, cash equivalents and restricted cash, beginning balances $ 24,977 $ 35,929..." Grouped from Accounts Payable, Current. Filing says: 10-K filed 2023-11-03: "5 Non-current assets: Marketable securities 100,544 120,805 Property, plant and equipment, net 43,715 42,117 Other non-current assets 64,758..." Grouped from Accounts Payable, Current. Filing says: 10-Q filed 2024-02-02: "ree Months Ended December 30, 2023 December 31, 2022 Cash, cash equivalents and restricted cash, beginning balances $ 30,737 $ 24,977..." Grouped from Accounts Payable, Current. Filing says: 10-Q filed 2024-05-03: "lions) Six Months Ended March 30, 2024 April 1, 2023 Cash, cash equivalents and restricted cash, beginning balances $ 30,737 $ 24,977..." Grouped from Accounts Payable, Current. Filing says: 10-Q filed 2024-08-02: "llions) Nine Months Ended June 29, 2024 July 1, 2023 Cash, cash equivalents and restricted cash, beginning balances $ 30,737 $ 24,977..." Grouped from Accounts Payable, Current. Filing says: 10-K filed 2024-11-01: "66 Non-current assets: Marketable securities 91,479 100,544 Property, plant and equipment, net 45,680 43,715 Other non-current assets 74,834..." Grouped from Accounts Payable, Current. Filing says: 10-Q filed 2025-01-31: "ber 28, 2024 December 30, 2023 Cash, cash equivalents, and restricted cash and cash equivalents, beginning balances $ 29,943 $ 30,737..." Grouped from Accounts Payable, Current. Filing says: 10-Q filed 2025-05-02: "March 29, 2025 March 30, 2024 Cash, cash equivalents, and restricted cash and cash equivalents, beginning balances $ 29,943 $ 30,737..." Grouped from Accounts Payable, Current. Filing says: 10-Q filed 2025-08-01: "ed June 28, 2025 June 29, 2024 Cash, cash equivalents, and restricted cash and cash equivalents, beginning balances $ 29,943 $ 30,737..." Grouped from Accounts Payable, Current. Filing says: 10-K filed 2025-10-31: "987 Non-current assets: Marketable securities 77,723 91,479 Property, plant and equipment, net 49,834 45,680 Other non-current assets 83,727..." Grouped from Accounts Payable, Current. Filing says: 10-Q filed 2026-01-30: "ber 27, 2025 December 28, 2024 Cash, cash equivalents, and restricted cash and cash equivalents, beginning balances $ 35,934 $ 29,943..." Grouped from Accounts Payable, Current. Filing says: 10-Q filed 2026-05-01: "March 28, 2026 March 29, 2025 Cash, cash equivalents, and restricted cash and cash equivalents, beginning balances $ 35,934 $ 29,943..."</t>
        </r>
      </text>
    </comment>
    <comment ref="F134" authorId="0">
      <text>
        <r>
          <rPr>
            <b/>
          </rPr>
          <t xml:space="preserve">EDGAR Mapper:
</t>
        </r>
        <r>
          <t xml:space="preserve">EDGAR: 10-Q, filed 2023-02-03
Period: 1Q23 (ended 2022-12-31)
Value: 57918 mm
From: Accounts Payable, Current
Confidence: high
Note: Grouped from Accounts Payable, Current. Filing says: 10-Q filed 2023-02-03: "ree Months Ended December 31, 2022 December 25, 2021 Cash, cash equivalents and restricted cash, beginning balances $ 24,977 $ 35,929..."</t>
        </r>
      </text>
    </comment>
    <comment ref="G134" authorId="0">
      <text>
        <r>
          <rPr>
            <b/>
          </rPr>
          <t xml:space="preserve">EDGAR Mapper:
</t>
        </r>
        <r>
          <t xml:space="preserve">EDGAR: 10-Q, filed 2023-05-05
Period: 2Q23 (ended 2023-04-01)
Value: 42945 mm
From: Accounts Payable, Current
Confidence: high
Note: Grouped from Accounts Payable, Current. Filing says: 10-Q filed 2023-05-05: "lions) Six Months Ended April 1, 2023 March 26, 2022 Cash, cash equivalents and restricted cash, beginning balances $ 24,977 $ 35,929..."</t>
        </r>
      </text>
    </comment>
    <comment ref="H134" authorId="0">
      <text>
        <r>
          <rPr>
            <b/>
          </rPr>
          <t xml:space="preserve">EDGAR Mapper:
</t>
        </r>
        <r>
          <t xml:space="preserve">EDGAR: 10-Q, filed 2023-08-04
Period: 3Q23 (ended 2023-07-01)
Value: 46699 mm
From: Accounts Payable, Current
Confidence: high
Note: Grouped from Accounts Payable, Current. Filing says: 10-Q filed 2023-08-04: "llions) Nine Months Ended July 1, 2023 June 25, 2022 Cash, cash equivalents and restricted cash, beginning balances $ 24,977 $ 35,929..."</t>
        </r>
      </text>
    </comment>
    <comment ref="I134" authorId="0">
      <text>
        <r>
          <rPr>
            <b/>
          </rPr>
          <t xml:space="preserve">EDGAR Mapper:
</t>
        </r>
        <r>
          <t xml:space="preserve">EDGAR: 10-K, filed 2024-11-01
Period: 4Q23 (ended 2023-09-30)
Value: 62611 mm
From: Accounts Payable, Current
Confidence: high
Note: Grouped from Accounts Payable, Current. Filing says: 10-K filed 2023-11-03: "5 Non-current assets: Marketable securities 100,544 120,805 Property, plant and equipment, net 43,715 42,117 Other non-current assets 64,758..."</t>
        </r>
      </text>
    </comment>
    <comment ref="K134" authorId="0">
      <text>
        <r>
          <rPr>
            <b/>
          </rPr>
          <t xml:space="preserve">EDGAR Mapper:
</t>
        </r>
        <r>
          <t xml:space="preserve">EDGAR: 10-Q, filed 2024-02-02
Period: 1Q24 (ended 2023-12-30)
Value: 58146 mm
From: Accounts Payable, Current
Confidence: high
Note: Grouped from Accounts Payable, Current. Filing says: 10-Q filed 2024-02-02: "ree Months Ended December 30, 2023 December 31, 2022 Cash, cash equivalents and restricted cash, beginning balances $ 30,737 $ 24,977..."</t>
        </r>
      </text>
    </comment>
    <comment ref="L134" authorId="0">
      <text>
        <r>
          <rPr>
            <b/>
          </rPr>
          <t xml:space="preserve">EDGAR Mapper:
</t>
        </r>
        <r>
          <t xml:space="preserve">EDGAR: 10-Q, filed 2024-05-03
Period: 2Q24 (ended 2024-03-30)
Value: 45753 mm
From: Accounts Payable, Current
Confidence: high
Note: Grouped from Accounts Payable, Current. Filing says: 10-Q filed 2024-05-03: "lions) Six Months Ended March 30, 2024 April 1, 2023 Cash, cash equivalents and restricted cash, beginning balances $ 30,737 $ 24,977..."</t>
        </r>
      </text>
    </comment>
    <comment ref="M134" authorId="0">
      <text>
        <r>
          <rPr>
            <b/>
          </rPr>
          <t xml:space="preserve">EDGAR Mapper:
</t>
        </r>
        <r>
          <t xml:space="preserve">EDGAR: 10-Q, filed 2024-08-02
Period: 3Q24 (ended 2024-06-29)
Value: 47574 mm
From: Accounts Payable, Current
Confidence: high
Note: Grouped from Accounts Payable, Current. Filing says: 10-Q filed 2024-08-02: "llions) Nine Months Ended June 29, 2024 July 1, 2023 Cash, cash equivalents and restricted cash, beginning balances $ 30,737 $ 24,977..."</t>
        </r>
      </text>
    </comment>
    <comment ref="N134" authorId="0">
      <text>
        <r>
          <rPr>
            <b/>
          </rPr>
          <t xml:space="preserve">EDGAR Mapper:
</t>
        </r>
        <r>
          <t xml:space="preserve">EDGAR: 10-K, filed 2025-10-31
Period: 4Q24 (ended 2024-09-28)
Value: 68960 mm
From: Accounts Payable, Current
Confidence: high
Note: Grouped from Accounts Payable, Current. Filing says: 10-K filed 2024-11-01: "66 Non-current assets: Marketable securities 91,479 100,544 Property, plant and equipment, net 45,680 43,715 Other non-current assets 74,834..."</t>
        </r>
      </text>
    </comment>
    <comment ref="P134" authorId="0">
      <text>
        <r>
          <rPr>
            <b/>
          </rPr>
          <t xml:space="preserve">EDGAR Mapper:
</t>
        </r>
        <r>
          <t xml:space="preserve">EDGAR: 10-Q, filed 2025-01-31
Period: 1Q25 (ended 2024-12-28)
Value: 61910 mm
From: Accounts Payable, Current
Confidence: high
Note: Grouped from Accounts Payable, Current. Filing says: 10-Q filed 2025-01-31: "ber 28, 2024 December 30, 2023 Cash, cash equivalents, and restricted cash and cash equivalents, beginning balances $ 29,943 $ 30,737..."</t>
        </r>
      </text>
    </comment>
    <comment ref="Q134" authorId="0">
      <text>
        <r>
          <rPr>
            <b/>
          </rPr>
          <t xml:space="preserve">EDGAR Mapper:
</t>
        </r>
        <r>
          <t xml:space="preserve">EDGAR: 10-Q, filed 2025-05-02
Period: 2Q25 (ended 2025-03-29)
Value: 54126 mm
From: Accounts Payable, Current
Confidence: high
Note: Grouped from Accounts Payable, Current. Filing says: 10-Q filed 2025-05-02: "March 29, 2025 March 30, 2024 Cash, cash equivalents, and restricted cash and cash equivalents, beginning balances $ 29,943 $ 30,737..."</t>
        </r>
      </text>
    </comment>
    <comment ref="R134" authorId="0">
      <text>
        <r>
          <rPr>
            <b/>
          </rPr>
          <t xml:space="preserve">EDGAR Mapper:
</t>
        </r>
        <r>
          <t xml:space="preserve">EDGAR: 10-Q, filed 2025-08-01
Period: 3Q25 (ended 2025-06-28)
Value: 50374 mm
From: Accounts Payable, Current
Confidence: high
Note: Grouped from Accounts Payable, Current. Filing says: 10-Q filed 2025-08-01: "ed June 28, 2025 June 29, 2024 Cash, cash equivalents, and restricted cash and cash equivalents, beginning balances $ 29,943 $ 30,737..."</t>
        </r>
      </text>
    </comment>
    <comment ref="S134" authorId="0">
      <text>
        <r>
          <rPr>
            <b/>
          </rPr>
          <t xml:space="preserve">EDGAR Mapper:
</t>
        </r>
        <r>
          <t xml:space="preserve">EDGAR: 10-Q, filed 2026-05-01
Period: 4Q25 (ended 2025-09-27)
Value: 69860 mm
From: Accounts Payable, Current
Confidence: high
Note: Grouped from Accounts Payable, Current. Filing says: 10-K filed 2025-10-31: "987 Non-current assets: Marketable securities 77,723 91,479 Property, plant and equipment, net 49,834 45,680 Other non-current assets 83,727..."</t>
        </r>
      </text>
    </comment>
    <comment ref="U134" authorId="0">
      <text>
        <r>
          <rPr>
            <b/>
          </rPr>
          <t xml:space="preserve">EDGAR Mapper:
</t>
        </r>
        <r>
          <t xml:space="preserve">EDGAR: 10-Q, filed 2026-01-30
Period: 1Q26 (ended 2025-12-27)
Value: 70587 mm
From: Accounts Payable, Current
Confidence: high
Note: Grouped from Accounts Payable, Current. Filing says: 10-Q filed 2026-01-30: "ber 27, 2025 December 28, 2024 Cash, cash equivalents, and restricted cash and cash equivalents, beginning balances $ 35,934 $ 29,943..."</t>
        </r>
      </text>
    </comment>
    <comment ref="V134" authorId="0">
      <text>
        <r>
          <rPr>
            <b/>
          </rPr>
          <t xml:space="preserve">EDGAR Mapper:
</t>
        </r>
        <r>
          <t xml:space="preserve">EDGAR: 10-Q, filed 2026-05-01
Period: 2Q26 (ended 2026-03-28)
Value: 57349 mm
From: Accounts Payable, Current
Confidence: high
Note: Grouped from Accounts Payable, Current. Filing says: 10-Q filed 2026-05-01: "March 28, 2026 March 29, 2025 Cash, cash equivalents, and restricted cash and cash equivalents, beginning balances $ 35,934 $ 29,943..."</t>
        </r>
      </text>
    </comment>
    <comment ref="C135" authorId="0">
      <text>
        <r>
          <rPr>
            <b/>
          </rPr>
          <t xml:space="preserve">EDGAR Mapper:
</t>
        </r>
        <r>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2023-02-03: "ree Months Ended December 31, 2022 December 25, 2021 Cash, cash equivalents and restricted cash, beginning balances $ 24,977 $ 35,929..."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2023-05-05: "lions) Six Months Ended April 1, 2023 March 26, 2022 Cash, cash equivalents and restricted cash, beginning balances $ 24,977 $ 35,929..."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2023-08-04: "llions) Nine Months Ended July 1, 2023 June 25, 2022 Cash, cash equivalents and restricted cash, beginning balances $ 24,977 $ 35,929..."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2023-11-03: "5 Non-current assets: Marketable securities 100,544 120,805 Property, plant and equipment, net 43,715 42,117 Other non-current assets 64,758..."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2024-02-02: "ree Months Ended December 30, 2023 December 31, 2022 Cash, cash equivalents and restricted cash, beginning balances $ 30,737 $ 24,977..."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2024-08-02: "llions) Nine Months Ended June 29, 2024 July 1, 2023 Cash, cash equivalents and restricted cash, beginning balances $ 30,737 $ 24,977..."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2024-11-01: "66 Non-current assets: Marketable securities 91,479 100,544 Property, plant and equipment, net 45,680 43,715 Other non-current assets 74,834..."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2025-01-31: "ber 28, 2024 December 30, 2023 Cash, cash equivalents, and restricted cash and cash equivalents, beginning balances $ 29,943 $ 30,737..."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2025-05-02: "March 29, 2025 March 30, 2024 Cash, cash equivalents, and restricted cash and cash equivalents, beginning balances $ 29,943 $ 30,737..."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2025-08-01: "ed June 28, 2025 June 29, 2024 Cash, cash equivalents, and restricted cash and cash equivalents, beginning balances $ 29,943 $ 30,737..."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2025-10-31: "987 Non-current assets: Marketable securities 77,723 91,479 Property, plant and equipment, net 49,834 45,680 Other non-current assets 83,727..."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2026-01-30: "ber 27, 2025 December 28, 2024 Cash, cash equivalents, and restricted cash and cash equivalents, beginning balances $ 35,934 $ 29,943..." 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2026-05-01: "March 28, 2026 March 29, 2025 Cash, cash equivalents, and restricted cash and cash equivalents, beginning balances $ 35,934 $ 29,943..."</t>
        </r>
      </text>
    </comment>
    <comment ref="F135" authorId="0">
      <text>
        <r>
          <rPr>
            <b/>
          </rPr>
          <t xml:space="preserve">EDGAR Mapper:
</t>
        </r>
        <r>
          <t xml:space="preserve">EDGAR: 10-Q, filed 2023-02-03
Period: 1Q23 (ended 2022-12-31)
Value: 71376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G135" authorId="0">
      <text>
        <r>
          <rPr>
            <b/>
          </rPr>
          <t xml:space="preserve">EDGAR Mapper:
</t>
        </r>
        <r>
          <t xml:space="preserve">EDGAR: 10-Q, filed 2023-05-05
Period: 2Q23 (ended 2023-04-01)
Value: 68999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H135" authorId="0">
      <text>
        <r>
          <rPr>
            <b/>
          </rPr>
          <t xml:space="preserve">EDGAR Mapper:
</t>
        </r>
        <r>
          <t xml:space="preserve">EDGAR: 10-Q, filed 2023-08-04
Period: 3Q23 (ended 2023-07-01)
Value: 70106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I135" authorId="0">
      <text>
        <r>
          <rPr>
            <b/>
          </rPr>
          <t xml:space="preserve">EDGAR Mapper:
</t>
        </r>
        <r>
          <t xml:space="preserve">EDGAR: 10-K, filed 2024-11-01
Period: 4Q23 (ended 2023-09-30)
Value: 74636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K135" authorId="0">
      <text>
        <r>
          <rPr>
            <b/>
          </rPr>
          <t xml:space="preserve">EDGAR Mapper:
</t>
        </r>
        <r>
          <t xml:space="preserve">EDGAR: 10-Q, filed 2024-02-02
Period: 1Q24 (ended 2023-12-30)
Value: 67563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L135" authorId="0">
      <text>
        <r>
          <rPr>
            <b/>
          </rPr>
          <t xml:space="preserve">EDGAR Mapper:
</t>
        </r>
        <r>
          <t>Replaced a balance-sheet formula with the EDGAR period-end balance so instant values are not derived from prior quarters.</t>
        </r>
      </text>
    </comment>
    <comment ref="M135" authorId="0">
      <text>
        <r>
          <rPr>
            <b/>
          </rPr>
          <t xml:space="preserve">EDGAR Mapper:
</t>
        </r>
        <r>
          <t xml:space="preserve">EDGAR: 10-Q, filed 2024-08-02
Period: 3Q24 (ended 2024-06-29)
Value: 75997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N135" authorId="0">
      <text>
        <r>
          <rPr>
            <b/>
          </rPr>
          <t xml:space="preserve">EDGAR Mapper:
</t>
        </r>
        <r>
          <t xml:space="preserve">EDGAR: 10-K, filed 2025-10-31
Period: 4Q24 (ended 2024-09-28)
Value: 99183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P135" authorId="0">
      <text>
        <r>
          <rPr>
            <b/>
          </rPr>
          <t xml:space="preserve">EDGAR Mapper:
</t>
        </r>
        <r>
          <t xml:space="preserve">EDGAR: 10-Q, filed 2025-01-31
Period: 1Q25 (ended 2024-12-28)
Value: 73994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Q135" authorId="0">
      <text>
        <r>
          <rPr>
            <b/>
          </rPr>
          <t xml:space="preserve">EDGAR Mapper:
</t>
        </r>
        <r>
          <t xml:space="preserve">EDGAR: 10-Q, filed 2025-05-02
Period: 2Q25 (ended 2025-03-29)
Value: 81469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R135" authorId="0">
      <text>
        <r>
          <rPr>
            <b/>
          </rPr>
          <t xml:space="preserve">EDGAR Mapper:
</t>
        </r>
        <r>
          <t xml:space="preserve">EDGAR: 10-Q, filed 2025-08-01
Period: 3Q25 (ended 2025-06-28)
Value: 81767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S135" authorId="0">
      <text>
        <r>
          <rPr>
            <b/>
          </rPr>
          <t xml:space="preserve">EDGAR Mapper:
</t>
        </r>
        <r>
          <t xml:space="preserve">EDGAR: 10-Q, filed 2026-05-01
Period: 4Q25 (ended 2025-09-27)
Value: 86716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U135" authorId="0">
      <text>
        <r>
          <rPr>
            <b/>
          </rPr>
          <t xml:space="preserve">EDGAR Mapper:
</t>
        </r>
        <r>
          <t xml:space="preserve">EDGAR: 10-Q, filed 2026-01-30
Period: 1Q26 (ended 2025-12-27)
Value: 82367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V135" authorId="0">
      <text>
        <r>
          <rPr>
            <b/>
          </rPr>
          <t xml:space="preserve">EDGAR Mapper:
</t>
        </r>
        <r>
          <t xml:space="preserve">EDGAR: 10-Q, filed 2026-05-01
Period: 2Q26 (ended 2026-03-28)
Value: 67961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C136" authorId="0">
      <text>
        <r>
          <rPr>
            <b/>
          </rPr>
          <t xml:space="preserve">EDGAR Mapper:
</t>
        </r>
        <r>
          <t xml:space="preserve">======
ID#AAABbnJBV0M
Luke Brennan    (2025-01-14 21:09:38)
Advances and Billings in Excess of Related Costs
EDGAR Mapper:
Grouped from Contract with Customer, Liability, Current. Mapped to a direct SEC other current liability / current contract liability concept when reported. Filing says: 10-Q filed 2025-01-31: "987 Non-current assets: Marketable securities 87,593 91,479 Property, plant and equipment, net 46,069 45,680 Other non-current assets 77,183..." Grouped from Contract with Customer, Liability, Current. Mapped to a direct SEC other current liability / current contract liability concept when reported. Filing says: 10-Q filed 2025-05-02: "987 Non-current assets: Marketable securities 84,424 91,479 Property, plant and equipment, net 46,876 45,680 Other non-current assets 81,259..." Grouped from Contract with Customer, Liability, Current. Mapped to a direct SEC other current liability / current contract liability concept when reported. Filing says: 10-Q filed 2025-08-01: "987 Non-current assets: Marketable securities 77,614 91,479 Property, plant and equipment, net 48,508 45,680 Other non-current assets 82,882..." Grouped from Contract with Customer, Liability, Current. Mapped to a direct SEC other current liability / current contract liability concept when reported. Filing says: 10-K filed 2025-10-31: "ax assets and liabilities were as follows (in millions): 2025 2024 Deferred tax assets: Capitalized research and development $ 15,041 $..."</t>
        </r>
      </text>
    </comment>
    <comment ref="F136" authorId="0">
      <text>
        <r>
          <rPr>
            <b/>
          </rPr>
          <t xml:space="preserve">EDGAR Mapper:
</t>
        </r>
        <r>
          <t>Replaced a balance-sheet formula with the EDGAR period-end balance so instant values are not derived from prior quarters.</t>
        </r>
      </text>
    </comment>
    <comment ref="G136" authorId="0">
      <text>
        <r>
          <rPr>
            <b/>
          </rPr>
          <t xml:space="preserve">EDGAR Mapper:
</t>
        </r>
        <r>
          <t>Replaced a balance-sheet formula with the EDGAR period-end balance so instant values are not derived from prior quarters.</t>
        </r>
      </text>
    </comment>
    <comment ref="H136" authorId="0">
      <text>
        <r>
          <rPr>
            <b/>
          </rPr>
          <t xml:space="preserve">EDGAR Mapper:
</t>
        </r>
        <r>
          <t>Replaced a balance-sheet formula with the EDGAR period-end balance so instant values are not derived from prior quarters.</t>
        </r>
      </text>
    </comment>
    <comment ref="I136" authorId="0">
      <text>
        <r>
          <rPr>
            <b/>
          </rPr>
          <t xml:space="preserve">EDGAR Mapper:
</t>
        </r>
        <r>
          <t>Replaced a balance-sheet formula with the EDGAR period-end balance so instant values are not derived from prior quarters.</t>
        </r>
      </text>
    </comment>
    <comment ref="K136" authorId="0">
      <text>
        <r>
          <rPr>
            <b/>
          </rPr>
          <t xml:space="preserve">EDGAR Mapper:
</t>
        </r>
        <r>
          <t xml:space="preserve">======
ID#AAABbnJBVxA
Lilianna Ruby    (2025-01-14 21:09:38)
Current operating lease liabilities, deferred revenue, other
EDGAR Mapper:
Replaced a balance-sheet formula with the EDGAR period-end balance so instant values are not derived from prior quarters.</t>
        </r>
      </text>
    </comment>
    <comment ref="L136" authorId="0">
      <text>
        <r>
          <rPr>
            <b/>
          </rPr>
          <t xml:space="preserve">EDGAR Mapper:
</t>
        </r>
        <r>
          <t>Replaced a balance-sheet formula with the EDGAR period-end balance so instant values are not derived from prior quarters.</t>
        </r>
      </text>
    </comment>
    <comment ref="M136" authorId="0">
      <text>
        <r>
          <rPr>
            <b/>
          </rPr>
          <t xml:space="preserve">EDGAR Mapper:
</t>
        </r>
        <r>
          <t>Replaced a balance-sheet formula with the EDGAR period-end balance so instant values are not derived from prior quarters.</t>
        </r>
      </text>
    </comment>
    <comment ref="N136" authorId="0">
      <text>
        <r>
          <rPr>
            <b/>
          </rPr>
          <t xml:space="preserve">EDGAR Mapper:
</t>
        </r>
        <r>
          <t>Replaced a balance-sheet formula with the EDGAR period-end balance so instant values are not derived from prior quarters.</t>
        </r>
      </text>
    </comment>
    <comment ref="P136" authorId="0">
      <text>
        <r>
          <rPr>
            <b/>
          </rPr>
          <t xml:space="preserve">EDGAR Mapper:
</t>
        </r>
        <r>
          <t xml:space="preserve">======
ID#AAABbnJBV00
Lilianna Ruby    (2025-01-14 21:09:38)
Current operating lease liabilities, deferred revenue, other
EDGAR Mapper:
EDGAR: 10-Q, filed 2025-01-31
Period: 1Q25 (ended 2024-12-28)
Value: 8461 mm
From: Contract with Customer, Liability, Current
Confidence: high
Note: Grouped from Contract with Customer, Liability, Current. Mapped to a direct SEC other current liability / current contract liability concept when reported. Filing says: 10-Q filed 2025-01-31: "987 Non-current assets: Marketable securities...</t>
        </r>
      </text>
    </comment>
    <comment ref="Q136" authorId="0">
      <text>
        <r>
          <rPr>
            <b/>
          </rPr>
          <t xml:space="preserve">EDGAR Mapper:
</t>
        </r>
        <r>
          <t xml:space="preserve">EDGAR: 10-Q, filed 2025-05-02
Period: 2Q25 (ended 2025-03-29)
Value: 8976 mm
From: Contract with Customer, Liability, Current
Confidence: high
Note: Grouped from Contract with Customer, Liability, Current. Mapped to a direct SEC other current liability / current contract liability concept when reported. Filing says: 10-Q filed 2025-05-02: "987 Non-current assets: Marketable securities...</t>
        </r>
      </text>
    </comment>
    <comment ref="R136" authorId="0">
      <text>
        <r>
          <rPr>
            <b/>
          </rPr>
          <t xml:space="preserve">EDGAR Mapper:
</t>
        </r>
        <r>
          <t xml:space="preserve">EDGAR: 10-Q, filed 2025-08-01
Period: 3Q25 (ended 2025-06-28)
Value: 8979 mm
From: Contract with Customer, Liability, Current
Confidence: high
Note: Grouped from Contract with Customer, Liability, Current. Mapped to a direct SEC other current liability / current contract liability concept when reported. Filing says: 10-Q filed 2025-08-01: "987 Non-current assets: Marketable securities...</t>
        </r>
      </text>
    </comment>
    <comment ref="S136" authorId="0">
      <text>
        <r>
          <rPr>
            <b/>
          </rPr>
          <t xml:space="preserve">EDGAR Mapper:
</t>
        </r>
        <r>
          <t xml:space="preserve">EDGAR: 10-Q, filed 2026-05-01
Period: 4Q25 (ended 2025-09-27)
Value: 9055 mm
From: Contract with Customer, Liability, Current
Confidence: high
Note: Grouped from Contract with Customer, Liability, Current. Mapped to a direct SEC other current liability / current contract liability concept when reported. Filing says: 10-K filed 2025-10-31: "ax assets and liabilities were as follows (in...</t>
        </r>
      </text>
    </comment>
    <comment ref="U136" authorId="0">
      <text>
        <r>
          <rPr>
            <b/>
          </rPr>
          <t xml:space="preserve">EDGAR Mapper:
</t>
        </r>
        <r>
          <t xml:space="preserve">======
ID#AAABbnJBV1E
Lilianna Ruby    (2025-01-14 21:09:38)
Current operating lease liabilities, deferred revenue, other
EDGAR Mapper:
Replaced a balance-sheet formula with the EDGAR period-end balance so instant values are not derived from prior quarters.</t>
        </r>
      </text>
    </comment>
    <comment ref="V136" authorId="0">
      <text>
        <r>
          <rPr>
            <b/>
          </rPr>
          <t xml:space="preserve">EDGAR Mapper:
</t>
        </r>
        <r>
          <t>Replaced a balance-sheet formula with the EDGAR period-end balance so instant values are not derived from prior quarters.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Long-term Debt, Excluding Current Maturities. Filing says: 10-Q filed 2025-01-31: "987 Non-current assets: Marketable securities 87,593 91,479 Property, plant and equipment, net 46,069 45,680 Other non-current assets 77,183..." Grouped from Long-term Debt, Excluding Current Maturities. Filing says: 10-Q filed 2025-05-02: ",753 $ 219,659 $ 210,328 Portion of total net sales that was included in deferred revenue as of the beginning of the period $ 3,672 $ 3,282..." Grouped from Long-term Debt, Excluding Current Maturities. Filing says: 10-Q filed 2025-08-01: ",777 $ 313,695 $ 296,105 Portion of total net sales that was included in deferred revenue as of the beginning of the period $ 4,015 $ 3,405..." Grouped from Long-term Debt, Excluding Current Maturities. Filing says: 10-K filed 2025-10-31: "987 Non-current assets: Marketable securities 77,723 91,479 Property, plant and equipment, net 49,834 45,680 Other non-current assets 83,727..."</t>
        </r>
      </text>
    </comment>
    <comment ref="F140" authorId="0">
      <text>
        <r>
          <rPr>
            <b/>
          </rPr>
          <t xml:space="preserve">EDGAR Mapper:
</t>
        </r>
        <r>
          <t>Replaced a balance-sheet formula with the EDGAR period-end balance so instant values are not derived from prior quarters.</t>
        </r>
      </text>
    </comment>
    <comment ref="G140" authorId="0">
      <text>
        <r>
          <rPr>
            <b/>
          </rPr>
          <t xml:space="preserve">EDGAR Mapper:
</t>
        </r>
        <r>
          <t>Replaced a balance-sheet formula with the EDGAR period-end balance so instant values are not derived from prior quarters.</t>
        </r>
      </text>
    </comment>
    <comment ref="H140" authorId="0">
      <text>
        <r>
          <rPr>
            <b/>
          </rPr>
          <t xml:space="preserve">EDGAR Mapper:
</t>
        </r>
        <r>
          <t>Replaced a balance-sheet formula with the EDGAR period-end balance so instant values are not derived from prior quarters.</t>
        </r>
      </text>
    </comment>
    <comment ref="I140" authorId="0">
      <text>
        <r>
          <rPr>
            <b/>
          </rPr>
          <t xml:space="preserve">EDGAR Mapper:
</t>
        </r>
        <r>
          <t>Replaced a balance-sheet formula with the EDGAR period-end balance so instant values are not derived from prior quarters.</t>
        </r>
      </text>
    </comment>
    <comment ref="K140" authorId="0">
      <text>
        <r>
          <rPr>
            <b/>
          </rPr>
          <t xml:space="preserve">EDGAR Mapper:
</t>
        </r>
        <r>
          <t>Replaced a balance-sheet formula with the EDGAR period-end balance so instant values are not derived from prior quarters.</t>
        </r>
      </text>
    </comment>
    <comment ref="L140" authorId="0">
      <text>
        <r>
          <rPr>
            <b/>
          </rPr>
          <t xml:space="preserve">EDGAR Mapper:
</t>
        </r>
        <r>
          <t>Replaced a balance-sheet formula with the EDGAR period-end balance so instant values are not derived from prior quarters.</t>
        </r>
      </text>
    </comment>
    <comment ref="M140" authorId="0">
      <text>
        <r>
          <rPr>
            <b/>
          </rPr>
          <t xml:space="preserve">EDGAR Mapper:
</t>
        </r>
        <r>
          <t>Replaced a balance-sheet formula with the EDGAR period-end balance so instant values are not derived from prior quarters.</t>
        </r>
      </text>
    </comment>
    <comment ref="N140" authorId="0">
      <text>
        <r>
          <rPr>
            <b/>
          </rPr>
          <t xml:space="preserve">EDGAR Mapper:
</t>
        </r>
        <r>
          <t>Replaced a balance-sheet formula with the EDGAR period-end balance so instant values are not derived from prior quarters.</t>
        </r>
      </text>
    </comment>
    <comment ref="P140" authorId="0">
      <text>
        <r>
          <rPr>
            <b/>
          </rPr>
          <t xml:space="preserve">EDGAR Mapper:
</t>
        </r>
        <r>
          <t xml:space="preserve">EDGAR: 10-Q, filed 2025-01-31
Period: 1Q25 (ended 2024-12-28)
Value: 83956 mm
From: Long-term Debt, Excluding Current Maturities
Confidence: high
Note: Grouped from Long-term Debt, Excluding Current Maturities. Filing says: 10-Q filed 2025-01-31: "987 Non-current assets: Marketable securities 87,593 91,479 Property, plant and equipment, net 46,069 45,680 Other non-current assets 77,183..."</t>
        </r>
      </text>
    </comment>
    <comment ref="Q140" authorId="0">
      <text>
        <r>
          <rPr>
            <b/>
          </rPr>
          <t xml:space="preserve">EDGAR Mapper:
</t>
        </r>
        <r>
          <t xml:space="preserve">EDGAR: 10-Q, filed 2025-05-02
Period: 2Q25 (ended 2025-03-29)
Value: 78566 mm
From: Long-term Debt, Excluding Current Maturities
Confidence: high
Note: Grouped from Long-term Debt, Excluding Current Maturities. Filing says: 10-Q filed 2025-05-02: ",753 $ 219,659 $ 210,328 Portion of total net sales that was included in deferred revenue as of the beginning of the period $ 3,672 $ 3,282..."</t>
        </r>
      </text>
    </comment>
    <comment ref="R140" authorId="0">
      <text>
        <r>
          <rPr>
            <b/>
          </rPr>
          <t xml:space="preserve">EDGAR Mapper:
</t>
        </r>
        <r>
          <t xml:space="preserve">EDGAR: 10-Q, filed 2025-08-01
Period: 3Q25 (ended 2025-06-28)
Value: 82430 mm
From: Long-term Debt, Excluding Current Maturities
Confidence: high
Note: Grouped from Long-term Debt, Excluding Current Maturities. Filing says: 10-Q filed 2025-08-01: ",777 $ 313,695 $ 296,105 Portion of total net sales that was included in deferred revenue as of the beginning of the period $ 4,015 $ 3,405..."</t>
        </r>
      </text>
    </comment>
    <comment ref="S140" authorId="0">
      <text>
        <r>
          <rPr>
            <b/>
          </rPr>
          <t xml:space="preserve">EDGAR Mapper:
</t>
        </r>
        <r>
          <t xml:space="preserve">EDGAR: 10-Q, filed 2026-05-01
Period: 4Q25 (ended 2025-09-27)
Value: 78328 mm
From: Long-term Debt, Excluding Current Maturities
Confidence: high
Note: Grouped from Long-term Debt, Excluding Current Maturities. Filing says: 10-K filed 2025-10-31: "987 Non-current assets: Marketable securities 77,723 91,479 Property, plant and equipment, net 49,834 45,680 Other non-current assets 83,727..."</t>
        </r>
      </text>
    </comment>
    <comment ref="U140" authorId="0">
      <text>
        <r>
          <rPr>
            <b/>
          </rPr>
          <t xml:space="preserve">EDGAR Mapper:
</t>
        </r>
        <r>
          <t>Replaced a balance-sheet formula with the EDGAR period-end balance so instant values are not derived from prior quarters.</t>
        </r>
      </text>
    </comment>
    <comment ref="V140" authorId="0">
      <text>
        <r>
          <rPr>
            <b/>
          </rPr>
          <t xml:space="preserve">EDGAR Mapper:
</t>
        </r>
        <r>
          <t>Replaced a balance-sheet formula with the EDGAR period-end balance so instant values are not derived from prior quarters.</t>
        </r>
      </text>
    </comment>
    <comment ref="C141" authorId="0">
      <text>
        <r>
          <rPr>
            <b/>
          </rPr>
          <t xml:space="preserve">EDGAR Mapper:
</t>
        </r>
        <r>
          <t>Grouped from Deferred Tax Liabilities Noncurrent. No separate deferred tax liability was reported in the SEC balance sheet for this period. Filing says: 10-Q filed 2023-02-03: "ree Months Ended December 31, 2022 December 25, 2021 Cash, cash equivalents and restricted cash, beginning balances $ 24,977 $ 35,929..." Grouped from Deferred Tax Liabilities Noncurrent. No separate deferred tax liability was reported in the SEC balance sheet for this period. Filing says: 10-Q filed 2023-05-05: "5 Non-current assets: Marketable securities 110,461 120,805 Property, plant and equipment, net 43,398 42,117 Other non-current assets 65,388..." Grouped from Deferred Tax Liabilities Noncurrent. No separate deferred tax liability was reported in the SEC balance sheet for this period. Filing says: 10-Q filed 2023-08-04: "5 Non-current assets: Marketable securities 104,061 120,805 Property, plant and equipment, net 43,550 42,117 Other non-current assets 64,768..." Grouped from Deferred Tax Liabilities Noncurrent. No separate deferred tax liability was reported in the SEC balance sheet for this period. Filing says: 10-K filed 2023-11-03: "5 Non-current assets: Marketable securities 100,544 120,805 Property, plant and equipment, net 43,715 42,117 Other non-current assets 64,758..." Grouped from Deferred Tax Liabilities Noncurrent. No separate deferred tax liability was reported in the SEC balance sheet for this period. Filing says: 10-Q filed 2024-02-02: "66 Non-current assets: Marketable securities 99,475 100,544 Property, plant and equipment, net 43,666 43,715 Other non-current assets 66,681..." Grouped from Deferred Tax Liabilities Noncurrent. No separate deferred tax liability was reported in the SEC balance sheet for this period. Filing says: 10-Q filed 2024-05-03: "66 Non-current assets: Marketable securities 95,187 100,544 Property, plant and equipment, net 43,546 43,715 Other non-current assets 70,262..." Grouped from Deferred Tax Liabilities Noncurrent. No separate deferred tax liability was reported in the SEC balance sheet for this period. Filing says: 10-Q filed 2024-08-02: "66 Non-current assets: Marketable securities 91,240 100,544 Property, plant and equipment, net 44,502 43,715 Other non-current assets 70,435..." Grouped from Deferred Tax Liabilities Noncurrent. No separate deferred tax liability was reported in the SEC balance sheet for this period. Filing says: 10-K filed 2024-11-01: "66 Non-current assets: Marketable securities 91,479 100,544 Property, plant and equipment, net 45,680 43,715 Other non-current assets 74,834..." Grouped from Deferred Tax Liabilities Noncurrent. No separate deferred tax liability was reported in the SEC balance sheet for this period. Filing says: 10-Q filed 2025-01-31: "987 Non-current assets: Marketable securities 87,593 91,479 Property, plant and equipment, net 46,069 45,680 Other non-current assets 77,183..." Grouped from Deferred Tax Liabilities Noncurrent. No separate deferred tax liability was reported in the SEC balance sheet for this period. Filing says: 10-Q filed 2025-05-02: "987 Non-current assets: Marketable securities 84,424 91,479 Property, plant and equipment, net 46,876 45,680 Other non-current assets 81,259..." Grouped from Deferred Tax Liabilities Noncurrent. No separate deferred tax liability was reported in the SEC balance sheet for this period. Filing says: 10-Q filed 2025-08-01: "987 Non-current assets: Marketable securities 77,614 91,479 Property, plant and equipment, net 48,508 45,680 Other non-current assets 82,882..." Grouped from Deferred Tax Liabilities Noncurrent. No separate deferred tax liability was reported in the SEC balance sheet for this period. Filing says: 10-K filed 2025-10-31: "987 Non-current assets: Marketable securities 77,723 91,479 Property, plant and equipment, net 49,834 45,680 Other non-current assets 83,727..." Grouped from Deferred Tax Liabilities Noncurrent. No separate deferred tax liability was reported in the SEC balance sheet for this period. Filing says: 10-Q filed 2026-01-30: "957 Non-current assets: Marketable securities 77,888 77,723 Property, plant and equipment, net 50,159 49,834 Other non-current assets 93,146..." Grouped from Deferred Tax Liabilities Noncurrent. No separate deferred tax liability was reported in the SEC balance sheet for this period. Filing says: 10-Q filed 2026-05-01: "curities 78,088 77,723 Property, plant and equipment, net 50,116 49,834 Intangible assets, net 21,334 11,093 Other non-current assets 77,430..."</t>
        </r>
      </text>
    </comment>
    <comment ref="F141" authorId="0">
      <text>
        <r>
          <rPr>
            <b/>
          </rPr>
          <t xml:space="preserve">EDGAR Mapper:
</t>
        </r>
        <r>
          <t xml:space="preserve">EDGAR: SEC filing
Period: 1Q23
Value: 0 mm
From: Deferred Tax Liabilities Noncurrent
Confidence: medium
Note: Grouped from Deferred Tax Liabilities Noncurrent. No separate deferred tax liability was reported in the SEC balance sheet for this period. Filing says: 10-Q filed 2023-02-03: "ree Months Ended December 31, 2022 December 25, 2021 Cash, cash...</t>
        </r>
      </text>
    </comment>
    <comment ref="G141" authorId="0">
      <text>
        <r>
          <rPr>
            <b/>
          </rPr>
          <t xml:space="preserve">EDGAR Mapper:
</t>
        </r>
        <r>
          <t xml:space="preserve">EDGAR: SEC filing
Period: 2Q23
Value: 0 mm
From: Deferred Tax Liabilities Noncurrent
Confidence: medium
Note: Grouped from Deferred Tax Liabilities Noncurrent. No separate deferred tax liability was reported in the SEC balance sheet for this period. Filing says: 10-Q filed 2023-05-05: "5 Non-current assets: Marketable securities 110,461 120,805...</t>
        </r>
      </text>
    </comment>
    <comment ref="H141" authorId="0">
      <text>
        <r>
          <rPr>
            <b/>
          </rPr>
          <t xml:space="preserve">EDGAR Mapper:
</t>
        </r>
        <r>
          <t xml:space="preserve">EDGAR: SEC filing
Period: 3Q23
Value: 0 mm
From: Deferred Tax Liabilities Noncurrent
Confidence: medium
Note: Grouped from Deferred Tax Liabilities Noncurrent. No separate deferred tax liability was reported in the SEC balance sheet for this period. Filing says: 10-Q filed 2023-08-04: "5 Non-current assets: Marketable securities 104,061 120,805...</t>
        </r>
      </text>
    </comment>
    <comment ref="I141" authorId="0">
      <text>
        <r>
          <rPr>
            <b/>
          </rPr>
          <t xml:space="preserve">EDGAR Mapper:
</t>
        </r>
        <r>
          <t xml:space="preserve">EDGAR: SEC filing
Period: 4Q23
Value: 0 mm
From: Deferred Tax Liabilities Noncurrent
Confidence: medium
Note: Grouped from Deferred Tax Liabilities Noncurrent. No separate deferred tax liability was reported in the SEC balance sheet for this period. Filing says: 10-K filed 2023-11-03: "5 Non-current assets: Marketable securities 100,544 120,805...</t>
        </r>
      </text>
    </comment>
    <comment ref="K141" authorId="0">
      <text>
        <r>
          <rPr>
            <b/>
          </rPr>
          <t xml:space="preserve">EDGAR Mapper:
</t>
        </r>
        <r>
          <t xml:space="preserve">EDGAR: SEC filing
Period: 1Q24
Value: 0 mm
From: Deferred Tax Liabilities Noncurrent
Confidence: medium
Note: Grouped from Deferred Tax Liabilities Noncurrent. No separate deferred tax liability was reported in the SEC balance sheet for this period. Filing says: 10-Q filed 2024-02-02: "66 Non-current assets: Marketable securities 99,475 100,544...</t>
        </r>
      </text>
    </comment>
    <comment ref="L141" authorId="0">
      <text>
        <r>
          <rPr>
            <b/>
          </rPr>
          <t xml:space="preserve">EDGAR Mapper:
</t>
        </r>
        <r>
          <t xml:space="preserve">EDGAR: SEC filing
Period: 2Q24
Value: 0 mm
From: Deferred Tax Liabilities Noncurrent
Confidence: medium
Note: Grouped from Deferred Tax Liabilities Noncurrent. No separate deferred tax liability was reported in the SEC balance sheet for this period. Filing says: 10-Q filed 2024-05-03: "66 Non-current assets: Marketable securities 95,187 100,544...</t>
        </r>
      </text>
    </comment>
    <comment ref="M141" authorId="0">
      <text>
        <r>
          <rPr>
            <b/>
          </rPr>
          <t xml:space="preserve">EDGAR Mapper:
</t>
        </r>
        <r>
          <t xml:space="preserve">EDGAR: SEC filing
Period: 3Q24
Value: 0 mm
From: Deferred Tax Liabilities Noncurrent
Confidence: medium
Note: Grouped from Deferred Tax Liabilities Noncurrent. No separate deferred tax liability was reported in the SEC balance sheet for this period. Filing says: 10-Q filed 2024-08-02: "66 Non-current assets: Marketable securities 91,240 100,544...</t>
        </r>
      </text>
    </comment>
    <comment ref="N141" authorId="0">
      <text>
        <r>
          <rPr>
            <b/>
          </rPr>
          <t xml:space="preserve">EDGAR Mapper:
</t>
        </r>
        <r>
          <t xml:space="preserve">EDGAR: SEC filing
Period: 4Q24
Value: 0 mm
From: Deferred Tax Liabilities Noncurrent
Confidence: medium
Note: Grouped from Deferred Tax Liabilities Noncurrent. No separate deferred tax liability was reported in the SEC balance sheet for this period. Filing says: 10-K filed 2024-11-01: "66 Non-current assets: Marketable securities 91,479 100,544...</t>
        </r>
      </text>
    </comment>
    <comment ref="P141" authorId="0">
      <text>
        <r>
          <rPr>
            <b/>
          </rPr>
          <t xml:space="preserve">EDGAR Mapper:
</t>
        </r>
        <r>
          <t xml:space="preserve">EDGAR: SEC filing
Period: 1Q25
Value: 0 mm
From: Deferred Tax Liabilities Noncurrent
Confidence: medium
Note: Grouped from Deferred Tax Liabilities Noncurrent. No separate deferred tax liability was reported in the SEC balance sheet for this period. Filing says: 10-Q filed 2025-01-31: "987 Non-current assets: Marketable securities 87,593 91,479...</t>
        </r>
      </text>
    </comment>
    <comment ref="Q141" authorId="0">
      <text>
        <r>
          <rPr>
            <b/>
          </rPr>
          <t xml:space="preserve">EDGAR Mapper:
</t>
        </r>
        <r>
          <t xml:space="preserve">EDGAR: SEC filing
Period: 2Q25
Value: 0 mm
From: Deferred Tax Liabilities Noncurrent
Confidence: medium
Note: Grouped from Deferred Tax Liabilities Noncurrent. No separate deferred tax liability was reported in the SEC balance sheet for this period. Filing says: 10-Q filed 2025-05-02: "987 Non-current assets: Marketable securities 84,424 91,479...</t>
        </r>
      </text>
    </comment>
    <comment ref="R141" authorId="0">
      <text>
        <r>
          <rPr>
            <b/>
          </rPr>
          <t xml:space="preserve">EDGAR Mapper:
</t>
        </r>
        <r>
          <t xml:space="preserve">EDGAR: SEC filing
Period: 3Q25
Value: 0 mm
From: Deferred Tax Liabilities Noncurrent
Confidence: medium
Note: Grouped from Deferred Tax Liabilities Noncurrent. No separate deferred tax liability was reported in the SEC balance sheet for this period. Filing says: 10-Q filed 2025-08-01: "987 Non-current assets: Marketable securities 77,614 91,479...</t>
        </r>
      </text>
    </comment>
    <comment ref="S141" authorId="0">
      <text>
        <r>
          <rPr>
            <b/>
          </rPr>
          <t xml:space="preserve">EDGAR Mapper:
</t>
        </r>
        <r>
          <t xml:space="preserve">EDGAR: SEC filing
Period: 4Q25
Value: 0 mm
From: Deferred Tax Liabilities Noncurrent
Confidence: medium
Note: Grouped from Deferred Tax Liabilities Noncurrent. No separate deferred tax liability was reported in the SEC balance sheet for this period. Filing says: 10-K filed 2025-10-31: "987 Non-current assets: Marketable securities 77,723 91,479...</t>
        </r>
      </text>
    </comment>
    <comment ref="U141" authorId="0">
      <text>
        <r>
          <rPr>
            <b/>
          </rPr>
          <t xml:space="preserve">EDGAR Mapper:
</t>
        </r>
        <r>
          <t xml:space="preserve">EDGAR: SEC filing
Period: 1Q26
Value: 0 mm
From: Deferred Tax Liabilities Noncurrent
Confidence: medium
Note: Grouped from Deferred Tax Liabilities Noncurrent. No separate deferred tax liability was reported in the SEC balance sheet for this period. Filing says: 10-Q filed 2026-01-30: "957 Non-current assets: Marketable securities 77,888 77,723...</t>
        </r>
      </text>
    </comment>
    <comment ref="V141" authorId="0">
      <text>
        <r>
          <rPr>
            <b/>
          </rPr>
          <t xml:space="preserve">EDGAR Mapper:
</t>
        </r>
        <r>
          <t xml:space="preserve">EDGAR: SEC filing
Period: 2Q26
Value: 0 mm
From: Deferred Tax Liabilities Noncurrent
Confidence: medium
Note: Grouped from Deferred Tax Liabilities Noncurrent. No separate deferred tax liability was reported in the SEC balance sheet for this period. Filing says: 10-Q filed 2026-05-01: "curities 78,088 77,723 Property, plant and equipment, net...</t>
        </r>
      </text>
    </comment>
    <comment ref="C142" authorId="0">
      <text>
        <r>
          <rPr>
            <b/>
          </rPr>
          <t xml:space="preserve">EDGAR Mapper:
</t>
        </r>
        <r>
          <t xml:space="preserve">======
ID#AAABbnJBVw8
Luke Brennan    (2025-01-14 21:09:38)
Accrued Retiree Healthcare
Accrued Pension Plan Liability, net
and Other LT Liabilities
EDGAR Mapper:
Grouped from Liabilities, Liabilities, Current, Debt Current, +4 more. Derived from SEC total liabilities less current liabilities and separately modeled non-current debt, deferred tax, lease, and pension liabilities. Noncontrolling interests are... Filing says: 10-Q filed 2025-01-31: "987 Non-current assets: Marketable securities 87,593 91,479 Property, plant and equipment, net 46,069 45,680 Other non-current assets 77,183..." Grouped from Liabilities, Liabilities, Current, Debt Current, +4 more. Derived from SEC total liabilities less current liabilities and separately modeled non-current debt, deferred tax, lease, and pension liabilities. Noncontrolling interests are... Filing says: 10-Q filed 2025-05-02: "987 Non-current assets: Marketable securities 84,424 91,479 Property, plant and equipment, net 46,876 45,680 Other non-current assets 81,259..." Grouped from Liabilities, Liabilities, Current, Debt Current, +4 more. Derived from SEC total liabilities less current liabilities and separately modeled non-current debt, deferred tax, lease, and pension liabilities. Noncontrolling interests are... Filing says: 10-Q filed 2025-08-01: "987 Non-current assets: Marketable securities 77,614 91,479 Property, plant and equipment, net 48,508 45,680 Other non-current assets 82,882..." Grouped from Liabilities, Liabilities, Current, Debt Current, +4 more. Derived from SEC total liabilities less current liabilities and separately modeled non-current debt, deferred tax, lease, and pension liabilities. Noncontrolling interests are... Filing says: 10-K filed 2025-10-31: "987 Non-current assets: Marketable securities 77,723 91,479 Property, plant and equipment, net 49,834 45,680 Other non-current assets 83,727..."</t>
        </r>
      </text>
    </comment>
    <comment ref="F142" authorId="0">
      <text>
        <r>
          <rPr>
            <b/>
          </rPr>
          <t xml:space="preserve">EDGAR Mapper:
</t>
        </r>
        <r>
          <t>Replaced a balance-sheet formula with the EDGAR period-end balance so instant values are not derived from prior quarters.</t>
        </r>
      </text>
    </comment>
    <comment ref="G142" authorId="0">
      <text>
        <r>
          <rPr>
            <b/>
          </rPr>
          <t xml:space="preserve">EDGAR Mapper:
</t>
        </r>
        <r>
          <t>Replaced a balance-sheet formula with the EDGAR period-end balance so instant values are not derived from prior quarters.</t>
        </r>
      </text>
    </comment>
    <comment ref="H142" authorId="0">
      <text>
        <r>
          <rPr>
            <b/>
          </rPr>
          <t xml:space="preserve">EDGAR Mapper:
</t>
        </r>
        <r>
          <t>Replaced a balance-sheet formula with the EDGAR period-end balance so instant values are not derived from prior quarters.</t>
        </r>
      </text>
    </comment>
    <comment ref="I142" authorId="0">
      <text>
        <r>
          <rPr>
            <b/>
          </rPr>
          <t xml:space="preserve">EDGAR Mapper:
</t>
        </r>
        <r>
          <t>Replaced a balance-sheet formula with the EDGAR period-end balance so instant values are not derived from prior quarters.</t>
        </r>
      </text>
    </comment>
    <comment ref="K142" authorId="0">
      <text>
        <r>
          <rPr>
            <b/>
          </rPr>
          <t xml:space="preserve">EDGAR Mapper:
</t>
        </r>
        <r>
          <t>Replaced a balance-sheet formula with the EDGAR period-end balance so instant values are not derived from prior quarters.</t>
        </r>
      </text>
    </comment>
    <comment ref="L142" authorId="0">
      <text>
        <r>
          <rPr>
            <b/>
          </rPr>
          <t xml:space="preserve">EDGAR Mapper:
</t>
        </r>
        <r>
          <t>Replaced a balance-sheet formula with the EDGAR period-end balance so instant values are not derived from prior quarters.</t>
        </r>
      </text>
    </comment>
    <comment ref="M142" authorId="0">
      <text>
        <r>
          <rPr>
            <b/>
          </rPr>
          <t xml:space="preserve">EDGAR Mapper:
</t>
        </r>
        <r>
          <t>Replaced a balance-sheet formula with the EDGAR period-end balance so instant values are not derived from prior quarters.</t>
        </r>
      </text>
    </comment>
    <comment ref="N142" authorId="0">
      <text>
        <r>
          <rPr>
            <b/>
          </rPr>
          <t xml:space="preserve">EDGAR Mapper:
</t>
        </r>
        <r>
          <t>Replaced a balance-sheet formula with the EDGAR period-end balance so instant values are not derived from prior quarters.</t>
        </r>
      </text>
    </comment>
    <comment ref="P142" authorId="0">
      <text>
        <r>
          <rPr>
            <b/>
          </rPr>
          <t xml:space="preserve">EDGAR Mapper:
</t>
        </r>
        <r>
          <t xml:space="preserve">EDGAR: 10-Q, filed 2025-01-31
Period: 1Q25 (ended 2024-12-28)
Value: 49006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Q142" authorId="0">
      <text>
        <r>
          <rPr>
            <b/>
          </rPr>
          <t xml:space="preserve">EDGAR Mapper:
</t>
        </r>
        <r>
          <t xml:space="preserve">EDGAR: 10-Q, filed 2025-05-02
Period: 2Q25 (ended 2025-03-29)
Value: 41300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R142" authorId="0">
      <text>
        <r>
          <rPr>
            <b/>
          </rPr>
          <t xml:space="preserve">EDGAR Mapper:
</t>
        </r>
        <r>
          <t xml:space="preserve">EDGAR: 10-Q, filed 2025-08-01
Period: 3Q25 (ended 2025-06-28)
Value: 42115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S142" authorId="0">
      <text>
        <r>
          <rPr>
            <b/>
          </rPr>
          <t xml:space="preserve">EDGAR Mapper:
</t>
        </r>
        <r>
          <t xml:space="preserve">EDGAR: 10-Q, filed 2026-05-01
Period: 4Q25 (ended 2025-09-27)
Value: 41549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U142" authorId="0">
      <text>
        <r>
          <rPr>
            <b/>
          </rPr>
          <t xml:space="preserve">EDGAR Mapper:
</t>
        </r>
        <r>
          <t>Replaced a balance-sheet formula with the EDGAR period-end balance so instant values are not derived from prior quarters.</t>
        </r>
      </text>
    </comment>
    <comment ref="V142" authorId="0">
      <text>
        <r>
          <rPr>
            <b/>
          </rPr>
          <t xml:space="preserve">EDGAR Mapper:
</t>
        </r>
        <r>
          <t>Replaced a balance-sheet formula with the EDGAR period-end balance so instant values are not derived from prior quarters.</t>
        </r>
      </text>
    </comment>
    <comment ref="Z143" authorId="0">
      <text/>
    </comment>
    <comment ref="AE143" authorId="0">
      <text/>
    </comment>
    <comment ref="C147" authorId="0">
      <text>
        <r>
          <rPr>
            <b/>
          </rPr>
          <t xml:space="preserve">EDGAR Mapper:
</t>
        </r>
        <r>
          <t>Grouped from Common Stock Value, Common Stocks, Including Additional Paid in Capital. Included common stock value plus additional paid-in capital. Filing says: 10-Q filed 2023-02-03: "ths Ended December 31, 2022 December 25, 2021 Net sales: Products $ 96,388 $ 104,429 Services 20,766 19,516 Total net sales 117,154 123,945..." Grouped from Common Stock Value, Common Stocks, Including Additional Paid in Capital. Included common stock value plus additional paid-in capital. Filing says: 10-Q filed 2023-05-05: "lions) Six Months Ended April 1, 2023 March 26, 2022 Cash, cash equivalents and restricted cash, beginning balances $ 24,977 $ 35,929..." Grouped from Common Stock Value, Common Stocks, Including Additional Paid in Capital. Included common stock value plus additional paid-in capital. Filing says: 10-Q filed 2023-08-04: "llions) Nine Months Ended July 1, 2023 June 25, 2022 Cash, cash equivalents and restricted cash, beginning balances $ 24,977 $ 35,929..." Grouped from Common Stock Value, Common Stocks, Including Additional Paid in Capital. Included common stock value plus additional paid-in capital. Filing says: 10-K filed 2023-11-03: "bilities were (in millions): 2023 2022 Deferred tax assets: Tax credit carryforwards $ 8,302 $ 6,962 Accrued liabilities and other reserves..." Grouped from Common Stock Value, Common Stocks, Including Additional Paid in Capital. Included common stock value plus additional paid-in capital. Filing says: 10-Q filed 2024-02-02: "nths Ended December 30, 2023 December 31, 2022 Net sales: Products $ 96,458 $ 96,388 Services 23,117 20,766 Total net sales 119,575 117,154..." Grouped from Common Stock Value, Common Stocks, Including Additional Paid in Capital. Included common stock value plus additional paid-in capital. Filing says: 10-Q filed 2024-05-03: "lions) Six Months Ended March 30, 2024 April 1, 2023 Cash, cash equivalents and restricted cash, beginning balances $ 30,737 $ 24,977..." Grouped from Common Stock Value, Common Stocks, Including Additional Paid in Capital. Included common stock value plus additional paid-in capital. Filing says: 10-Q filed 2024-08-02: "llions) Nine Months Ended June 29, 2024 July 1, 2023 Cash, cash equivalents and restricted cash, beginning balances $ 30,737 $ 24,977..." Grouped from Common Stock Value, Common Stocks, Including Additional Paid in Capital. Included common stock value plus additional paid-in capital. Filing says: 10-K filed 2024-11-01: "s deferred tax assets and liabilities were (in millions): 2024 2023 Deferred tax assets: Capitalized research and development $ 10,739 $..." Grouped from Common Stock Value, Common Stocks, Including Additional Paid in Capital. Included common stock value plus additional paid-in capital. Filing says: 10-Q filed 2025-01-31: "nths Ended December 28, 2024 December 30, 2023 Net sales: Products $ 97,960 $ 96,458 Services 26,340 23,117 Total net sales 124,300 119,575..." Grouped from Common Stock Value, Common Stocks, Including Additional Paid in Capital. Included common stock value plus additional paid-in capital. Filing says: 10-Q filed 2025-05-02: "March 29, 2025 March 30, 2024 Cash, cash equivalents, and restricted cash and cash equivalents, beginning balances $ 29,943 $ 30,737..." Grouped from Common Stock Value, Common Stocks, Including Additional Paid in Capital. Included common stock value plus additional paid-in capital. Filing says: 10-Q filed 2025-08-01: "ed June 28, 2025 June 29, 2024 Cash, cash equivalents, and restricted cash and cash equivalents, beginning balances $ 29,943 $ 30,737..." Grouped from Common Stock Value, Common Stocks, Including Additional Paid in Capital. Included common stock value plus additional paid-in capital. Filing says: 10-K filed 2025-10-31: "ax assets and liabilities were as follows (in millions): 2025 2024 Deferred tax assets: Capitalized research and development $ 15,041 $..." Grouped from Common Stock Value, Common Stocks, Including Additional Paid in Capital. Included common stock value plus additional paid-in capital. Filing says: 10-Q filed 2026-01-30: "ths Ended December 27, 2025 December 28, 2024 Net sales: Products $ 113,743 $ 97,960 Services 30,013 26,340 Total net sales 143,756 124,300..." Grouped from Common Stock Value, Common Stocks, Including Additional Paid in Capital. Included common stock value plus additional paid-in capital. Filing says: 10-Q filed 2026-05-01: "March 28, 2026 March 29, 2025 Cash, cash equivalents, and restricted cash and cash equivalents, beginning balances $ 35,934 $ 29,943..."</t>
        </r>
      </text>
    </comment>
    <comment ref="F147" authorId="0">
      <text>
        <r>
          <rPr>
            <b/>
          </rPr>
          <t xml:space="preserve">EDGAR Mapper:
</t>
        </r>
        <r>
          <t xml:space="preserve">EDGAR: SEC filing
Period: 1Q23
Value: 66399 mm
From: Common Stock Value, Common Stocks, Including Additional Paid in Capital
Confidence: high
Note: Grouped from Common Stock Value, Common Stocks, Including Additional Paid in Capital. Included common stock value plus additional paid-in capital. Filing says: 10-Q filed 2023-02-03: "ths Ended December 31, 2022 December 25, 2021 Net sales:...</t>
        </r>
      </text>
    </comment>
    <comment ref="G147" authorId="0">
      <text>
        <r>
          <rPr>
            <b/>
          </rPr>
          <t xml:space="preserve">EDGAR Mapper:
</t>
        </r>
        <r>
          <t xml:space="preserve">EDGAR: SEC filing
Period: 2Q23
Value: 69568 mm
From: Common Stock Value, Common Stocks, Including Additional Paid in Capital
Confidence: high
Note: Grouped from Common Stock Value, Common Stocks, Including Additional Paid in Capital. Included common stock value plus additional paid-in capital. Filing says: 10-Q filed 2023-05-05: "lions) Six Months Ended April 1, 2023 March 26, 2022...</t>
        </r>
      </text>
    </comment>
    <comment ref="H147" authorId="0">
      <text>
        <r>
          <rPr>
            <b/>
          </rPr>
          <t xml:space="preserve">EDGAR Mapper:
</t>
        </r>
        <r>
          <t xml:space="preserve">EDGAR: SEC filing
Period: 3Q23
Value: 70667 mm
From: Common Stock Value, Common Stocks, Including Additional Paid in Capital
Confidence: high
Note: Grouped from Common Stock Value, Common Stocks, Including Additional Paid in Capital. Included common stock value plus additional paid-in capital. Filing says: 10-Q filed 2023-08-04: "llions) Nine Months Ended July 1, 2023 June 25, 2022...</t>
        </r>
      </text>
    </comment>
    <comment ref="I147" authorId="0">
      <text>
        <r>
          <rPr>
            <b/>
          </rPr>
          <t xml:space="preserve">EDGAR Mapper:
</t>
        </r>
        <r>
          <t xml:space="preserve">EDGAR: SEC filing
Period: 4Q23
Value: 73812 mm
From: Common Stock Value, Common Stocks, Including Additional Paid in Capital
Confidence: high
Note: Grouped from Common Stock Value, Common Stocks, Including Additional Paid in Capital. Included common stock value plus additional paid-in capital. Filing says: 10-K filed 2023-11-03: "bilities were (in millions): 2023 2022 Deferred tax...</t>
        </r>
      </text>
    </comment>
    <comment ref="K147" authorId="0">
      <text>
        <r>
          <rPr>
            <b/>
          </rPr>
          <t xml:space="preserve">EDGAR Mapper:
</t>
        </r>
        <r>
          <t xml:space="preserve">EDGAR: SEC filing
Period: 1Q24
Value: 75236 mm
From: Common Stock Value, Common Stocks, Including Additional Paid in Capital
Confidence: high
Note: Grouped from Common Stock Value, Common Stocks, Including Additional Paid in Capital. Included common stock value plus additional paid-in capital. Filing says: 10-Q filed 2024-02-02: "nths Ended December 30, 2023 December 31, 2022 Net...</t>
        </r>
      </text>
    </comment>
    <comment ref="L147" authorId="0">
      <text>
        <r>
          <rPr>
            <b/>
          </rPr>
          <t xml:space="preserve">EDGAR Mapper:
</t>
        </r>
        <r>
          <t xml:space="preserve">EDGAR: SEC filing
Period: 2Q24
Value: 78815 mm
From: Common Stock Value, Common Stocks, Including Additional Paid in Capital
Confidence: high
Note: Grouped from Common Stock Value, Common Stocks, Including Additional Paid in Capital. Included common stock value plus additional paid-in capital. Filing says: 10-Q filed 2024-05-03: "lions) Six Months Ended March 30, 2024 April 1, 2023...</t>
        </r>
      </text>
    </comment>
    <comment ref="M147" authorId="0">
      <text>
        <r>
          <rPr>
            <b/>
          </rPr>
          <t xml:space="preserve">EDGAR Mapper:
</t>
        </r>
        <r>
          <t xml:space="preserve">EDGAR: SEC filing
Period: 3Q24
Value: 79850 mm
From: Common Stock Value, Common Stocks, Including Additional Paid in Capital
Confidence: high
Note: Grouped from Common Stock Value, Common Stocks, Including Additional Paid in Capital. Included common stock value plus additional paid-in capital. Filing says: 10-Q filed 2024-08-02: "llions) Nine Months Ended June 29, 2024 July 1, 2023...</t>
        </r>
      </text>
    </comment>
    <comment ref="N147" authorId="0">
      <text>
        <r>
          <rPr>
            <b/>
          </rPr>
          <t xml:space="preserve">EDGAR Mapper:
</t>
        </r>
        <r>
          <t xml:space="preserve">EDGAR: SEC filing
Period: 4Q24
Value: 83276 mm
From: Common Stock Value, Common Stocks, Including Additional Paid in Capital
Confidence: high
Note: Grouped from Common Stock Value, Common Stocks, Including Additional Paid in Capital. Included common stock value plus additional paid-in capital. Filing says: 10-K filed 2024-11-01: "s deferred tax assets and liabilities were (in...</t>
        </r>
      </text>
    </comment>
    <comment ref="P147" authorId="0">
      <text>
        <r>
          <rPr>
            <b/>
          </rPr>
          <t xml:space="preserve">EDGAR Mapper:
</t>
        </r>
        <r>
          <t xml:space="preserve">EDGAR: SEC filing
Period: 1Q25
Value: 84768 mm
From: Common Stock Value, Common Stocks, Including Additional Paid in Capital
Confidence: high
Note: Grouped from Common Stock Value, Common Stocks, Including Additional Paid in Capital. Included common stock value plus additional paid-in capital. Filing says: 10-Q filed 2025-01-31: "nths Ended December 28, 2024 December 30, 2023 Net...</t>
        </r>
      </text>
    </comment>
    <comment ref="Q147" authorId="0">
      <text>
        <r>
          <rPr>
            <b/>
          </rPr>
          <t xml:space="preserve">EDGAR Mapper:
</t>
        </r>
        <r>
          <t xml:space="preserve">EDGAR: SEC filing
Period: 2Q25
Value: 88711 mm
From: Common Stock Value, Common Stocks, Including Additional Paid in Capital
Confidence: high
Note: Grouped from Common Stock Value, Common Stocks, Including Additional Paid in Capital. Included common stock value plus additional paid-in capital. Filing says: 10-Q filed 2025-05-02: "March 29, 2025 March 30, 2024 Cash, cash equivalents,...</t>
        </r>
      </text>
    </comment>
    <comment ref="R147" authorId="0">
      <text>
        <r>
          <rPr>
            <b/>
          </rPr>
          <t xml:space="preserve">EDGAR Mapper:
</t>
        </r>
        <r>
          <t xml:space="preserve">EDGAR: SEC filing
Period: 3Q25
Value: 89806 mm
From: Common Stock Value, Common Stocks, Including Additional Paid in Capital
Confidence: high
Note: Grouped from Common Stock Value, Common Stocks, Including Additional Paid in Capital. Included common stock value plus additional paid-in capital. Filing says: 10-Q filed 2025-08-01: "ed June 28, 2025 June 29, 2024 Cash, cash equivalents,...</t>
        </r>
      </text>
    </comment>
    <comment ref="S147" authorId="0">
      <text>
        <r>
          <rPr>
            <b/>
          </rPr>
          <t xml:space="preserve">EDGAR Mapper:
</t>
        </r>
        <r>
          <t xml:space="preserve">EDGAR: SEC filing
Period: 4Q25
Value: 93568 mm
From: Common Stock Value, Common Stocks, Including Additional Paid in Capital
Confidence: high
Note: Grouped from Common Stock Value, Common Stocks, Including Additional Paid in Capital. Included common stock value plus additional paid-in capital. Filing says: 10-K filed 2025-10-31: "ax assets and liabilities were as follows (in millions):...</t>
        </r>
      </text>
    </comment>
    <comment ref="U147" authorId="0">
      <text>
        <r>
          <rPr>
            <b/>
          </rPr>
          <t xml:space="preserve">EDGAR Mapper:
</t>
        </r>
        <r>
          <t xml:space="preserve">EDGAR: SEC filing
Period: 1Q26
Value: 95221 mm
From: Common Stock Value, Common Stocks, Including Additional Paid in Capital
Confidence: high
Note: Grouped from Common Stock Value, Common Stocks, Including Additional Paid in Capital. Included common stock value plus additional paid-in capital. Filing says: 10-Q filed 2026-01-30: "ths Ended December 27, 2025 December 28, 2024 Net sales:...</t>
        </r>
      </text>
    </comment>
    <comment ref="V147" authorId="0">
      <text>
        <r>
          <rPr>
            <b/>
          </rPr>
          <t xml:space="preserve">EDGAR Mapper:
</t>
        </r>
        <r>
          <t xml:space="preserve">EDGAR: SEC filing
Period: 2Q26
Value: 99507 mm
From: Common Stock Value, Common Stocks, Including Additional Paid in Capital
Confidence: high
Note: Grouped from Common Stock Value, Common Stocks, Including Additional Paid in Capital. Included common stock value plus additional paid-in capital. Filing says: 10-Q filed 2026-05-01: "March 28, 2026 March 29, 2025 Cash, cash equivalents,...</t>
        </r>
      </text>
    </comment>
    <comment ref="F148" authorId="0">
      <text>
        <r>
          <rPr>
            <b/>
          </rPr>
          <t xml:space="preserve">EDGAR Mapper:
</t>
        </r>
        <r>
          <t xml:space="preserve">EDGAR: 10-Q, filed 2023-02-03
Period: 1Q23 (ended 2022-12-31)
Value: 3240 mm
From: Retained Earnings (Accumulated Deficit)
Confidence: high</t>
        </r>
      </text>
    </comment>
    <comment ref="G148" authorId="0">
      <text>
        <r>
          <rPr>
            <b/>
          </rPr>
          <t xml:space="preserve">EDGAR Mapper:
</t>
        </r>
        <r>
          <t xml:space="preserve">EDGAR: 10-Q, filed 2023-05-05
Period: 2Q23 (ended 2023-04-01)
Value: 4336 mm
From: Retained Earnings (Accumulated Deficit)
Confidence: high</t>
        </r>
      </text>
    </comment>
    <comment ref="H148" authorId="0">
      <text>
        <r>
          <rPr>
            <b/>
          </rPr>
          <t xml:space="preserve">EDGAR Mapper:
</t>
        </r>
        <r>
          <t xml:space="preserve">EDGAR: 10-Q, filed 2023-08-04
Period: 3Q23 (ended 2023-07-01)
Value: 1408 mm
From: Retained Earnings (Accumulated Deficit)
Confidence: high</t>
        </r>
      </text>
    </comment>
    <comment ref="I148" authorId="0">
      <text>
        <r>
          <rPr>
            <b/>
          </rPr>
          <t xml:space="preserve">EDGAR Mapper:
</t>
        </r>
        <r>
          <t xml:space="preserve">EDGAR: 10-K, filed 2024-11-01
Period: 4Q23 (ended 2023-09-30)
Value: -214 mm
From: Retained Earnings (Accumulated Deficit)
Confidence: high</t>
        </r>
      </text>
    </comment>
    <comment ref="K148" authorId="0">
      <text>
        <r>
          <rPr>
            <b/>
          </rPr>
          <t xml:space="preserve">EDGAR Mapper:
</t>
        </r>
        <r>
          <t xml:space="preserve">EDGAR: 10-Q, filed 2024-02-02
Period: 1Q24 (ended 2023-12-30)
Value: 8242 mm
From: Retained Earnings (Accumulated Deficit)
Confidence: high</t>
        </r>
      </text>
    </comment>
    <comment ref="L148" authorId="0">
      <text>
        <r>
          <rPr>
            <b/>
          </rPr>
          <t xml:space="preserve">EDGAR Mapper:
</t>
        </r>
        <r>
          <t xml:space="preserve">EDGAR: 10-Q, filed 2024-05-03
Period: 2Q24 (ended 2024-03-30)
Value: 4339 mm
From: Retained Earnings (Accumulated Deficit)
Confidence: high</t>
        </r>
      </text>
    </comment>
    <comment ref="M148" authorId="0">
      <text>
        <r>
          <rPr>
            <b/>
          </rPr>
          <t xml:space="preserve">EDGAR Mapper:
</t>
        </r>
        <r>
          <t xml:space="preserve">EDGAR: 10-Q, filed 2024-08-02
Period: 3Q24 (ended 2024-06-29)
Value: -4726 mm
From: Retained Earnings (Accumulated Deficit)
Confidence: high</t>
        </r>
      </text>
    </comment>
    <comment ref="N148" authorId="0">
      <text>
        <r>
          <rPr>
            <b/>
          </rPr>
          <t xml:space="preserve">EDGAR Mapper:
</t>
        </r>
        <r>
          <t xml:space="preserve">EDGAR: 10-K, filed 2025-10-31
Period: 4Q24 (ended 2024-09-28)
Value: -19154 mm
From: Retained Earnings (Accumulated Deficit)
Confidence: high</t>
        </r>
      </text>
    </comment>
    <comment ref="P148" authorId="0">
      <text>
        <r>
          <rPr>
            <b/>
          </rPr>
          <t xml:space="preserve">EDGAR Mapper:
</t>
        </r>
        <r>
          <t xml:space="preserve">EDGAR: 10-Q, filed 2025-01-31
Period: 1Q25 (ended 2024-12-28)
Value: -11221 mm
From: Retained Earnings (Accumulated Deficit)
Confidence: high</t>
        </r>
      </text>
    </comment>
    <comment ref="Q148" authorId="0">
      <text>
        <r>
          <rPr>
            <b/>
          </rPr>
          <t xml:space="preserve">EDGAR Mapper:
</t>
        </r>
        <r>
          <t xml:space="preserve">EDGAR: 10-Q, filed 2025-05-02
Period: 2Q25 (ended 2025-03-29)
Value: -15552 mm
From: Retained Earnings (Accumulated Deficit)
Confidence: high</t>
        </r>
      </text>
    </comment>
    <comment ref="R148" authorId="0">
      <text>
        <r>
          <rPr>
            <b/>
          </rPr>
          <t xml:space="preserve">EDGAR Mapper:
</t>
        </r>
        <r>
          <t xml:space="preserve">EDGAR: 10-Q, filed 2025-08-01
Period: 3Q25 (ended 2025-06-28)
Value: -17607 mm
From: Retained Earnings (Accumulated Deficit)
Confidence: high</t>
        </r>
      </text>
    </comment>
    <comment ref="S148" authorId="0">
      <text>
        <r>
          <rPr>
            <b/>
          </rPr>
          <t xml:space="preserve">EDGAR Mapper:
</t>
        </r>
        <r>
          <t xml:space="preserve">EDGAR: 10-Q, filed 2026-05-01
Period: 4Q25 (ended 2025-09-27)
Value: -14264 mm
From: Retained Earnings (Accumulated Deficit)
Confidence: high</t>
        </r>
      </text>
    </comment>
    <comment ref="U148" authorId="0">
      <text>
        <r>
          <rPr>
            <b/>
          </rPr>
          <t xml:space="preserve">EDGAR Mapper:
</t>
        </r>
        <r>
          <t xml:space="preserve">EDGAR: 10-Q, filed 2026-01-30
Period: 1Q26 (ended 2025-12-27)
Value: -2177 mm
From: Retained Earnings (Accumulated Deficit)
Confidence: high</t>
        </r>
      </text>
    </comment>
    <comment ref="V148" authorId="0">
      <text>
        <r>
          <rPr>
            <b/>
          </rPr>
          <t xml:space="preserve">EDGAR Mapper:
</t>
        </r>
        <r>
          <t>Replaced a balance-sheet formula with the EDGAR period-end balance so instant values are not derived from prior quarters.</t>
        </r>
      </text>
    </comment>
    <comment ref="Z148" authorId="0">
      <text/>
    </comment>
    <comment ref="AE148" authorId="0">
      <text/>
    </comment>
    <comment ref="C149" authorId="0">
      <text>
        <r>
          <rPr>
            <b/>
          </rPr>
          <t xml:space="preserve">EDGAR Mapper:
</t>
        </r>
        <r>
          <t>Grouped from Treasury Stock Value. Filing says: 10-Q filed 2023-02-03: "ths Ended December 31, 2022 December 25, 2021 Net sales: Products $ 96,388 $ 104,429 Services 20,766 19,516 Total net sales 117,154 123,945..." Grouped from Treasury Stock Value. Filing says: 10-Q filed 2023-05-05: "34 ( 1,001 ) 696 Adjustment for net (gains)/losses realized and included in net income ( 191 ) ( 301 ) ( 1,957 ) ( 208 ) Total change in..." Grouped from Treasury Stock Value. Filing says: 10-Q filed 2023-08-04: "ents 509 852 ( 492 ) 1,548 Adjustment for net (gains)/losses realized and included in net income 103 121 ( 1,854 ) ( 87 ) Total change in..." Grouped from Treasury Stock Value. Filing says: 10-K filed 2023-11-03: "bilities were (in millions): 2023 2022 Deferred tax assets: Tax credit carryforwards $ 8,302 $ 6,962 Accrued liabilities and other reserves..." Grouped from Treasury Stock Value. Filing says: 10-Q filed 2024-02-02: "nths Ended December 30, 2023 December 31, 2022 Net sales: Products $ 96,458 $ 96,388 Services 23,117 20,766 Total net sales 119,575 117,154..." Grouped from Treasury Stock Value. Filing says: 10-Q filed 2024-05-03: "75 ) ( 1,001 ) Adjustment for net (gains)/losses realized and included in net income 232 ( 191 ) ( 591 ) ( 1,957 ) Total change in..." Grouped from Treasury Stock Value. Filing says: 10-Q filed 2024-08-02: "406 509 331 ( 492 ) Adjustment for net (gains)/losses realized and included in net income ( 87 ) 103 ( 678 ) ( 1,854 ) Total change in..." Grouped from Treasury Stock Value. Filing says: 10-K filed 2024-11-01: "s deferred tax assets and liabilities were (in millions): 2024 2023 Deferred tax assets: Capitalized research and development $ 10,739 $..." Grouped from Treasury Stock Value. Filing says: 10-Q filed 2025-01-31: "nths Ended December 28, 2024 December 30, 2023 Net sales: Products $ 97,960 $ 96,458 Services 26,340 23,117 Total net sales 124,300 119,575..." Grouped from Treasury Stock Value. Filing says: 10-Q filed 2025-05-02: "( 318 ) 456 1,333 ( 75 ) Adjustment for net (gains)/losses realized and included in net income ( 628 ) 232 156 ( 591 ) Total change in..." Grouped from Treasury Stock Value. Filing says: 10-Q filed 2025-08-01: "523 ) 406 810 331 Adjustment for net (gains)/losses realized and included in net income ( 571 ) ( 87 ) ( 415 ) ( 678 ) Total change in..." Grouped from Treasury Stock Value. Filing says: 10-K filed 2025-10-31: "ax assets and liabilities were as follows (in millions): 2025 2024 Deferred tax assets: Capitalized research and development $ 15,041 $..." Grouped from Treasury Stock Value. Filing says: 10-Q filed 2026-01-30: "ths Ended December 27, 2025 December 28, 2024 Net sales: Products $ 113,743 $ 97,960 Services 30,013 26,340 Total net sales 143,756 124,300..." Grouped from Treasury Stock Value. Filing says: 10-Q filed 2026-05-01: "instruments 162 ( 318 ) 373 1,333 Adjustment for net (gains)/losses realized and included in net income 44 ( 628 ) 281 156 Total change in..."</t>
        </r>
      </text>
    </comment>
    <comment ref="F149" authorId="0">
      <text>
        <r>
          <rPr>
            <b/>
          </rPr>
          <t xml:space="preserve">EDGAR Mapper:
</t>
        </r>
        <r>
          <t xml:space="preserve">EDGAR: SEC filing
Period: 1Q23
Value: 0 mm
From: Treasury Stock Value
Confidence: medium
Note: Grouped from Treasury Stock Value. Filing says: 10-Q filed 2023-02-03: "ths Ended December 31, 2022 December 25, 2021 Net sales: Products $ 96,388 $ 104,429 Services 20,766 19,516 Total net sales 117,154 123,945..." SEC validation: Value is...</t>
        </r>
      </text>
    </comment>
    <comment ref="G149" authorId="0">
      <text>
        <r>
          <rPr>
            <b/>
          </rPr>
          <t xml:space="preserve">EDGAR Mapper:
</t>
        </r>
        <r>
          <t xml:space="preserve">EDGAR: SEC filing
Period: 2Q23
Value: 0 mm
From: Treasury Stock Value
Confidence: medium
Note: Grouped from Treasury Stock Value. Filing says: 10-Q filed 2023-05-05: "34 ( 1,001 ) 696 Adjustment for net (gains)/losses realized and included in net income ( 191 ) ( 301 ) ( 1,957 ) ( 208 ) Total change in..." SEC validation: Value is a...</t>
        </r>
      </text>
    </comment>
    <comment ref="H149" authorId="0">
      <text>
        <r>
          <rPr>
            <b/>
          </rPr>
          <t xml:space="preserve">EDGAR Mapper:
</t>
        </r>
        <r>
          <t xml:space="preserve">EDGAR: SEC filing
Period: 3Q23
Value: 0 mm
From: Treasury Stock Value
Confidence: medium
Note: Grouped from Treasury Stock Value. Filing says: 10-Q filed 2023-08-04: "ents 509 852 ( 492 ) 1,548 Adjustment for net (gains)/losses realized and included in net income 103 121 ( 1,854 ) ( 87 ) Total change in..." SEC validation: Value is a...</t>
        </r>
      </text>
    </comment>
    <comment ref="I149" authorId="0">
      <text>
        <r>
          <rPr>
            <b/>
          </rPr>
          <t xml:space="preserve">EDGAR Mapper:
</t>
        </r>
        <r>
          <t xml:space="preserve">EDGAR: SEC filing
Period: 4Q23
Value: 0 mm
From: Treasury Stock Value
Confidence: medium
Note: Grouped from Treasury Stock Value. Filing says: 10-K filed 2023-11-03: "bilities were (in millions): 2023 2022 Deferred tax assets: Tax credit carryforwards $ 8,302 $ 6,962 Accrued liabilities and other reserves..." SEC validation: Value is...</t>
        </r>
      </text>
    </comment>
    <comment ref="K149" authorId="0">
      <text>
        <r>
          <rPr>
            <b/>
          </rPr>
          <t xml:space="preserve">EDGAR Mapper:
</t>
        </r>
        <r>
          <t xml:space="preserve">EDGAR: SEC filing
Period: 1Q24
Value: 0 mm
From: Treasury Stock Value
Confidence: medium
Note: Grouped from Treasury Stock Value. Filing says: 10-Q filed 2024-02-02: "nths Ended December 30, 2023 December 31, 2022 Net sales: Products $ 96,458 $ 96,388 Services 23,117 20,766 Total net sales 119,575 117,154..." SEC validation: Value is...</t>
        </r>
      </text>
    </comment>
    <comment ref="L149" authorId="0">
      <text>
        <r>
          <rPr>
            <b/>
          </rPr>
          <t xml:space="preserve">EDGAR Mapper:
</t>
        </r>
        <r>
          <t xml:space="preserve">EDGAR: SEC filing
Period: 2Q24
Value: 0 mm
From: Treasury Stock Value
Confidence: medium
Note: Grouped from Treasury Stock Value. Filing says: 10-Q filed 2024-05-03: "75 ) ( 1,001 ) Adjustment for net (gains)/losses realized and included in net income 232 ( 191 ) ( 591 ) ( 1,957 ) Total change in..." SEC validation: Value is a...</t>
        </r>
      </text>
    </comment>
    <comment ref="M149" authorId="0">
      <text>
        <r>
          <rPr>
            <b/>
          </rPr>
          <t xml:space="preserve">EDGAR Mapper:
</t>
        </r>
        <r>
          <t xml:space="preserve">EDGAR: SEC filing
Period: 3Q24
Value: 0 mm
From: Treasury Stock Value
Confidence: medium
Note: Grouped from Treasury Stock Value. Filing says: 10-Q filed 2024-08-02: "406 509 331 ( 492 ) Adjustment for net (gains)/losses realized and included in net income ( 87 ) 103 ( 678 ) ( 1,854 ) Total change in..." SEC validation: Value is a...</t>
        </r>
      </text>
    </comment>
    <comment ref="N149" authorId="0">
      <text>
        <r>
          <rPr>
            <b/>
          </rPr>
          <t xml:space="preserve">EDGAR Mapper:
</t>
        </r>
        <r>
          <t xml:space="preserve">EDGAR: SEC filing
Period: 4Q24
Value: 0 mm
From: Treasury Stock Value
Confidence: medium
Note: Grouped from Treasury Stock Value. Filing says: 10-K filed 2024-11-01: "s deferred tax assets and liabilities were (in millions): 2024 2023 Deferred tax assets: Capitalized research and development $ 10,739 $..." SEC validation: Value is a...</t>
        </r>
      </text>
    </comment>
    <comment ref="P149" authorId="0">
      <text>
        <r>
          <rPr>
            <b/>
          </rPr>
          <t xml:space="preserve">EDGAR Mapper:
</t>
        </r>
        <r>
          <t xml:space="preserve">EDGAR: SEC filing
Period: 1Q25
Value: 0 mm
From: Treasury Stock Value
Confidence: medium
Note: Grouped from Treasury Stock Value. Filing says: 10-Q filed 2025-01-31: "nths Ended December 28, 2024 December 30, 2023 Net sales: Products $ 97,960 $ 96,458 Services 26,340 23,117 Total net sales 124,300 119,575..." SEC validation: Value is...</t>
        </r>
      </text>
    </comment>
    <comment ref="Q149" authorId="0">
      <text>
        <r>
          <rPr>
            <b/>
          </rPr>
          <t xml:space="preserve">EDGAR Mapper:
</t>
        </r>
        <r>
          <t xml:space="preserve">EDGAR: SEC filing
Period: 2Q25
Value: 0 mm
From: Treasury Stock Value
Confidence: medium
Note: Grouped from Treasury Stock Value. Filing says: 10-Q filed 2025-05-02: "( 318 ) 456 1,333 ( 75 ) Adjustment for net (gains)/losses realized and included in net income ( 628 ) 232 156 ( 591 ) Total change in..." SEC validation: Value is a...</t>
        </r>
      </text>
    </comment>
    <comment ref="R149" authorId="0">
      <text>
        <r>
          <rPr>
            <b/>
          </rPr>
          <t xml:space="preserve">EDGAR Mapper:
</t>
        </r>
        <r>
          <t xml:space="preserve">EDGAR: SEC filing
Period: 3Q25
Value: 0 mm
From: Treasury Stock Value
Confidence: medium
Note: Grouped from Treasury Stock Value. Filing says: 10-Q filed 2025-08-01: "523 ) 406 810 331 Adjustment for net (gains)/losses realized and included in net income ( 571 ) ( 87 ) ( 415 ) ( 678 ) Total change in..." SEC validation: Value is a...</t>
        </r>
      </text>
    </comment>
    <comment ref="S149" authorId="0">
      <text>
        <r>
          <rPr>
            <b/>
          </rPr>
          <t xml:space="preserve">EDGAR Mapper:
</t>
        </r>
        <r>
          <t xml:space="preserve">EDGAR: SEC filing
Period: 4Q25
Value: 0 mm
From: Treasury Stock Value
Confidence: medium
Note: Grouped from Treasury Stock Value. Filing says: 10-K filed 2025-10-31: "ax assets and liabilities were as follows (in millions): 2025 2024 Deferred tax assets: Capitalized research and development $ 15,041 $..." SEC validation: Value is a...</t>
        </r>
      </text>
    </comment>
    <comment ref="U149" authorId="0">
      <text>
        <r>
          <rPr>
            <b/>
          </rPr>
          <t xml:space="preserve">EDGAR Mapper:
</t>
        </r>
        <r>
          <t xml:space="preserve">EDGAR: SEC filing
Period: 1Q26
Value: 0 mm
From: Treasury Stock Value
Confidence: medium
Note: Grouped from Treasury Stock Value. Filing says: 10-Q filed 2026-01-30: "ths Ended December 27, 2025 December 28, 2024 Net sales: Products $ 113,743 $ 97,960 Services 30,013 26,340 Total net sales 143,756 124,300..." SEC validation: Value is...</t>
        </r>
      </text>
    </comment>
    <comment ref="V149" authorId="0">
      <text>
        <r>
          <rPr>
            <b/>
          </rPr>
          <t xml:space="preserve">EDGAR Mapper:
</t>
        </r>
        <r>
          <t xml:space="preserve">EDGAR: SEC filing
Period: 2Q26
Value: 0 mm
From: Treasury Stock Value
Confidence: medium
Note: Grouped from Treasury Stock Value. Filing says: 10-Q filed 2026-05-01: "instruments 162 ( 318 ) 373 1,333 Adjustment for net (gains)/losses realized and included in net income 44 ( 628 ) 281 156 Total change in..." SEC validation: Value is...</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10-Q, filed 2023-02-03
Period: 1Q23 (ended 2022-12-31)
Value: -12912 mm
From: Accumulated Other Comprehensive Income (Loss), Net of Tax
Confidence: high</t>
        </r>
      </text>
    </comment>
    <comment ref="G150" authorId="0">
      <text>
        <r>
          <rPr>
            <b/>
          </rPr>
          <t xml:space="preserve">EDGAR Mapper:
</t>
        </r>
        <r>
          <t xml:space="preserve">EDGAR: 10-Q, filed 2023-05-05
Period: 2Q23 (ended 2023-04-01)
Value: -11746 mm
From: Accumulated Other Comprehensive Income (Loss), Net of Tax
Confidence: high</t>
        </r>
      </text>
    </comment>
    <comment ref="H150" authorId="0">
      <text>
        <r>
          <rPr>
            <b/>
          </rPr>
          <t xml:space="preserve">EDGAR Mapper:
</t>
        </r>
        <r>
          <t xml:space="preserve">EDGAR: 10-Q, filed 2023-08-04
Period: 3Q23 (ended 2023-07-01)
Value: -11801 mm
From: Accumulated Other Comprehensive Income (Loss), Net of Tax
Confidence: high</t>
        </r>
      </text>
    </comment>
    <comment ref="I150" authorId="0">
      <text>
        <r>
          <rPr>
            <b/>
          </rPr>
          <t xml:space="preserve">EDGAR Mapper:
</t>
        </r>
        <r>
          <t xml:space="preserve">EDGAR: 10-K, filed 2024-11-01
Period: 4Q23 (ended 2023-09-30)
Value: -11452 mm
From: Accumulated Other Comprehensive Income (Loss), Net of Tax
Confidence: high</t>
        </r>
      </text>
    </comment>
    <comment ref="K150" authorId="0">
      <text>
        <r>
          <rPr>
            <b/>
          </rPr>
          <t xml:space="preserve">EDGAR Mapper:
</t>
        </r>
        <r>
          <t xml:space="preserve">EDGAR: 10-Q, filed 2024-02-02
Period: 1Q24 (ended 2023-12-30)
Value: -9378 mm
From: Accumulated Other Comprehensive Income (Loss), Net of Tax
Confidence: high</t>
        </r>
      </text>
    </comment>
    <comment ref="L150" authorId="0">
      <text>
        <r>
          <rPr>
            <b/>
          </rPr>
          <t xml:space="preserve">EDGAR Mapper:
</t>
        </r>
        <r>
          <t xml:space="preserve">EDGAR: 10-Q, filed 2024-05-03
Period: 2Q24 (ended 2024-03-30)
Value: -8960 mm
From: Accumulated Other Comprehensive Income (Loss), Net of Tax
Confidence: high</t>
        </r>
      </text>
    </comment>
    <comment ref="M150" authorId="0">
      <text>
        <r>
          <rPr>
            <b/>
          </rPr>
          <t xml:space="preserve">EDGAR Mapper:
</t>
        </r>
        <r>
          <t xml:space="preserve">EDGAR: 10-Q, filed 2024-08-02
Period: 3Q24 (ended 2024-06-29)
Value: -8416 mm
From: Accumulated Other Comprehensive Income (Loss), Net of Tax
Confidence: high</t>
        </r>
      </text>
    </comment>
    <comment ref="N150" authorId="0">
      <text>
        <r>
          <rPr>
            <b/>
          </rPr>
          <t xml:space="preserve">EDGAR Mapper:
</t>
        </r>
        <r>
          <t xml:space="preserve">EDGAR: 10-K, filed 2025-10-31
Period: 4Q24 (ended 2024-09-28)
Value: -7172 mm
From: Accumulated Other Comprehensive Income (Loss), Net of Tax
Confidence: high</t>
        </r>
      </text>
    </comment>
    <comment ref="P150" authorId="0">
      <text>
        <r>
          <rPr>
            <b/>
          </rPr>
          <t xml:space="preserve">EDGAR Mapper:
</t>
        </r>
        <r>
          <t xml:space="preserve">EDGAR: 10-Q, filed 2025-01-31
Period: 1Q25 (ended 2024-12-28)
Value: -6789 mm
From: Accumulated Other Comprehensive Income (Loss), Net of Tax
Confidence: high</t>
        </r>
      </text>
    </comment>
    <comment ref="Q150" authorId="0">
      <text>
        <r>
          <rPr>
            <b/>
          </rPr>
          <t xml:space="preserve">EDGAR Mapper:
</t>
        </r>
        <r>
          <t xml:space="preserve">EDGAR: 10-Q, filed 2025-05-02
Period: 2Q25 (ended 2025-03-29)
Value: -6363 mm
From: Accumulated Other Comprehensive Income (Loss), Net of Tax
Confidence: high</t>
        </r>
      </text>
    </comment>
    <comment ref="R150" authorId="0">
      <text>
        <r>
          <rPr>
            <b/>
          </rPr>
          <t xml:space="preserve">EDGAR Mapper:
</t>
        </r>
        <r>
          <t xml:space="preserve">EDGAR: 10-Q, filed 2025-08-01
Period: 3Q25 (ended 2025-06-28)
Value: -6369 mm
From: Accumulated Other Comprehensive Income (Loss), Net of Tax
Confidence: high</t>
        </r>
      </text>
    </comment>
    <comment ref="S150" authorId="0">
      <text>
        <r>
          <rPr>
            <b/>
          </rPr>
          <t xml:space="preserve">EDGAR Mapper:
</t>
        </r>
        <r>
          <t xml:space="preserve">EDGAR: 10-Q, filed 2026-05-01
Period: 4Q25 (ended 2025-09-27)
Value: -5571 mm
From: Accumulated Other Comprehensive Income (Loss), Net of Tax
Confidence: high</t>
        </r>
      </text>
    </comment>
    <comment ref="U150" authorId="0">
      <text>
        <r>
          <rPr>
            <b/>
          </rPr>
          <t xml:space="preserve">EDGAR Mapper:
</t>
        </r>
        <r>
          <t>Replaced a balance-sheet formula with the EDGAR period-end balance so instant values are not derived from prior quarters.</t>
        </r>
      </text>
    </comment>
    <comment ref="V150" authorId="0">
      <text>
        <r>
          <rPr>
            <b/>
          </rPr>
          <t xml:space="preserve">EDGAR Mapper:
</t>
        </r>
        <r>
          <t>Replaced a balance-sheet formula with the EDGAR period-end balance so instant values are not derived from prior quarters.</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Grouped from Payments of Dividends (derived Q2). Dividends normalized from EDGAR cash dividends paid concepts. Derived from Payments of Dividends less 1Q23. Grouped from Payments of Dividends (derived Q3). Dividends normalized from EDGAR cash dividends paid concepts. Derived from Payments of Dividends less 1Q23, 2Q23. Grouped from Payments of Dividends (derived Q4). Dividends normalized from EDGAR cash dividends paid concepts. Derived from Payments of Dividends less 1Q23, 2Q23, 3Q23. Filing says: 10-K filed 2023-11-03: "bilities were (in millions): 2023 2022 Deferred tax assets: Tax credit carryforwards $ 8,302 $ 6,962 Accrued liabilities and other reserves..." Grouped from Payments of Dividends (derived Q2). Dividends normalized from EDGAR cash dividends paid concepts. Derived from Payments of Dividends less 1Q24. Grouped from Payments of Dividends (derived Q3). Dividends normalized from EDGAR cash dividends paid concepts. Derived from Payments of Dividends less 1Q24, 2Q24. Grouped from Payments of Dividends (derived Q4). Dividends normalized from EDGAR cash dividends paid concepts. Derived from Payments of Dividends less 1Q24, 2Q24, 3Q24. Filing says: 10-K filed 2024-11-01: "s deferred tax assets and liabilities were (in millions): 2024 2023 Deferred tax assets: Capitalized research and development $ 10,739 $..." Grouped from Payments of Dividends (derived Q2). Dividends normalized from EDGAR cash dividends paid concepts. Derived from Payments of Dividends less 1Q25. Grouped from Payments of Dividends (derived Q3). Dividends normalized from EDGAR cash dividends paid concepts. Derived from Payments of Dividends less 1Q25, 2Q25. Grouped from Payments of Dividends (derived Q4). Dividends normalized from EDGAR cash dividends paid concepts. Derived from Payments of Dividends less 1Q25, 2Q25, 3Q25. Filing says: 10-K filed 2025-10-31: "ax assets and liabilities were as follows (in millions): 2025 2024 Deferred tax assets: Capitalized research and development $ 15,041 $..."</t>
        </r>
      </text>
    </comment>
    <comment ref="F254" authorId="0">
      <text>
        <r>
          <rPr>
            <b/>
          </rPr>
          <t xml:space="preserve">EDGAR Mapper:
</t>
        </r>
        <r>
          <t xml:space="preserve">EDGAR: 10-Q, filed 2023-02-03
Period: 1Q23 (ended 2022-12-31)
Value: -3768 mm
From: Payments of Dividends
Confidence: high
Note: Dividends normalized from EDGAR cash dividends paid concepts.</t>
        </r>
      </text>
    </comment>
    <comment ref="G254" authorId="0">
      <text>
        <r>
          <rPr>
            <b/>
          </rPr>
          <t xml:space="preserve">EDGAR Mapper:
</t>
        </r>
        <r>
          <t xml:space="preserve">EDGAR: 10-Q, filed 2023-05-05
Period: 2Q23 (ended 2023-04-01)
Value: -3650 mm
From: Payments of Dividends (derived Q2)
Confidence: medium
Note: Grouped from Payments of Dividends (derived Q2). Dividends normalized from EDGAR cash dividends paid concepts. Derived from Payments of Dividends less 1Q23.</t>
        </r>
      </text>
    </comment>
    <comment ref="H254" authorId="0">
      <text>
        <r>
          <rPr>
            <b/>
          </rPr>
          <t xml:space="preserve">EDGAR Mapper:
</t>
        </r>
        <r>
          <t xml:space="preserve">EDGAR: 10-Q, filed 2023-08-04
Period: 3Q23 (ended 2023-07-01)
Value: -3849 mm
From: Payments of Dividends (derived Q3)
Confidence: medium
Note: Grouped from Payments of Dividends (derived Q3). Dividends normalized from EDGAR cash dividends paid concepts. Derived from Payments of Dividends less 1Q23, 2Q23.</t>
        </r>
      </text>
    </comment>
    <comment ref="I254" authorId="0">
      <text>
        <r>
          <rPr>
            <b/>
          </rPr>
          <t xml:space="preserve">EDGAR Mapper:
</t>
        </r>
        <r>
          <t xml:space="preserve">EDGAR: 10-K, filed 2023-11-03
Period: 4Q23 (ended 2023-09-30)
Value: -3758 mm
From: Payments of Dividends (derived Q4)
Confidence: medium
Note: Grouped from Payments of Dividends (derived Q4). Dividends normalized from EDGAR cash dividends paid concepts. Derived from Payments of Dividends less 1Q23, 2Q23, 3Q23. Filing says: 10-K filed 2023-11-03: "bilities were (in millions): 2023...</t>
        </r>
      </text>
    </comment>
    <comment ref="K254" authorId="0">
      <text>
        <r>
          <rPr>
            <b/>
          </rPr>
          <t xml:space="preserve">EDGAR Mapper:
</t>
        </r>
        <r>
          <t xml:space="preserve">EDGAR: 10-Q, filed 2024-02-02
Period: 1Q24 (ended 2023-12-30)
Value: -3825 mm
From: Payments of Dividends
Confidence: high
Note: Dividends normalized from EDGAR cash dividends paid concepts.</t>
        </r>
      </text>
    </comment>
    <comment ref="L254" authorId="0">
      <text>
        <r>
          <rPr>
            <b/>
          </rPr>
          <t xml:space="preserve">EDGAR Mapper:
</t>
        </r>
        <r>
          <t xml:space="preserve">EDGAR: 10-Q, filed 2024-05-03
Period: 2Q24 (ended 2024-03-30)
Value: -3710 mm
From: Payments of Dividends (derived Q2)
Confidence: medium
Note: Grouped from Payments of Dividends (derived Q2). Dividends normalized from EDGAR cash dividends paid concepts. Derived from Payments of Dividends less 1Q24.</t>
        </r>
      </text>
    </comment>
    <comment ref="M254" authorId="0">
      <text>
        <r>
          <rPr>
            <b/>
          </rPr>
          <t xml:space="preserve">EDGAR Mapper:
</t>
        </r>
        <r>
          <t xml:space="preserve">EDGAR: 10-Q, filed 2024-08-02
Period: 3Q24 (ended 2024-06-29)
Value: -3895 mm
From: Payments of Dividends (derived Q3)
Confidence: medium
Note: Grouped from Payments of Dividends (derived Q3). Dividends normalized from EDGAR cash dividends paid concepts. Derived from Payments of Dividends less 1Q24, 2Q24.</t>
        </r>
      </text>
    </comment>
    <comment ref="N254" authorId="0">
      <text>
        <r>
          <rPr>
            <b/>
          </rPr>
          <t xml:space="preserve">EDGAR Mapper:
</t>
        </r>
        <r>
          <t xml:space="preserve">EDGAR: 10-K, filed 2024-11-01
Period: 4Q24 (ended 2024-09-28)
Value: -3804 mm
From: Payments of Dividends (derived Q4)
Confidence: medium
Note: Grouped from Payments of Dividends (derived Q4). Dividends normalized from EDGAR cash dividends paid concepts. Derived from Payments of Dividends less 1Q24, 2Q24, 3Q24. Filing says: 10-K filed 2024-11-01: "s deferred tax assets and...</t>
        </r>
      </text>
    </comment>
    <comment ref="P254" authorId="0">
      <text>
        <r>
          <rPr>
            <b/>
          </rPr>
          <t xml:space="preserve">EDGAR Mapper:
</t>
        </r>
        <r>
          <t xml:space="preserve">EDGAR: 10-Q, filed 2025-01-31
Period: 1Q25 (ended 2024-12-28)
Value: -3856 mm
From: Payments of Dividends
Confidence: high
Note: Dividends normalized from EDGAR cash dividends paid concepts.</t>
        </r>
      </text>
    </comment>
    <comment ref="Q254" authorId="0">
      <text>
        <r>
          <rPr>
            <b/>
          </rPr>
          <t xml:space="preserve">EDGAR Mapper:
</t>
        </r>
        <r>
          <t xml:space="preserve">EDGAR: 10-Q, filed 2025-05-02
Period: 2Q25 (ended 2025-03-29)
Value: -3758 mm
From: Payments of Dividends (derived Q2)
Confidence: medium
Note: Grouped from Payments of Dividends (derived Q2). Dividends normalized from EDGAR cash dividends paid concepts. Derived from Payments of Dividends less 1Q25.</t>
        </r>
      </text>
    </comment>
    <comment ref="R254" authorId="0">
      <text>
        <r>
          <rPr>
            <b/>
          </rPr>
          <t xml:space="preserve">EDGAR Mapper:
</t>
        </r>
        <r>
          <t xml:space="preserve">EDGAR: 10-Q, filed 2025-08-01
Period: 3Q25 (ended 2025-06-28)
Value: -3945 mm
From: Payments of Dividends (derived Q3)
Confidence: medium
Note: Grouped from Payments of Dividends (derived Q3). Dividends normalized from EDGAR cash dividends paid concepts. Derived from Payments of Dividends less 1Q25, 2Q25.</t>
        </r>
      </text>
    </comment>
    <comment ref="S254" authorId="0">
      <text>
        <r>
          <rPr>
            <b/>
          </rPr>
          <t xml:space="preserve">EDGAR Mapper:
</t>
        </r>
        <r>
          <t xml:space="preserve">EDGAR: 10-K, filed 2025-10-31
Period: 4Q25 (ended 2025-09-27)
Value: -3862 mm
From: Payments of Dividends (derived Q4)
Confidence: medium
Note: Grouped from Payments of Dividends (derived Q4). Dividends normalized from EDGAR cash dividends paid concepts. Derived from Payments of Dividends less 1Q25, 2Q25, 3Q25. Filing says: 10-K filed 2025-10-31: "ax assets and liabilities were as...</t>
        </r>
      </text>
    </comment>
    <comment ref="U254" authorId="0">
      <text>
        <r>
          <rPr>
            <b/>
          </rPr>
          <t xml:space="preserve">EDGAR Mapper:
</t>
        </r>
        <r>
          <t xml:space="preserve">EDGAR: 10-Q, filed 2026-01-30
Period: 1Q26 (ended 2025-12-27)
Value: -3921 mm
From: Payments of Dividends
Confidence: high
Note: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inline XBRL segment table
Period: 1Q23
Value: 20766 mm
From: Services Revenue
Confidence: high
Note: Segment row matched to an EDGAR reportable segment.</t>
        </r>
      </text>
    </comment>
    <comment ref="G8" authorId="0">
      <text>
        <r>
          <rPr>
            <b/>
          </rPr>
          <t xml:space="preserve">EDGAR Mapper:
</t>
        </r>
        <r>
          <t xml:space="preserve">EDGAR: inline XBRL segment table
Period: 2Q23
Value: 20907 mm
From: Services Revenue
Confidence: high
Note: Segment row matched to an EDGAR reportable segment.</t>
        </r>
      </text>
    </comment>
    <comment ref="H8" authorId="0">
      <text>
        <r>
          <rPr>
            <b/>
          </rPr>
          <t xml:space="preserve">EDGAR Mapper:
</t>
        </r>
        <r>
          <t xml:space="preserve">EDGAR: inline XBRL segment table
Period: 3Q23
Value: 21213 mm
From: Services Revenue
Confidence: high
Note: Segment row matched to an EDGAR reportable segment.</t>
        </r>
      </text>
    </comment>
    <comment ref="I8" authorId="0">
      <text>
        <r>
          <rPr>
            <b/>
          </rPr>
          <t xml:space="preserve">EDGAR Mapper:
</t>
        </r>
        <r>
          <t xml:space="preserve">EDGAR: inline XBRL segment table
Period: 4Q23
Value: 22314 mm
From: Services Revenue
Confidence: high
Note: Segment row matched to an EDGAR reportable segment.</t>
        </r>
      </text>
    </comment>
    <comment ref="K8" authorId="0">
      <text>
        <r>
          <rPr>
            <b/>
          </rPr>
          <t xml:space="preserve">EDGAR Mapper:
</t>
        </r>
        <r>
          <t xml:space="preserve">EDGAR: inline XBRL segment table
Period: 1Q24
Value: 23117 mm
From: Services Revenue
Confidence: high
Note: Segment row matched to an EDGAR reportable segment.</t>
        </r>
      </text>
    </comment>
    <comment ref="L8" authorId="0">
      <text>
        <r>
          <rPr>
            <b/>
          </rPr>
          <t xml:space="preserve">EDGAR Mapper:
</t>
        </r>
        <r>
          <t xml:space="preserve">EDGAR: inline XBRL segment table
Period: 2Q24
Value: 23867 mm
From: Services Revenue
Confidence: high
Note: Segment row matched to an EDGAR reportable segment.</t>
        </r>
      </text>
    </comment>
    <comment ref="M8" authorId="0">
      <text>
        <r>
          <rPr>
            <b/>
          </rPr>
          <t xml:space="preserve">EDGAR Mapper:
</t>
        </r>
        <r>
          <t xml:space="preserve">EDGAR: inline XBRL segment table
Period: 3Q24
Value: 24213 mm
From: Services Revenue
Confidence: high
Note: Segment row matched to an EDGAR reportable segment.</t>
        </r>
      </text>
    </comment>
    <comment ref="N8" authorId="0">
      <text>
        <r>
          <rPr>
            <b/>
          </rPr>
          <t xml:space="preserve">EDGAR Mapper:
</t>
        </r>
        <r>
          <t xml:space="preserve">EDGAR: inline XBRL segment table
Period: 4Q24
Value: 24972 mm
From: Services Revenue
Confidence: high
Note: Segment row matched to an EDGAR reportable segment.</t>
        </r>
      </text>
    </comment>
    <comment ref="P8" authorId="0">
      <text>
        <r>
          <rPr>
            <b/>
          </rPr>
          <t xml:space="preserve">EDGAR Mapper:
</t>
        </r>
        <r>
          <t xml:space="preserve">EDGAR: inline XBRL segment table
Period: 1Q25
Value: 26340 mm
From: Services Revenue
Confidence: high
Note: Segment row matched to an EDGAR reportable segment.</t>
        </r>
      </text>
    </comment>
    <comment ref="Q8" authorId="0">
      <text>
        <r>
          <rPr>
            <b/>
          </rPr>
          <t xml:space="preserve">EDGAR Mapper:
</t>
        </r>
        <r>
          <t xml:space="preserve">EDGAR: inline XBRL segment table
Period: 2Q25
Value: 26645 mm
From: Services Revenue
Confidence: high
Note: Segment row matched to an EDGAR reportable segment.</t>
        </r>
      </text>
    </comment>
    <comment ref="R8" authorId="0">
      <text>
        <r>
          <rPr>
            <b/>
          </rPr>
          <t xml:space="preserve">EDGAR Mapper:
</t>
        </r>
        <r>
          <t xml:space="preserve">EDGAR: inline XBRL segment table
Period: 3Q25
Value: 27423 mm
From: Services Revenue
Confidence: high
Note: Segment row matched to an EDGAR reportable segment.</t>
        </r>
      </text>
    </comment>
    <comment ref="S8" authorId="0">
      <text>
        <r>
          <rPr>
            <b/>
          </rPr>
          <t xml:space="preserve">EDGAR Mapper:
</t>
        </r>
        <r>
          <t xml:space="preserve">EDGAR: inline XBRL segment table
Period: 4Q25
Value: 28750 mm
From: Services Revenue
Confidence: high
Note: Segment row matched to an EDGAR reportable segment.</t>
        </r>
      </text>
    </comment>
    <comment ref="U8" authorId="0">
      <text>
        <r>
          <rPr>
            <b/>
          </rPr>
          <t xml:space="preserve">EDGAR Mapper:
</t>
        </r>
        <r>
          <t xml:space="preserve">EDGAR: inline XBRL segment table
Period: 1Q26
Value: 30013 mm
From: Services Revenue
Confidence: high
Note: Segment row matched to an EDGAR reportable segment.</t>
        </r>
      </text>
    </comment>
    <comment ref="V8" authorId="0">
      <text>
        <r>
          <rPr>
            <b/>
          </rPr>
          <t xml:space="preserve">EDGAR Mapper:
</t>
        </r>
        <r>
          <t xml:space="preserve">EDGAR: inline XBRL segment table
Period: 2Q26
Value: 30976 mm
From: Services Revenue
Confidence: high
Note: Segment row matched to an EDGAR reportable segment.</t>
        </r>
      </text>
    </comment>
    <comment ref="F9" authorId="0">
      <text>
        <r>
          <rPr>
            <b/>
          </rPr>
          <t xml:space="preserve">EDGAR Mapper:
</t>
        </r>
        <r>
          <t xml:space="preserve">EDGAR: inline XBRL segment table
Period: 1Q23
Value: 65775 mm
From: iPhone Revenue
Confidence: high
Note: Segment row matched to an EDGAR reportable segment.</t>
        </r>
      </text>
    </comment>
    <comment ref="G9" authorId="0">
      <text>
        <r>
          <rPr>
            <b/>
          </rPr>
          <t xml:space="preserve">EDGAR Mapper:
</t>
        </r>
        <r>
          <t xml:space="preserve">EDGAR: inline XBRL segment table
Period: 2Q23
Value: 51334 mm
From: iPhone Revenue
Confidence: high
Note: Segment row matched to an EDGAR reportable segment.</t>
        </r>
      </text>
    </comment>
    <comment ref="H9" authorId="0">
      <text>
        <r>
          <rPr>
            <b/>
          </rPr>
          <t xml:space="preserve">EDGAR Mapper:
</t>
        </r>
        <r>
          <t xml:space="preserve">EDGAR: inline XBRL segment table
Period: 3Q23
Value: 39669 mm
From: iPhone Revenue
Confidence: high
Note: Segment row matched to an EDGAR reportable segment.</t>
        </r>
      </text>
    </comment>
    <comment ref="I9" authorId="0">
      <text>
        <r>
          <rPr>
            <b/>
          </rPr>
          <t xml:space="preserve">EDGAR Mapper:
</t>
        </r>
        <r>
          <t xml:space="preserve">EDGAR: inline XBRL segment table
Period: 4Q23
Value: 43805 mm
From: iPhone Revenue
Confidence: high
Note: Segment row matched to an EDGAR reportable segment.</t>
        </r>
      </text>
    </comment>
    <comment ref="K9" authorId="0">
      <text>
        <r>
          <rPr>
            <b/>
          </rPr>
          <t xml:space="preserve">EDGAR Mapper:
</t>
        </r>
        <r>
          <t xml:space="preserve">EDGAR: inline XBRL segment table
Period: 1Q24
Value: 69702 mm
From: iPhone Revenue
Confidence: high
Note: Segment row matched to an EDGAR reportable segment.</t>
        </r>
      </text>
    </comment>
    <comment ref="L9" authorId="0">
      <text>
        <r>
          <rPr>
            <b/>
          </rPr>
          <t xml:space="preserve">EDGAR Mapper:
</t>
        </r>
        <r>
          <t xml:space="preserve">EDGAR: inline XBRL segment table
Period: 2Q24
Value: 45963 mm
From: iPhone Revenue
Confidence: high
Note: Segment row matched to an EDGAR reportable segment.</t>
        </r>
      </text>
    </comment>
    <comment ref="M9" authorId="0">
      <text>
        <r>
          <rPr>
            <b/>
          </rPr>
          <t xml:space="preserve">EDGAR Mapper:
</t>
        </r>
        <r>
          <t xml:space="preserve">EDGAR: inline XBRL segment table
Period: 3Q24
Value: 39296 mm
From: iPhone Revenue
Confidence: high
Note: Segment row matched to an EDGAR reportable segment.</t>
        </r>
      </text>
    </comment>
    <comment ref="N9" authorId="0">
      <text>
        <r>
          <rPr>
            <b/>
          </rPr>
          <t xml:space="preserve">EDGAR Mapper:
</t>
        </r>
        <r>
          <t xml:space="preserve">EDGAR: inline XBRL segment table
Period: 4Q24
Value: 46222 mm
From: iPhone Revenue
Confidence: high
Note: Segment row matched to an EDGAR reportable segment.</t>
        </r>
      </text>
    </comment>
    <comment ref="P9" authorId="0">
      <text>
        <r>
          <rPr>
            <b/>
          </rPr>
          <t xml:space="preserve">EDGAR Mapper:
</t>
        </r>
        <r>
          <t xml:space="preserve">EDGAR: inline XBRL segment table
Period: 1Q25
Value: 69138 mm
From: iPhone Revenue
Confidence: high
Note: Segment row matched to an EDGAR reportable segment.</t>
        </r>
      </text>
    </comment>
    <comment ref="Q9" authorId="0">
      <text>
        <r>
          <rPr>
            <b/>
          </rPr>
          <t xml:space="preserve">EDGAR Mapper:
</t>
        </r>
        <r>
          <t xml:space="preserve">EDGAR: inline XBRL segment table
Period: 2Q25
Value: 46841 mm
From: iPhone Revenue
Confidence: high
Note: Segment row matched to an EDGAR reportable segment.</t>
        </r>
      </text>
    </comment>
    <comment ref="R9" authorId="0">
      <text>
        <r>
          <rPr>
            <b/>
          </rPr>
          <t xml:space="preserve">EDGAR Mapper:
</t>
        </r>
        <r>
          <t xml:space="preserve">EDGAR: inline XBRL segment table
Period: 3Q25
Value: 44582 mm
From: iPhone Revenue
Confidence: high
Note: Segment row matched to an EDGAR reportable segment.</t>
        </r>
      </text>
    </comment>
    <comment ref="S9" authorId="0">
      <text>
        <r>
          <rPr>
            <b/>
          </rPr>
          <t xml:space="preserve">EDGAR Mapper:
</t>
        </r>
        <r>
          <t xml:space="preserve">EDGAR: inline XBRL segment table
Period: 4Q25
Value: 49025 mm
From: iPhone Revenue
Confidence: high
Note: Segment row matched to an EDGAR reportable segment.</t>
        </r>
      </text>
    </comment>
    <comment ref="U9" authorId="0">
      <text>
        <r>
          <rPr>
            <b/>
          </rPr>
          <t xml:space="preserve">EDGAR Mapper:
</t>
        </r>
        <r>
          <t xml:space="preserve">EDGAR: inline XBRL segment table
Period: 1Q26
Value: 85269 mm
From: iPhone Revenue
Confidence: high
Note: Segment row matched to an EDGAR reportable segment.</t>
        </r>
      </text>
    </comment>
    <comment ref="V9" authorId="0">
      <text>
        <r>
          <rPr>
            <b/>
          </rPr>
          <t xml:space="preserve">EDGAR Mapper:
</t>
        </r>
        <r>
          <t xml:space="preserve">EDGAR: inline XBRL segment table
Period: 2Q26
Value: 56994 mm
From: iPhone Revenue
Confidence: high
Note: Segment row matched to an EDGAR reportable segment.</t>
        </r>
      </text>
    </comment>
    <comment ref="F10" authorId="0">
      <text>
        <r>
          <rPr>
            <b/>
          </rPr>
          <t xml:space="preserve">EDGAR Mapper:
</t>
        </r>
        <r>
          <t xml:space="preserve">EDGAR: inline XBRL segment table
Period: 1Q23
Value: 7735 mm
From: Mac Revenue
Confidence: high
Note: Segment row matched to an EDGAR reportable segment.</t>
        </r>
      </text>
    </comment>
    <comment ref="G10" authorId="0">
      <text>
        <r>
          <rPr>
            <b/>
          </rPr>
          <t xml:space="preserve">EDGAR Mapper:
</t>
        </r>
        <r>
          <t xml:space="preserve">EDGAR: inline XBRL segment table
Period: 2Q23
Value: 7168 mm
From: Mac Revenue
Confidence: high
Note: Segment row matched to an EDGAR reportable segment.</t>
        </r>
      </text>
    </comment>
    <comment ref="H10" authorId="0">
      <text>
        <r>
          <rPr>
            <b/>
          </rPr>
          <t xml:space="preserve">EDGAR Mapper:
</t>
        </r>
        <r>
          <t xml:space="preserve">EDGAR: inline XBRL segment table
Period: 3Q23
Value: 6840 mm
From: Mac Revenue
Confidence: high
Note: Segment row matched to an EDGAR reportable segment.</t>
        </r>
      </text>
    </comment>
    <comment ref="I10" authorId="0">
      <text>
        <r>
          <rPr>
            <b/>
          </rPr>
          <t xml:space="preserve">EDGAR Mapper:
</t>
        </r>
        <r>
          <t xml:space="preserve">EDGAR: inline XBRL segment table
Period: 4Q23
Value: 7614 mm
From: Mac Revenue
Confidence: high
Note: Segment row matched to an EDGAR reportable segment.</t>
        </r>
      </text>
    </comment>
    <comment ref="K10" authorId="0">
      <text>
        <r>
          <rPr>
            <b/>
          </rPr>
          <t xml:space="preserve">EDGAR Mapper:
</t>
        </r>
        <r>
          <t xml:space="preserve">EDGAR: inline XBRL segment table
Period: 1Q24
Value: 7780 mm
From: Mac Revenue
Confidence: high
Note: Segment row matched to an EDGAR reportable segment.</t>
        </r>
      </text>
    </comment>
    <comment ref="L10" authorId="0">
      <text>
        <r>
          <rPr>
            <b/>
          </rPr>
          <t xml:space="preserve">EDGAR Mapper:
</t>
        </r>
        <r>
          <t xml:space="preserve">EDGAR: inline XBRL segment table
Period: 2Q24
Value: 7451 mm
From: Mac Revenue
Confidence: high
Note: Segment row matched to an EDGAR reportable segment.</t>
        </r>
      </text>
    </comment>
    <comment ref="M10" authorId="0">
      <text>
        <r>
          <rPr>
            <b/>
          </rPr>
          <t xml:space="preserve">EDGAR Mapper:
</t>
        </r>
        <r>
          <t xml:space="preserve">EDGAR: inline XBRL segment table
Period: 3Q24
Value: 7009 mm
From: Mac Revenue
Confidence: high
Note: Segment row matched to an EDGAR reportable segment.</t>
        </r>
      </text>
    </comment>
    <comment ref="N10" authorId="0">
      <text>
        <r>
          <rPr>
            <b/>
          </rPr>
          <t xml:space="preserve">EDGAR Mapper:
</t>
        </r>
        <r>
          <t xml:space="preserve">EDGAR: inline XBRL segment table
Period: 4Q24
Value: 7744 mm
From: Mac Revenue
Confidence: high
Note: Segment row matched to an EDGAR reportable segment.</t>
        </r>
      </text>
    </comment>
    <comment ref="P10" authorId="0">
      <text>
        <r>
          <rPr>
            <b/>
          </rPr>
          <t xml:space="preserve">EDGAR Mapper:
</t>
        </r>
        <r>
          <t xml:space="preserve">EDGAR: inline XBRL segment table
Period: 1Q25
Value: 8987 mm
From: Mac Revenue
Confidence: high
Note: Segment row matched to an EDGAR reportable segment.</t>
        </r>
      </text>
    </comment>
    <comment ref="Q10" authorId="0">
      <text>
        <r>
          <rPr>
            <b/>
          </rPr>
          <t xml:space="preserve">EDGAR Mapper:
</t>
        </r>
        <r>
          <t xml:space="preserve">EDGAR: inline XBRL segment table
Period: 2Q25
Value: 7949 mm
From: Mac Revenue
Confidence: high
Note: Segment row matched to an EDGAR reportable segment.</t>
        </r>
      </text>
    </comment>
    <comment ref="R10" authorId="0">
      <text>
        <r>
          <rPr>
            <b/>
          </rPr>
          <t xml:space="preserve">EDGAR Mapper:
</t>
        </r>
        <r>
          <t xml:space="preserve">EDGAR: inline XBRL segment table
Period: 3Q25
Value: 8046 mm
From: Mac Revenue
Confidence: high
Note: Segment row matched to an EDGAR reportable segment.</t>
        </r>
      </text>
    </comment>
    <comment ref="S10" authorId="0">
      <text>
        <r>
          <rPr>
            <b/>
          </rPr>
          <t xml:space="preserve">EDGAR Mapper:
</t>
        </r>
        <r>
          <t xml:space="preserve">EDGAR: inline XBRL segment table
Period: 4Q25
Value: 8726 mm
From: Mac Revenue
Confidence: high
Note: Segment row matched to an EDGAR reportable segment.</t>
        </r>
      </text>
    </comment>
    <comment ref="U10" authorId="0">
      <text>
        <r>
          <rPr>
            <b/>
          </rPr>
          <t xml:space="preserve">EDGAR Mapper:
</t>
        </r>
        <r>
          <t xml:space="preserve">EDGAR: inline XBRL segment table
Period: 1Q26
Value: 8386 mm
From: Mac Revenue
Confidence: high
Note: Segment row matched to an EDGAR reportable segment.</t>
        </r>
      </text>
    </comment>
    <comment ref="V10" authorId="0">
      <text>
        <r>
          <rPr>
            <b/>
          </rPr>
          <t xml:space="preserve">EDGAR Mapper:
</t>
        </r>
        <r>
          <t xml:space="preserve">EDGAR: inline XBRL segment table
Period: 2Q26
Value: 8399 mm
From: Mac Revenue
Confidence: high
Note: Segment row matched to an EDGAR reportable segment.</t>
        </r>
      </text>
    </comment>
    <comment ref="F11" authorId="0">
      <text>
        <r>
          <rPr>
            <b/>
          </rPr>
          <t xml:space="preserve">EDGAR Mapper:
</t>
        </r>
        <r>
          <t xml:space="preserve">EDGAR: inline XBRL segment table
Period: 1Q23
Value: 9396 mm
From: iPad Revenue
Confidence: high
Note: Segment row matched to an EDGAR reportable segment.</t>
        </r>
      </text>
    </comment>
    <comment ref="G11" authorId="0">
      <text>
        <r>
          <rPr>
            <b/>
          </rPr>
          <t xml:space="preserve">EDGAR Mapper:
</t>
        </r>
        <r>
          <t xml:space="preserve">EDGAR: inline XBRL segment table
Period: 2Q23
Value: 6670 mm
From: iPad Revenue
Confidence: high
Note: Segment row matched to an EDGAR reportable segment.</t>
        </r>
      </text>
    </comment>
    <comment ref="H11" authorId="0">
      <text>
        <r>
          <rPr>
            <b/>
          </rPr>
          <t xml:space="preserve">EDGAR Mapper:
</t>
        </r>
        <r>
          <t xml:space="preserve">EDGAR: inline XBRL segment table
Period: 3Q23
Value: 5791 mm
From: iPad Revenue
Confidence: high
Note: Segment row matched to an EDGAR reportable segment.</t>
        </r>
      </text>
    </comment>
    <comment ref="I11" authorId="0">
      <text>
        <r>
          <rPr>
            <b/>
          </rPr>
          <t xml:space="preserve">EDGAR Mapper:
</t>
        </r>
        <r>
          <t xml:space="preserve">EDGAR: inline XBRL segment table
Period: 4Q23
Value: 6443 mm
From: iPad Revenue
Confidence: high
Note: Segment row matched to an EDGAR reportable segment.</t>
        </r>
      </text>
    </comment>
    <comment ref="K11" authorId="0">
      <text>
        <r>
          <rPr>
            <b/>
          </rPr>
          <t xml:space="preserve">EDGAR Mapper:
</t>
        </r>
        <r>
          <t xml:space="preserve">EDGAR: inline XBRL segment table
Period: 1Q24
Value: 7023 mm
From: iPad Revenue
Confidence: high
Note: Segment row matched to an EDGAR reportable segment.</t>
        </r>
      </text>
    </comment>
    <comment ref="L11" authorId="0">
      <text>
        <r>
          <rPr>
            <b/>
          </rPr>
          <t xml:space="preserve">EDGAR Mapper:
</t>
        </r>
        <r>
          <t xml:space="preserve">EDGAR: inline XBRL segment table
Period: 2Q24
Value: 5559 mm
From: iPad Revenue
Confidence: high
Note: Segment row matched to an EDGAR reportable segment.</t>
        </r>
      </text>
    </comment>
    <comment ref="M11" authorId="0">
      <text>
        <r>
          <rPr>
            <b/>
          </rPr>
          <t xml:space="preserve">EDGAR Mapper:
</t>
        </r>
        <r>
          <t xml:space="preserve">EDGAR: inline XBRL segment table
Period: 3Q24
Value: 7162 mm
From: iPad Revenue
Confidence: high
Note: Segment row matched to an EDGAR reportable segment.</t>
        </r>
      </text>
    </comment>
    <comment ref="N11" authorId="0">
      <text>
        <r>
          <rPr>
            <b/>
          </rPr>
          <t xml:space="preserve">EDGAR Mapper:
</t>
        </r>
        <r>
          <t xml:space="preserve">EDGAR: inline XBRL segment table
Period: 4Q24
Value: 6950 mm
From: iPad Revenue
Confidence: high
Note: Segment row matched to an EDGAR reportable segment.</t>
        </r>
      </text>
    </comment>
    <comment ref="P11" authorId="0">
      <text>
        <r>
          <rPr>
            <b/>
          </rPr>
          <t xml:space="preserve">EDGAR Mapper:
</t>
        </r>
        <r>
          <t xml:space="preserve">EDGAR: inline XBRL segment table
Period: 1Q25
Value: 8088 mm
From: iPad Revenue
Confidence: high
Note: Segment row matched to an EDGAR reportable segment.</t>
        </r>
      </text>
    </comment>
    <comment ref="Q11" authorId="0">
      <text>
        <r>
          <rPr>
            <b/>
          </rPr>
          <t xml:space="preserve">EDGAR Mapper:
</t>
        </r>
        <r>
          <t xml:space="preserve">EDGAR: inline XBRL segment table
Period: 2Q25
Value: 6402 mm
From: iPad Revenue
Confidence: high
Note: Segment row matched to an EDGAR reportable segment.</t>
        </r>
      </text>
    </comment>
    <comment ref="R11" authorId="0">
      <text>
        <r>
          <rPr>
            <b/>
          </rPr>
          <t xml:space="preserve">EDGAR Mapper:
</t>
        </r>
        <r>
          <t xml:space="preserve">EDGAR: inline XBRL segment table
Period: 3Q25
Value: 6581 mm
From: iPad Revenue
Confidence: high
Note: Segment row matched to an EDGAR reportable segment.</t>
        </r>
      </text>
    </comment>
    <comment ref="S11" authorId="0">
      <text>
        <r>
          <rPr>
            <b/>
          </rPr>
          <t xml:space="preserve">EDGAR Mapper:
</t>
        </r>
        <r>
          <t xml:space="preserve">EDGAR: inline XBRL segment table
Period: 4Q25
Value: 6952 mm
From: iPad Revenue
Confidence: high
Note: Segment row matched to an EDGAR reportable segment.</t>
        </r>
      </text>
    </comment>
    <comment ref="U11" authorId="0">
      <text>
        <r>
          <rPr>
            <b/>
          </rPr>
          <t xml:space="preserve">EDGAR Mapper:
</t>
        </r>
        <r>
          <t xml:space="preserve">EDGAR: inline XBRL segment table
Period: 1Q26
Value: 8595 mm
From: iPad Revenue
Confidence: high
Note: Segment row matched to an EDGAR reportable segment.</t>
        </r>
      </text>
    </comment>
    <comment ref="V11" authorId="0">
      <text>
        <r>
          <rPr>
            <b/>
          </rPr>
          <t xml:space="preserve">EDGAR Mapper:
</t>
        </r>
        <r>
          <t xml:space="preserve">EDGAR: inline XBRL segment table
Period: 2Q26
Value: 6914 mm
From: iPad Revenue
Confidence: high
Note: Segment row matched to an EDGAR reportable segment.</t>
        </r>
      </text>
    </comment>
    <comment ref="F12" authorId="0">
      <text>
        <r>
          <rPr>
            <b/>
          </rPr>
          <t xml:space="preserve">EDGAR Mapper:
</t>
        </r>
        <r>
          <t xml:space="preserve">EDGAR: inline XBRL segment table
Period: 1Q23
Value: 13482 mm
From: Wearables, Home and Accessories Revenue
Confidence: high
Note: Segment row matched to an EDGAR reportable segment.</t>
        </r>
      </text>
    </comment>
    <comment ref="G12" authorId="0">
      <text>
        <r>
          <rPr>
            <b/>
          </rPr>
          <t xml:space="preserve">EDGAR Mapper:
</t>
        </r>
        <r>
          <t xml:space="preserve">EDGAR: inline XBRL segment table
Period: 2Q23
Value: 8757 mm
From: Wearables, Home and Accessories Revenue
Confidence: high
Note: Segment row matched to an EDGAR reportable segment.</t>
        </r>
      </text>
    </comment>
    <comment ref="H12" authorId="0">
      <text>
        <r>
          <rPr>
            <b/>
          </rPr>
          <t xml:space="preserve">EDGAR Mapper:
</t>
        </r>
        <r>
          <t xml:space="preserve">EDGAR: inline XBRL segment table
Period: 3Q23
Value: 8284 mm
From: Wearables, Home and Accessories Revenue
Confidence: high
Note: Segment row matched to an EDGAR reportable segment.</t>
        </r>
      </text>
    </comment>
    <comment ref="I12" authorId="0">
      <text>
        <r>
          <rPr>
            <b/>
          </rPr>
          <t xml:space="preserve">EDGAR Mapper:
</t>
        </r>
        <r>
          <t xml:space="preserve">EDGAR: inline XBRL segment table
Period: 4Q23
Value: 9322 mm
From: Wearables, Home and Accessories Revenue
Confidence: high
Note: Segment row matched to an EDGAR reportable segment.</t>
        </r>
      </text>
    </comment>
    <comment ref="K12" authorId="0">
      <text>
        <r>
          <rPr>
            <b/>
          </rPr>
          <t xml:space="preserve">EDGAR Mapper:
</t>
        </r>
        <r>
          <t xml:space="preserve">EDGAR: inline XBRL segment table
Period: 1Q24
Value: 11953 mm
From: Wearables, Home and Accessories Revenue
Confidence: high
Note: Segment row matched to an EDGAR reportable segment.</t>
        </r>
      </text>
    </comment>
    <comment ref="L12" authorId="0">
      <text>
        <r>
          <rPr>
            <b/>
          </rPr>
          <t xml:space="preserve">EDGAR Mapper:
</t>
        </r>
        <r>
          <t xml:space="preserve">EDGAR: inline XBRL segment table
Period: 2Q24
Value: 7913 mm
From: Wearables, Home and Accessories Revenue
Confidence: high
Note: Segment row matched to an EDGAR reportable segment.</t>
        </r>
      </text>
    </comment>
    <comment ref="M12" authorId="0">
      <text>
        <r>
          <rPr>
            <b/>
          </rPr>
          <t xml:space="preserve">EDGAR Mapper:
</t>
        </r>
        <r>
          <t xml:space="preserve">EDGAR: inline XBRL segment table
Period: 3Q24
Value: 8097 mm
From: Wearables, Home and Accessories Revenue
Confidence: high
Note: Segment row matched to an EDGAR reportable segment.</t>
        </r>
      </text>
    </comment>
    <comment ref="N12" authorId="0">
      <text>
        <r>
          <rPr>
            <b/>
          </rPr>
          <t xml:space="preserve">EDGAR Mapper:
</t>
        </r>
        <r>
          <t xml:space="preserve">EDGAR: inline XBRL segment table
Period: 4Q24
Value: 9042 mm
From: Wearables, Home and Accessories Revenue
Confidence: high
Note: Segment row matched to an EDGAR reportable segment.</t>
        </r>
      </text>
    </comment>
    <comment ref="P12" authorId="0">
      <text>
        <r>
          <rPr>
            <b/>
          </rPr>
          <t xml:space="preserve">EDGAR Mapper:
</t>
        </r>
        <r>
          <t xml:space="preserve">EDGAR: inline XBRL segment table
Period: 1Q25
Value: 11747 mm
From: Wearables, Home and Accessories Revenue
Confidence: high
Note: Segment row matched to an EDGAR reportable segment.</t>
        </r>
      </text>
    </comment>
    <comment ref="Q12" authorId="0">
      <text>
        <r>
          <rPr>
            <b/>
          </rPr>
          <t xml:space="preserve">EDGAR Mapper:
</t>
        </r>
        <r>
          <t xml:space="preserve">EDGAR: inline XBRL segment table
Period: 2Q25
Value: 7522 mm
From: Wearables, Home and Accessories Revenue
Confidence: high
Note: Segment row matched to an EDGAR reportable segment.</t>
        </r>
      </text>
    </comment>
    <comment ref="R12" authorId="0">
      <text>
        <r>
          <rPr>
            <b/>
          </rPr>
          <t xml:space="preserve">EDGAR Mapper:
</t>
        </r>
        <r>
          <t xml:space="preserve">EDGAR: inline XBRL segment table
Period: 3Q25
Value: 7404 mm
From: Wearables, Home and Accessories Revenue
Confidence: high
Note: Segment row matched to an EDGAR reportable segment.</t>
        </r>
      </text>
    </comment>
    <comment ref="S12" authorId="0">
      <text>
        <r>
          <rPr>
            <b/>
          </rPr>
          <t xml:space="preserve">EDGAR Mapper:
</t>
        </r>
        <r>
          <t xml:space="preserve">EDGAR: inline XBRL segment table
Period: 4Q25
Value: 9013 mm
From: Wearables, Home and Accessories Revenue
Confidence: high
Note: Segment row matched to an EDGAR reportable segment.</t>
        </r>
      </text>
    </comment>
    <comment ref="U12" authorId="0">
      <text>
        <r>
          <rPr>
            <b/>
          </rPr>
          <t xml:space="preserve">EDGAR Mapper:
</t>
        </r>
        <r>
          <t xml:space="preserve">EDGAR: inline XBRL segment table
Period: 1Q26
Value: 11493 mm
From: Wearables, Home and Accessories Revenue
Confidence: high
Note: Segment row matched to an EDGAR reportable segment.</t>
        </r>
      </text>
    </comment>
    <comment ref="V12" authorId="0">
      <text>
        <r>
          <rPr>
            <b/>
          </rPr>
          <t xml:space="preserve">EDGAR Mapper:
</t>
        </r>
        <r>
          <t xml:space="preserve">EDGAR: inline XBRL segment table
Period: 2Q26
Value: 7901 mm
From: Wearables, Home and Accessories Revenue
Confidence: high
Note: Segment row matched to an EDGAR reportable segment.</t>
        </r>
      </text>
    </comment>
    <comment ref="F34" authorId="0">
      <text>
        <r>
          <rPr>
            <b/>
          </rPr>
          <t xml:space="preserve">EDGAR Mapper:
</t>
        </r>
        <r>
          <t xml:space="preserve">EDGAR: inline XBRL segment table
Period: 1Q23
Value: 17864 mm
From: Americas Segment Operating Income
Confidence: high
Note: Segment row matched to an EDGAR reportable segment.</t>
        </r>
      </text>
    </comment>
    <comment ref="G34" authorId="0">
      <text>
        <r>
          <rPr>
            <b/>
          </rPr>
          <t xml:space="preserve">EDGAR Mapper:
</t>
        </r>
        <r>
          <t xml:space="preserve">EDGAR: inline XBRL segment table
Period: 2Q23
Value: 13927 mm
From: Americas Segment Operating Income
Confidence: high
Note: Segment row matched to an EDGAR reportable segment.</t>
        </r>
      </text>
    </comment>
    <comment ref="H34" authorId="0">
      <text>
        <r>
          <rPr>
            <b/>
          </rPr>
          <t xml:space="preserve">EDGAR Mapper:
</t>
        </r>
        <r>
          <t xml:space="preserve">EDGAR: inline XBRL segment table
Period: 3Q23
Value: 13117 mm
From: Americas Segment Operating Income
Confidence: high
Note: Segment row matched to an EDGAR reportable segment.</t>
        </r>
      </text>
    </comment>
    <comment ref="I34" authorId="0">
      <text>
        <r>
          <rPr>
            <b/>
          </rPr>
          <t xml:space="preserve">EDGAR Mapper:
</t>
        </r>
        <r>
          <t xml:space="preserve">EDGAR: inline XBRL segment table
Period: 4Q23
Value: 15600 mm
From: Americas Segment Operating Income
Confidence: high
Note: Segment row matched to an EDGAR reportable segment.</t>
        </r>
      </text>
    </comment>
    <comment ref="K34" authorId="0">
      <text>
        <r>
          <rPr>
            <b/>
          </rPr>
          <t xml:space="preserve">EDGAR Mapper:
</t>
        </r>
        <r>
          <t xml:space="preserve">EDGAR: inline XBRL segment table
Period: 1Q24
Value: 20357 mm
From: Americas Segment Operating Income
Confidence: high
Note: Segment row matched to an EDGAR reportable segment.</t>
        </r>
      </text>
    </comment>
    <comment ref="L34" authorId="0">
      <text>
        <r>
          <rPr>
            <b/>
          </rPr>
          <t xml:space="preserve">EDGAR Mapper:
</t>
        </r>
        <r>
          <t xml:space="preserve">EDGAR: inline XBRL segment table
Period: 2Q24
Value: 15074 mm
From: Americas Segment Operating Income
Confidence: high
Note: Segment row matched to an EDGAR reportable segment.</t>
        </r>
      </text>
    </comment>
    <comment ref="M34" authorId="0">
      <text>
        <r>
          <rPr>
            <b/>
          </rPr>
          <t xml:space="preserve">EDGAR Mapper:
</t>
        </r>
        <r>
          <t xml:space="preserve">EDGAR: inline XBRL segment table
Period: 3Q24
Value: 15209 mm
From: Americas Segment Operating Income
Confidence: high
Note: Segment row matched to an EDGAR reportable segment.</t>
        </r>
      </text>
    </comment>
    <comment ref="N34" authorId="0">
      <text>
        <r>
          <rPr>
            <b/>
          </rPr>
          <t xml:space="preserve">EDGAR Mapper:
</t>
        </r>
        <r>
          <t xml:space="preserve">EDGAR: inline XBRL segment table
Period: 4Q24
Value: 17016 mm
From: Americas Segment Operating Income
Confidence: high
Note: Segment row matched to an EDGAR reportable segment.</t>
        </r>
      </text>
    </comment>
    <comment ref="P34" authorId="0">
      <text>
        <r>
          <rPr>
            <b/>
          </rPr>
          <t xml:space="preserve">EDGAR Mapper:
</t>
        </r>
        <r>
          <t xml:space="preserve">EDGAR: inline XBRL segment table
Period: 1Q25
Value: 21509 mm
From: Americas Segment Operating Income
Confidence: high
Note: Segment row matched to an EDGAR reportable segment.</t>
        </r>
      </text>
    </comment>
    <comment ref="Q34" authorId="0">
      <text>
        <r>
          <rPr>
            <b/>
          </rPr>
          <t xml:space="preserve">EDGAR Mapper:
</t>
        </r>
        <r>
          <t xml:space="preserve">EDGAR: inline XBRL segment table
Period: 2Q25
Value: 16774 mm
From: Americas Segment Operating Income
Confidence: high
Note: Segment row matched to an EDGAR reportable segment.</t>
        </r>
      </text>
    </comment>
    <comment ref="R34" authorId="0">
      <text>
        <r>
          <rPr>
            <b/>
          </rPr>
          <t xml:space="preserve">EDGAR Mapper:
</t>
        </r>
        <r>
          <t xml:space="preserve">EDGAR: inline XBRL segment table
Period: 3Q25
Value: 16511 mm
From: Americas Segment Operating Income
Confidence: high
Note: Segment row matched to an EDGAR reportable segment.</t>
        </r>
      </text>
    </comment>
    <comment ref="S34" authorId="0">
      <text>
        <r>
          <rPr>
            <b/>
          </rPr>
          <t xml:space="preserve">EDGAR Mapper:
</t>
        </r>
        <r>
          <t xml:space="preserve">EDGAR: inline XBRL segment table
Period: 4Q25
Value: 17686 mm
From: Americas Segment Operating Income
Confidence: high
Note: Segment row matched to an EDGAR reportable segment.</t>
        </r>
      </text>
    </comment>
    <comment ref="U34" authorId="0">
      <text>
        <r>
          <rPr>
            <b/>
          </rPr>
          <t xml:space="preserve">EDGAR Mapper:
</t>
        </r>
        <r>
          <t xml:space="preserve">EDGAR: inline XBRL segment table
Period: 1Q26
Value: 23953 mm
From: Americas Segment Operating Income
Confidence: high
Note: Segment row matched to an EDGAR reportable segment.</t>
        </r>
      </text>
    </comment>
    <comment ref="V34" authorId="0">
      <text>
        <r>
          <rPr>
            <b/>
          </rPr>
          <t xml:space="preserve">EDGAR Mapper:
</t>
        </r>
        <r>
          <t xml:space="preserve">EDGAR: inline XBRL segment table
Period: 2Q26
Value: 19373 mm
From: Americas Segment Operating Income
Confidence: high
Note: Segment row matched to an EDGAR reportable segment.</t>
        </r>
      </text>
    </comment>
    <comment ref="F35" authorId="0">
      <text>
        <r>
          <rPr>
            <b/>
          </rPr>
          <t xml:space="preserve">EDGAR Mapper:
</t>
        </r>
        <r>
          <t xml:space="preserve">EDGAR: inline XBRL segment table
Period: 1Q23
Value: 10437 mm
From: Greater China Segment Operating Income
Confidence: high
Note: Segment row matched to an EDGAR reportable segment.</t>
        </r>
      </text>
    </comment>
    <comment ref="G35" authorId="0">
      <text>
        <r>
          <rPr>
            <b/>
          </rPr>
          <t xml:space="preserve">EDGAR Mapper:
</t>
        </r>
        <r>
          <t xml:space="preserve">EDGAR: inline XBRL segment table
Period: 2Q23
Value: 7531 mm
From: Greater China Segment Operating Income
Confidence: high
Note: Segment row matched to an EDGAR reportable segment.</t>
        </r>
      </text>
    </comment>
    <comment ref="H35" authorId="0">
      <text>
        <r>
          <rPr>
            <b/>
          </rPr>
          <t xml:space="preserve">EDGAR Mapper:
</t>
        </r>
        <r>
          <t xml:space="preserve">EDGAR: inline XBRL segment table
Period: 3Q23
Value: 6207 mm
From: Greater China Segment Operating Income
Confidence: high
Note: Segment row matched to an EDGAR reportable segment.</t>
        </r>
      </text>
    </comment>
    <comment ref="I35" authorId="0">
      <text>
        <r>
          <rPr>
            <b/>
          </rPr>
          <t xml:space="preserve">EDGAR Mapper:
</t>
        </r>
        <r>
          <t xml:space="preserve">EDGAR: inline XBRL segment table
Period: 4Q23
Value: 6153 mm
From: Greater China Segment Operating Income
Confidence: high
Note: Segment row matched to an EDGAR reportable segment.</t>
        </r>
      </text>
    </comment>
    <comment ref="K35" authorId="0">
      <text>
        <r>
          <rPr>
            <b/>
          </rPr>
          <t xml:space="preserve">EDGAR Mapper:
</t>
        </r>
        <r>
          <t xml:space="preserve">EDGAR: inline XBRL segment table
Period: 1Q24
Value: 8622 mm
From: Greater China Segment Operating Income
Confidence: high
Note: Segment row matched to an EDGAR reportable segment.</t>
        </r>
      </text>
    </comment>
    <comment ref="L35" authorId="0">
      <text>
        <r>
          <rPr>
            <b/>
          </rPr>
          <t xml:space="preserve">EDGAR Mapper:
</t>
        </r>
        <r>
          <t xml:space="preserve">EDGAR: inline XBRL segment table
Period: 2Q24
Value: 6700 mm
From: Greater China Segment Operating Income
Confidence: high
Note: Segment row matched to an EDGAR reportable segment.</t>
        </r>
      </text>
    </comment>
    <comment ref="M35" authorId="0">
      <text>
        <r>
          <rPr>
            <b/>
          </rPr>
          <t xml:space="preserve">EDGAR Mapper:
</t>
        </r>
        <r>
          <t xml:space="preserve">EDGAR: inline XBRL segment table
Period: 3Q24
Value: 5562 mm
From: Greater China Segment Operating Income
Confidence: high
Note: Segment row matched to an EDGAR reportable segment.</t>
        </r>
      </text>
    </comment>
    <comment ref="N35" authorId="0">
      <text>
        <r>
          <rPr>
            <b/>
          </rPr>
          <t xml:space="preserve">EDGAR Mapper:
</t>
        </r>
        <r>
          <t xml:space="preserve">EDGAR: inline XBRL segment table
Period: 4Q24
Value: 6198 mm
From: Greater China Segment Operating Income
Confidence: high
Note: Segment row matched to an EDGAR reportable segment.</t>
        </r>
      </text>
    </comment>
    <comment ref="P35" authorId="0">
      <text>
        <r>
          <rPr>
            <b/>
          </rPr>
          <t xml:space="preserve">EDGAR Mapper:
</t>
        </r>
        <r>
          <t xml:space="preserve">EDGAR: inline XBRL segment table
Period: 1Q25
Value: 8160 mm
From: Greater China Segment Operating Income
Confidence: high
Note: Segment row matched to an EDGAR reportable segment.</t>
        </r>
      </text>
    </comment>
    <comment ref="Q35" authorId="0">
      <text>
        <r>
          <rPr>
            <b/>
          </rPr>
          <t xml:space="preserve">EDGAR Mapper:
</t>
        </r>
        <r>
          <t xml:space="preserve">EDGAR: inline XBRL segment table
Period: 2Q25
Value: 6626 mm
From: Greater China Segment Operating Income
Confidence: high
Note: Segment row matched to an EDGAR reportable segment.</t>
        </r>
      </text>
    </comment>
    <comment ref="R35" authorId="0">
      <text>
        <r>
          <rPr>
            <b/>
          </rPr>
          <t xml:space="preserve">EDGAR Mapper:
</t>
        </r>
        <r>
          <t xml:space="preserve">EDGAR: inline XBRL segment table
Period: 3Q25
Value: 5822 mm
From: Greater China Segment Operating Income
Confidence: high
Note: Segment row matched to an EDGAR reportable segment.</t>
        </r>
      </text>
    </comment>
    <comment ref="S35" authorId="0">
      <text>
        <r>
          <rPr>
            <b/>
          </rPr>
          <t xml:space="preserve">EDGAR Mapper:
</t>
        </r>
        <r>
          <t xml:space="preserve">EDGAR: inline XBRL segment table
Period: 4Q25
Value: 6309 mm
From: Greater China Segment Operating Income
Confidence: high
Note: Segment row matched to an EDGAR reportable segment.</t>
        </r>
      </text>
    </comment>
    <comment ref="U35" authorId="0">
      <text>
        <r>
          <rPr>
            <b/>
          </rPr>
          <t xml:space="preserve">EDGAR Mapper:
</t>
        </r>
        <r>
          <t xml:space="preserve">EDGAR: inline XBRL segment table
Period: 1Q26
Value: 11792 mm
From: Greater China Segment Operating Income
Confidence: high
Note: Segment row matched to an EDGAR reportable segment.</t>
        </r>
      </text>
    </comment>
    <comment ref="V35" authorId="0">
      <text>
        <r>
          <rPr>
            <b/>
          </rPr>
          <t xml:space="preserve">EDGAR Mapper:
</t>
        </r>
        <r>
          <t xml:space="preserve">EDGAR: inline XBRL segment table
Period: 2Q26
Value: 9189 mm
From: Greater China Segment Operating Income
Confidence: high
Note: Segment row matched to an EDGAR reportable segment.</t>
        </r>
      </text>
    </comment>
    <comment ref="F36" authorId="0">
      <text>
        <r>
          <rPr>
            <b/>
          </rPr>
          <t xml:space="preserve">EDGAR Mapper:
</t>
        </r>
        <r>
          <t xml:space="preserve">EDGAR: inline XBRL segment table
Period: 1Q23
Value: 3236 mm
From: Japan Segment Operating Income
Confidence: high
Note: Segment row matched to an EDGAR reportable segment.</t>
        </r>
      </text>
    </comment>
    <comment ref="G36" authorId="0">
      <text>
        <r>
          <rPr>
            <b/>
          </rPr>
          <t xml:space="preserve">EDGAR Mapper:
</t>
        </r>
        <r>
          <t xml:space="preserve">EDGAR: inline XBRL segment table
Period: 2Q23
Value: 3394 mm
From: Japan Segment Operating Income
Confidence: high
Note: Segment row matched to an EDGAR reportable segment.</t>
        </r>
      </text>
    </comment>
    <comment ref="H36" authorId="0">
      <text>
        <r>
          <rPr>
            <b/>
          </rPr>
          <t xml:space="preserve">EDGAR Mapper:
</t>
        </r>
        <r>
          <t xml:space="preserve">EDGAR: inline XBRL segment table
Period: 3Q23
Value: 2443 mm
From: Japan Segment Operating Income
Confidence: high
Note: Segment row matched to an EDGAR reportable segment.</t>
        </r>
      </text>
    </comment>
    <comment ref="I36" authorId="0">
      <text>
        <r>
          <rPr>
            <b/>
          </rPr>
          <t xml:space="preserve">EDGAR Mapper:
</t>
        </r>
        <r>
          <t xml:space="preserve">EDGAR: inline XBRL segment table
Period: 4Q23
Value: 2815 mm
From: Japan Segment Operating Income
Confidence: high
Note: Segment row matched to an EDGAR reportable segment.</t>
        </r>
      </text>
    </comment>
    <comment ref="K36" authorId="0">
      <text>
        <r>
          <rPr>
            <b/>
          </rPr>
          <t xml:space="preserve">EDGAR Mapper:
</t>
        </r>
        <r>
          <t xml:space="preserve">EDGAR: inline XBRL segment table
Period: 1Q24
Value: 3819 mm
From: Japan Segment Operating Income
Confidence: high
Note: Segment row matched to an EDGAR reportable segment.</t>
        </r>
      </text>
    </comment>
    <comment ref="L36" authorId="0">
      <text>
        <r>
          <rPr>
            <b/>
          </rPr>
          <t xml:space="preserve">EDGAR Mapper:
</t>
        </r>
        <r>
          <t xml:space="preserve">EDGAR: inline XBRL segment table
Period: 2Q24
Value: 3135 mm
From: Japan Segment Operating Income
Confidence: high
Note: Segment row matched to an EDGAR reportable segment.</t>
        </r>
      </text>
    </comment>
    <comment ref="M36" authorId="0">
      <text>
        <r>
          <rPr>
            <b/>
          </rPr>
          <t xml:space="preserve">EDGAR Mapper:
</t>
        </r>
        <r>
          <t xml:space="preserve">EDGAR: inline XBRL segment table
Period: 3Q24
Value: 2544 mm
From: Japan Segment Operating Income
Confidence: high
Note: Segment row matched to an EDGAR reportable segment.</t>
        </r>
      </text>
    </comment>
    <comment ref="N36" authorId="0">
      <text>
        <r>
          <rPr>
            <b/>
          </rPr>
          <t xml:space="preserve">EDGAR Mapper:
</t>
        </r>
        <r>
          <t xml:space="preserve">EDGAR: inline XBRL segment table
Period: 4Q24
Value: 2956 mm
From: Japan Segment Operating Income
Confidence: high
Note: Segment row matched to an EDGAR reportable segment.</t>
        </r>
      </text>
    </comment>
    <comment ref="P36" authorId="0">
      <text>
        <r>
          <rPr>
            <b/>
          </rPr>
          <t xml:space="preserve">EDGAR Mapper:
</t>
        </r>
        <r>
          <t xml:space="preserve">EDGAR: inline XBRL segment table
Period: 1Q25
Value: 4314 mm
From: Japan Segment Operating Income
Confidence: high
Note: Segment row matched to an EDGAR reportable segment.</t>
        </r>
      </text>
    </comment>
    <comment ref="Q36" authorId="0">
      <text>
        <r>
          <rPr>
            <b/>
          </rPr>
          <t xml:space="preserve">EDGAR Mapper:
</t>
        </r>
        <r>
          <t xml:space="preserve">EDGAR: inline XBRL segment table
Period: 2Q25
Value: 3434 mm
From: Japan Segment Operating Income
Confidence: high
Note: Segment row matched to an EDGAR reportable segment.</t>
        </r>
      </text>
    </comment>
    <comment ref="R36" authorId="0">
      <text>
        <r>
          <rPr>
            <b/>
          </rPr>
          <t xml:space="preserve">EDGAR Mapper:
</t>
        </r>
        <r>
          <t xml:space="preserve">EDGAR: inline XBRL segment table
Period: 3Q25
Value: 2872 mm
From: Japan Segment Operating Income
Confidence: high
Note: Segment row matched to an EDGAR reportable segment.</t>
        </r>
      </text>
    </comment>
    <comment ref="S36" authorId="0">
      <text>
        <r>
          <rPr>
            <b/>
          </rPr>
          <t xml:space="preserve">EDGAR Mapper:
</t>
        </r>
        <r>
          <t xml:space="preserve">EDGAR: inline XBRL segment table
Period: 4Q25
Value: 3335 mm
From: Japan Segment Operating Income
Confidence: high
Note: Segment row matched to an EDGAR reportable segment.</t>
        </r>
      </text>
    </comment>
    <comment ref="U36" authorId="0">
      <text>
        <r>
          <rPr>
            <b/>
          </rPr>
          <t xml:space="preserve">EDGAR Mapper:
</t>
        </r>
        <r>
          <t xml:space="preserve">EDGAR: inline XBRL segment table
Period: 1Q26
Value: 4613 mm
From: Japan Segment Operating Income
Confidence: high
Note: Segment row matched to an EDGAR reportable segment.</t>
        </r>
      </text>
    </comment>
    <comment ref="V36" authorId="0">
      <text>
        <r>
          <rPr>
            <b/>
          </rPr>
          <t xml:space="preserve">EDGAR Mapper:
</t>
        </r>
        <r>
          <t xml:space="preserve">EDGAR: inline XBRL segment table
Period: 2Q26
Value: 3839 mm
From: Japan Segment Operating Income
Confidence: high
Note: Segment row matched to an EDGAR reportable segment.</t>
        </r>
      </text>
    </comment>
    <comment ref="F37" authorId="0">
      <text>
        <r>
          <rPr>
            <b/>
          </rPr>
          <t xml:space="preserve">EDGAR Mapper:
</t>
        </r>
        <r>
          <t>Calculated as the residual needed for Segment Analysis Operating Income rows to tie to EDGAR consolidated operating income.</t>
        </r>
      </text>
    </comment>
    <comment ref="G37" authorId="0">
      <text>
        <r>
          <rPr>
            <b/>
          </rPr>
          <t xml:space="preserve">EDGAR Mapper:
</t>
        </r>
        <r>
          <t>Calculated as the residual needed for Segment Analysis Operating Income rows to tie to EDGAR consolidated operating income.</t>
        </r>
      </text>
    </comment>
    <comment ref="H37" authorId="0">
      <text>
        <r>
          <rPr>
            <b/>
          </rPr>
          <t xml:space="preserve">EDGAR Mapper:
</t>
        </r>
        <r>
          <t>Calculated as the residual needed for Segment Analysis Operating Income rows to tie to EDGAR consolidated operating income.</t>
        </r>
      </text>
    </comment>
    <comment ref="I37" authorId="0">
      <text>
        <r>
          <rPr>
            <b/>
          </rPr>
          <t xml:space="preserve">EDGAR Mapper:
</t>
        </r>
        <r>
          <t>Calculated as the residual needed for Segment Analysis Operating Income rows to tie to EDGAR consolidated operating income.</t>
        </r>
      </text>
    </comment>
    <comment ref="K37" authorId="0">
      <text>
        <r>
          <rPr>
            <b/>
          </rPr>
          <t xml:space="preserve">EDGAR Mapper:
</t>
        </r>
        <r>
          <t>Calculated as the residual needed for Segment Analysis Operating Income rows to tie to EDGAR consolidated operating income.</t>
        </r>
      </text>
    </comment>
    <comment ref="L37" authorId="0">
      <text>
        <r>
          <rPr>
            <b/>
          </rPr>
          <t xml:space="preserve">EDGAR Mapper:
</t>
        </r>
        <r>
          <t>Calculated as the residual needed for Segment Analysis Operating Income rows to tie to EDGAR consolidated operating income.</t>
        </r>
      </text>
    </comment>
    <comment ref="M37" authorId="0">
      <text>
        <r>
          <rPr>
            <b/>
          </rPr>
          <t xml:space="preserve">EDGAR Mapper:
</t>
        </r>
        <r>
          <t>Calculated as the residual needed for Segment Analysis Operating Income rows to tie to EDGAR consolidated operating income.</t>
        </r>
      </text>
    </comment>
    <comment ref="N37" authorId="0">
      <text>
        <r>
          <rPr>
            <b/>
          </rPr>
          <t xml:space="preserve">EDGAR Mapper:
</t>
        </r>
        <r>
          <t>Calculated as the residual needed for Segment Analysis Operating Income rows to tie to EDGAR consolidated operating income.</t>
        </r>
      </text>
    </comment>
    <comment ref="P37" authorId="0">
      <text>
        <r>
          <rPr>
            <b/>
          </rPr>
          <t xml:space="preserve">EDGAR Mapper:
</t>
        </r>
        <r>
          <t>Calculated as the residual needed for Segment Analysis Operating Income rows to tie to EDGAR consolidated operating income.</t>
        </r>
      </text>
    </comment>
    <comment ref="Q37" authorId="0">
      <text>
        <r>
          <rPr>
            <b/>
          </rPr>
          <t xml:space="preserve">EDGAR Mapper:
</t>
        </r>
        <r>
          <t>Calculated as the residual needed for Segment Analysis Operating Income rows to tie to EDGAR consolidated operating income.</t>
        </r>
      </text>
    </comment>
    <comment ref="R37" authorId="0">
      <text>
        <r>
          <rPr>
            <b/>
          </rPr>
          <t xml:space="preserve">EDGAR Mapper:
</t>
        </r>
        <r>
          <t>Calculated as the residual needed for Segment Analysis Operating Income rows to tie to EDGAR consolidated operating income.</t>
        </r>
      </text>
    </comment>
    <comment ref="S37" authorId="0">
      <text>
        <r>
          <rPr>
            <b/>
          </rPr>
          <t xml:space="preserve">EDGAR Mapper:
</t>
        </r>
        <r>
          <t>Calculated as the residual needed for Segment Analysis Operating Income rows to tie to EDGAR consolidated operating income.</t>
        </r>
      </text>
    </comment>
    <comment ref="U37" authorId="0">
      <text>
        <r>
          <rPr>
            <b/>
          </rPr>
          <t xml:space="preserve">EDGAR Mapper:
</t>
        </r>
        <r>
          <t>Calculated as the residual needed for Segment Analysis Operating Income rows to tie to EDGAR consolidated operating income.</t>
        </r>
      </text>
    </comment>
    <comment ref="V37" authorId="0">
      <text>
        <r>
          <rPr>
            <b/>
          </rPr>
          <t xml:space="preserve">EDGAR Mapper:
</t>
        </r>
        <r>
          <t>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<sst xmlns="http://schemas.openxmlformats.org/spreadsheetml/2006/main" count="16370" uniqueCount="2525">
  <si>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</si>
  <si>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</si>
  <si>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</si>
  <si>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</si>
  <si>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</si>
  <si>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</si>
  <si>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</si>
  <si>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</si>
  <si>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</si>
  <si>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</si>
  <si>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</si>
  <si>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</si>
  <si>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</si>
  <si>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</si>
  <si>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</si>
  <si>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</si>
  <si>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</si>
  <si>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</si>
  <si>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</si>
  <si>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</si>
  <si>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</si>
  <si>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</si>
  <si>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</si>
  <si>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</si>
  <si>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Apple Inc.</t>
  </si>
  <si>
    <t>Ticker</t>
  </si>
  <si>
    <t>AAPL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</si>
  <si>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</si>
  <si>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</si>
  <si>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</si>
  <si>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</si>
  <si>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</si>
  <si>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</si>
  <si>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</si>
  <si>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</si>
  <si>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</si>
  <si>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</si>
  <si>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</si>
  <si>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</si>
  <si>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</si>
  <si>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</si>
  <si>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</si>
  <si>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</si>
  <si>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</si>
  <si>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</si>
  <si>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</si>
  <si>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</si>
  <si>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</si>
  <si>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</si>
  <si>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</si>
  <si>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</si>
  <si>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</si>
  <si>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</si>
  <si>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</si>
  <si>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</si>
  <si>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</si>
  <si>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</si>
  <si>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</si>
  <si>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</si>
  <si>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</si>
  <si>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</si>
  <si>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</si>
  <si>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</si>
  <si>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</si>
  <si>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</si>
  <si>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</si>
  <si>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</si>
  <si>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</si>
  <si>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</si>
  <si>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</si>
  <si>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</si>
  <si>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</si>
  <si>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</si>
  <si>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</si>
  <si>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</si>
  <si>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</si>
  <si>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</si>
  <si>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</si>
  <si>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</si>
  <si>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</si>
  <si>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</si>
  <si>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</si>
  <si>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</si>
  <si>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</si>
  <si>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</si>
  <si>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</si>
  <si>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</si>
  <si>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</si>
  <si>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</si>
  <si>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</si>
  <si>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</si>
  <si>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</si>
  <si>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</si>
  <si>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</si>
  <si>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</si>
  <si>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</si>
  <si>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</si>
  <si>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</si>
  <si>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</si>
  <si>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</si>
  <si>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</si>
  <si>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</si>
  <si>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</si>
  <si>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</si>
  <si>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</si>
  <si>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</si>
  <si>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</si>
  <si>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</si>
  <si>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</si>
  <si>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</si>
  <si>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</si>
  <si>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</si>
  <si>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</si>
  <si>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</si>
  <si>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</si>
  <si>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</si>
  <si>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</si>
  <si>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</si>
  <si>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</si>
  <si>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</si>
  <si>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</si>
  <si>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</si>
  <si>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</si>
  <si>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</si>
  <si>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</si>
  <si>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</si>
  <si>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</si>
  <si>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</si>
  <si>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</si>
  <si>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</si>
  <si>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</si>
  <si>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</si>
  <si>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</si>
  <si>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</si>
  <si>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</si>
  <si>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</si>
  <si>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</si>
  <si>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</si>
  <si>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</si>
  <si>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</si>
  <si>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</si>
  <si>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</si>
  <si>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</si>
  <si>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</si>
  <si>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</si>
  <si>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</si>
  <si>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</si>
  <si>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</si>
  <si>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</si>
  <si>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</si>
  <si>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</si>
  <si>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</si>
  <si>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</si>
  <si>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</si>
  <si>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</si>
  <si>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</si>
  <si>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</si>
  <si>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</si>
  <si>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</si>
  <si>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</si>
  <si>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</si>
  <si>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</si>
  <si>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</si>
  <si>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</si>
  <si>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</si>
  <si>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</si>
  <si>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</si>
  <si>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</si>
  <si>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</si>
  <si>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</si>
  <si>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</si>
  <si>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</si>
  <si>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</si>
  <si>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</si>
  <si>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</si>
  <si>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</si>
  <si>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</si>
  <si>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</si>
  <si>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</si>
  <si>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</si>
  <si>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</si>
  <si>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</si>
  <si>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</si>
  <si>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</si>
  <si>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</si>
  <si>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</si>
  <si>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</si>
  <si>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</si>
  <si>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</si>
  <si>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</si>
  <si>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</si>
  <si>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</si>
  <si>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</si>
  <si>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</si>
  <si>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</si>
  <si>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</si>
  <si>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</si>
  <si>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</si>
  <si>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</si>
  <si>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</si>
  <si>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</si>
  <si>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</si>
  <si>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</si>
  <si>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</si>
  <si>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</si>
  <si>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</si>
  <si>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</si>
  <si>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</si>
  <si>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</si>
  <si>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</si>
  <si>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</si>
  <si>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</si>
  <si>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</si>
  <si>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</si>
  <si>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</si>
  <si>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</si>
  <si>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</si>
  <si>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</si>
  <si>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</si>
  <si>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</si>
  <si>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</si>
  <si>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</si>
  <si>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</si>
  <si>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</si>
  <si>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</si>
  <si>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</si>
  <si>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</si>
  <si>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</si>
  <si>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</si>
  <si>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</si>
  <si>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</si>
  <si>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</si>
  <si>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</si>
  <si>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</si>
  <si>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</si>
  <si>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</si>
  <si>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</si>
  <si>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</si>
  <si>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</si>
  <si>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</si>
  <si>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</si>
  <si>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</si>
  <si>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</si>
  <si>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</si>
  <si>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</si>
  <si>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</si>
  <si>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</si>
  <si>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</si>
  <si>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</si>
  <si>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</si>
  <si>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</si>
  <si>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</si>
  <si>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</si>
  <si>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</si>
  <si>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</si>
  <si>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</si>
  <si>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</si>
  <si>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</si>
  <si>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</si>
  <si>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</si>
  <si>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</si>
  <si>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</si>
  <si>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</si>
  <si>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</si>
  <si>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</si>
  <si>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</si>
  <si>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</si>
  <si>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</si>
  <si>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</si>
  <si>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</si>
  <si>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</si>
  <si>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</si>
  <si>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</si>
  <si>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</si>
  <si>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</si>
  <si>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</si>
  <si>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</si>
  <si>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</si>
  <si>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</si>
  <si>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</si>
  <si>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</si>
  <si>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</si>
  <si>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</si>
  <si>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</si>
  <si>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</si>
  <si>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</si>
  <si>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</si>
  <si>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</si>
  <si>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</si>
  <si>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</si>
  <si>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</si>
  <si>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</si>
  <si>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</si>
  <si>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</si>
  <si>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</si>
  <si>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</si>
  <si>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</si>
  <si>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</si>
  <si>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</si>
  <si>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</si>
  <si>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</si>
  <si>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</si>
  <si>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</si>
  <si>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</si>
  <si>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</si>
  <si>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</si>
  <si>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</si>
  <si>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</si>
  <si>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</si>
  <si>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</si>
  <si>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</si>
  <si>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</si>
  <si>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</si>
  <si>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</si>
  <si>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</si>
  <si>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</si>
  <si>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</si>
  <si>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</si>
  <si>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</si>
  <si>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</si>
  <si>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</si>
  <si>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</si>
  <si>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</si>
  <si>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</si>
  <si>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</si>
  <si>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</si>
  <si>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</si>
  <si>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</si>
  <si>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</si>
  <si>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</si>
  <si>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</si>
  <si>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</si>
  <si>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</si>
  <si>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</si>
  <si>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</si>
  <si>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</si>
  <si>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</si>
  <si>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</si>
  <si>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</si>
  <si>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</si>
  <si>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</si>
  <si>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</si>
  <si>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</si>
  <si>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</si>
  <si>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</si>
  <si>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</si>
  <si>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</si>
  <si>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</si>
  <si>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</si>
  <si>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</si>
  <si>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</si>
  <si>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</si>
  <si>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</si>
  <si>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</si>
  <si>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</si>
  <si>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</si>
  <si>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</si>
  <si>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</si>
  <si>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</si>
  <si>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</si>
  <si>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</si>
  <si>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</si>
  <si>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</si>
  <si>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</si>
  <si>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</si>
  <si>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</si>
  <si>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</si>
  <si>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</si>
  <si>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</si>
  <si>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</si>
  <si>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</si>
  <si>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</si>
  <si>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</si>
  <si>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</si>
  <si>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</si>
  <si>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</si>
  <si>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</si>
  <si>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</si>
  <si>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</si>
  <si>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</si>
  <si>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</si>
  <si>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</si>
  <si>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</si>
  <si>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</si>
  <si>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</si>
  <si>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</si>
  <si>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</si>
  <si>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</si>
  <si>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</si>
  <si>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</si>
  <si>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</si>
  <si>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</si>
  <si>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</si>
  <si>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</si>
  <si>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</si>
  <si>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</si>
  <si>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</si>
  <si>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</si>
  <si>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</si>
  <si>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</si>
  <si>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</si>
  <si>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</si>
  <si>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</si>
  <si>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</si>
  <si>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</si>
  <si>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</si>
  <si>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</si>
  <si>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</si>
  <si>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</si>
  <si>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</si>
  <si>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</si>
  <si>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</si>
  <si>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</si>
  <si>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</si>
  <si>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</si>
  <si>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</si>
  <si>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</si>
  <si>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</si>
  <si>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</si>
  <si>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</si>
  <si>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</si>
  <si>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</si>
  <si>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</si>
  <si>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</si>
  <si>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</si>
  <si>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</si>
  <si>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</si>
  <si>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</si>
  <si>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</si>
  <si>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</si>
  <si>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</si>
  <si>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</si>
  <si>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</si>
  <si>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</si>
  <si>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</si>
  <si>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</si>
  <si>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</si>
  <si>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</si>
  <si>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</si>
  <si>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</si>
  <si>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</si>
  <si>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</si>
  <si>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</si>
  <si>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</si>
  <si>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</si>
  <si>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</si>
  <si>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Services</t>
  </si>
  <si>
    <t>iPhone</t>
  </si>
  <si>
    <t>Mac</t>
  </si>
  <si>
    <t>Other / Reconciliation</t>
  </si>
  <si>
    <t>Wearables, Home and Accessories</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</si>
  <si>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</si>
  <si>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</si>
  <si>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</si>
  <si>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</si>
  <si>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</si>
  <si>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</si>
  <si>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</si>
  <si>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</si>
  <si>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</si>
  <si>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</si>
  <si>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</si>
  <si>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</si>
  <si>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</si>
  <si>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</si>
  <si>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</si>
  <si>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</si>
  <si>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</si>
  <si>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</si>
  <si>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</si>
  <si>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</si>
  <si>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</si>
  <si>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</si>
  <si>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</si>
  <si>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</si>
  <si>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</si>
  <si>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</si>
  <si>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</si>
  <si>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</si>
  <si>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</si>
  <si>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</si>
  <si>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</si>
  <si>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</si>
  <si>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</si>
  <si>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</si>
  <si>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</si>
  <si>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</si>
  <si>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</si>
  <si>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</si>
  <si>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</si>
  <si>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</si>
  <si>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</si>
  <si>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</si>
  <si>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</si>
  <si>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</si>
  <si>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</si>
  <si>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</si>
  <si>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</si>
  <si>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</si>
  <si>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</si>
  <si>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</si>
  <si>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</si>
  <si>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</si>
  <si>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</si>
  <si>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</si>
  <si>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</si>
  <si>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</si>
  <si>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</si>
  <si>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</si>
  <si>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</si>
  <si>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</si>
  <si>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</si>
  <si>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</si>
  <si>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</si>
  <si>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</si>
  <si>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</si>
  <si>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</si>
  <si>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</si>
  <si>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</si>
  <si>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</si>
  <si>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</si>
  <si>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</si>
  <si>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</si>
  <si>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</si>
  <si>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</si>
  <si>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</si>
  <si>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</si>
  <si>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</si>
  <si>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</si>
  <si>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</si>
  <si>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</si>
  <si>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</si>
  <si>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</si>
  <si>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</si>
  <si>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</si>
  <si>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</si>
  <si>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</si>
  <si>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</si>
  <si>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</si>
  <si>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</si>
  <si>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</si>
  <si>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</si>
  <si>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</si>
  <si>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</si>
  <si>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</si>
  <si>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</si>
  <si>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</si>
  <si>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</si>
  <si>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</si>
  <si>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</si>
  <si>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</si>
  <si>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</si>
  <si>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</si>
  <si>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</si>
  <si>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</si>
  <si>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</si>
  <si>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</si>
  <si>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</si>
  <si>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</si>
  <si>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</si>
  <si>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</si>
  <si>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</si>
  <si>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</si>
  <si>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</si>
  <si>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</si>
  <si>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</si>
  <si>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</si>
  <si>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</si>
  <si>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</si>
  <si>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</si>
  <si>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</si>
  <si>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</si>
  <si>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</si>
  <si>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</si>
  <si>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</si>
  <si>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</si>
  <si>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</si>
  <si>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</si>
  <si>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</si>
  <si>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</si>
  <si>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</si>
  <si>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</si>
  <si>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</si>
  <si>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</si>
  <si>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</si>
  <si>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</si>
  <si>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</si>
  <si>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</si>
  <si>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</si>
  <si>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</si>
  <si>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</si>
  <si>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</si>
  <si>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</si>
  <si>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</si>
  <si>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</si>
  <si>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</si>
  <si>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</si>
  <si>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</si>
  <si>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</si>
  <si>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</si>
  <si>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</si>
  <si>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</si>
  <si>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</si>
  <si>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</si>
  <si>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</si>
  <si>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</si>
  <si>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</si>
  <si>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</si>
  <si>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</si>
  <si>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</si>
  <si>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</si>
  <si>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</si>
  <si>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</si>
  <si>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</si>
  <si>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</si>
  <si>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</si>
  <si>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</si>
  <si>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</si>
  <si>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</si>
  <si>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</si>
  <si>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</si>
  <si>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</si>
  <si>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</si>
  <si>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</si>
  <si>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</si>
  <si>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</si>
  <si>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</si>
  <si>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</si>
  <si>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</si>
  <si>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</si>
  <si>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</si>
  <si>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</si>
  <si>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</si>
  <si>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</si>
  <si>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</si>
  <si>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</si>
  <si>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</si>
  <si>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</si>
  <si>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</si>
  <si>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</si>
  <si>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</si>
  <si>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</si>
  <si>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</si>
  <si>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</si>
  <si>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</si>
  <si>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</si>
  <si>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</si>
  <si>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</si>
  <si>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</si>
  <si>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</si>
  <si>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</si>
  <si>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</si>
  <si>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</si>
  <si>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</si>
  <si>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</si>
  <si>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</si>
  <si>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</si>
  <si>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</si>
  <si>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</si>
  <si>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</si>
  <si>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</si>
  <si>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</si>
  <si>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</si>
  <si>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</si>
  <si>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</si>
  <si>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</si>
  <si>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</si>
  <si>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</si>
  <si>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</si>
  <si>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</si>
  <si>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</si>
  <si>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</si>
  <si>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</si>
  <si>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</si>
  <si>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</si>
  <si>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</si>
  <si>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</si>
  <si>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</si>
  <si>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</si>
  <si>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</si>
  <si>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</si>
  <si>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</si>
  <si>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</si>
  <si>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</si>
  <si>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</si>
  <si>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</si>
  <si>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</si>
  <si>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</si>
  <si>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</si>
  <si>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</si>
  <si>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</si>
  <si>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</si>
  <si>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</si>
  <si>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</si>
  <si>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</si>
  <si>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</si>
  <si>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</si>
  <si>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</si>
  <si>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</si>
  <si>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</si>
  <si>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</si>
  <si>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</si>
  <si>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</si>
  <si>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</si>
  <si>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</si>
  <si>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</si>
  <si>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</si>
  <si>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</si>
  <si>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</si>
  <si>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</si>
  <si>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</si>
  <si>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</si>
  <si>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</si>
  <si>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</si>
  <si>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</si>
  <si>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</si>
  <si>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</si>
  <si>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</si>
  <si>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</si>
  <si>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</si>
  <si>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</si>
  <si>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</si>
  <si>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</si>
  <si>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</si>
  <si>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</si>
  <si>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</si>
  <si>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</si>
  <si>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</si>
  <si>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</si>
  <si>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</si>
  <si>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</si>
  <si>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</si>
  <si>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</si>
  <si>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</si>
  <si>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</si>
  <si>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</si>
  <si>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</si>
  <si>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</si>
  <si>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</si>
  <si>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</si>
  <si>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</si>
  <si>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</si>
  <si>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</si>
  <si>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</si>
  <si>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</si>
  <si>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</si>
  <si>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</si>
  <si>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</si>
  <si>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</si>
  <si>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</si>
  <si>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</si>
  <si>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</si>
  <si>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</si>
  <si>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</si>
  <si>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</si>
  <si>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</si>
  <si>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</si>
  <si>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</si>
  <si>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</si>
  <si>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</si>
  <si>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</si>
  <si>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</si>
  <si>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</si>
  <si>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</si>
  <si>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</si>
  <si>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</si>
  <si>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</si>
  <si>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</si>
  <si>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</si>
  <si>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</si>
  <si>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</si>
  <si>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</si>
  <si>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</si>
  <si>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</si>
  <si>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</si>
  <si>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</si>
  <si>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</si>
  <si>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</si>
  <si>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</si>
  <si>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</si>
  <si>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</si>
  <si>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</si>
  <si>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</si>
  <si>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</si>
  <si>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</si>
  <si>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</si>
  <si>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</si>
  <si>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</si>
  <si>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</si>
  <si>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</si>
  <si>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</si>
  <si>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</si>
  <si>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</si>
  <si>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</si>
  <si>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</si>
  <si>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</si>
  <si>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</si>
  <si>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</si>
  <si>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</si>
  <si>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</si>
  <si>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</si>
  <si>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</si>
  <si>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</si>
  <si>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</si>
  <si>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</si>
  <si>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</si>
  <si>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</si>
  <si>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</si>
  <si>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</si>
  <si>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</si>
  <si>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</si>
  <si>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</si>
  <si>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</si>
  <si>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</si>
  <si>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</si>
  <si>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</si>
  <si>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</si>
  <si>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</si>
  <si>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</si>
  <si>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</si>
  <si>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</si>
  <si>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</si>
  <si>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</si>
  <si>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</si>
  <si>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</si>
  <si>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</si>
  <si>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</si>
  <si>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</si>
  <si>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</si>
  <si>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</si>
  <si>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</si>
  <si>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</si>
  <si>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</si>
  <si>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</si>
  <si>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</si>
  <si>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</si>
  <si>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</si>
  <si>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</si>
  <si>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</si>
  <si>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</si>
  <si>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</si>
  <si>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</si>
  <si>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</si>
  <si>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</si>
  <si>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</si>
  <si>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</si>
  <si>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</si>
  <si>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</si>
  <si>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</si>
  <si>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</si>
  <si>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</si>
  <si>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</si>
  <si>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</si>
  <si>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</si>
  <si>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</si>
  <si>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</si>
  <si>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</si>
  <si>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</si>
  <si>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</si>
  <si>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</si>
  <si>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</si>
  <si>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</si>
  <si>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</si>
  <si>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</si>
  <si>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</si>
  <si>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</si>
  <si>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</si>
  <si>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</si>
  <si>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</si>
  <si>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</si>
  <si>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</si>
  <si>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</si>
  <si>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</si>
  <si>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</si>
  <si>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</si>
  <si>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</si>
  <si>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</si>
  <si>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</si>
  <si>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</si>
  <si>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</si>
  <si>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</si>
  <si>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</si>
  <si>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</si>
  <si>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</si>
  <si>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</si>
  <si>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</si>
  <si>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</si>
  <si>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</si>
  <si>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</si>
  <si>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</si>
  <si>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</si>
  <si>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</si>
  <si>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</si>
  <si>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</si>
  <si>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</si>
  <si>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</si>
  <si>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</si>
  <si>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</si>
  <si>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</si>
  <si>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</si>
  <si>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</si>
  <si>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</si>
  <si>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</si>
  <si>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</si>
  <si>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</si>
  <si>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</si>
  <si>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</si>
  <si>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</si>
  <si>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</si>
  <si>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</si>
  <si>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</si>
  <si>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</si>
  <si>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</si>
  <si>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</si>
  <si>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</si>
  <si>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</si>
  <si>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</si>
  <si>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</si>
  <si>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</si>
  <si>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</si>
  <si>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</si>
  <si>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</si>
  <si>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</si>
  <si>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</si>
  <si>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</si>
  <si>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</si>
  <si>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</si>
  <si>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</si>
  <si>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</si>
  <si>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</si>
  <si>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</si>
  <si>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</si>
  <si>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</si>
  <si>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</si>
  <si>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</si>
  <si>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</si>
  <si>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</si>
  <si>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</si>
  <si>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</si>
  <si>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</si>
  <si>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</si>
  <si>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</si>
  <si>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</si>
  <si>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</si>
  <si>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</si>
  <si>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</si>
  <si>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</si>
  <si>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</si>
  <si>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</si>
  <si>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</si>
  <si>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</si>
  <si>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</si>
  <si>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</si>
  <si>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</si>
  <si>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</si>
  <si>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</si>
  <si>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</si>
  <si>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</si>
  <si>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</si>
  <si>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</si>
  <si>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</si>
  <si>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</si>
  <si>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</si>
  <si>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</si>
  <si>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</si>
  <si>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</si>
  <si>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</si>
  <si>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</si>
  <si>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</si>
  <si>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</si>
  <si>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</si>
  <si>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</si>
  <si>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</si>
  <si>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</si>
  <si>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</si>
  <si>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</si>
  <si>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</si>
  <si>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</si>
  <si>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</si>
  <si>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</si>
  <si>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</si>
  <si>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</si>
  <si>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</si>
  <si>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</si>
  <si>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</si>
  <si>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</si>
  <si>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</si>
  <si>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</si>
  <si>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</si>
  <si>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</si>
  <si>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</si>
  <si>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</si>
  <si>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</si>
  <si>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</si>
  <si>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</si>
  <si>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</si>
  <si>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</si>
  <si>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</si>
  <si>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</si>
  <si>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</si>
  <si>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</si>
  <si>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</si>
  <si>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</si>
  <si>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</si>
  <si>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</si>
  <si>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</si>
  <si>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</si>
  <si>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</si>
  <si>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</si>
  <si>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</si>
  <si>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</si>
  <si>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</si>
  <si>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</si>
  <si>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</si>
  <si>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</si>
  <si>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</si>
  <si>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</si>
  <si>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</si>
  <si>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</si>
  <si>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</si>
  <si>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</si>
  <si>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</si>
  <si>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</si>
  <si>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</si>
  <si>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CostOfGoodsAndServicesSold=66822mm</t>
  </si>
  <si>
    <t>Cost of Goods and Services Sold</t>
  </si>
  <si>
    <t>0000320193-23-000006</t>
  </si>
  <si>
    <t>https://www.sec.gov/Archives/edgar/data/320193/000032019323000006/</t>
  </si>
  <si>
    <t>10-Q</t>
  </si>
  <si>
    <t>2023-02-03</t>
  </si>
  <si>
    <t>2022-09-25</t>
  </si>
  <si>
    <t>2022-12-31</t>
  </si>
  <si>
    <t>not a formula cell</t>
  </si>
  <si>
    <t>inverted to match model sign convention</t>
  </si>
  <si>
    <t>OK!</t>
  </si>
  <si>
    <t>Cost of revenue normalized from EDGAR cost concepts.</t>
  </si>
  <si>
    <t>G29</t>
  </si>
  <si>
    <t>CostOfGoodsAndServicesSold=52860mm</t>
  </si>
  <si>
    <t>0000320193-23-000064</t>
  </si>
  <si>
    <t>https://www.sec.gov/Archives/edgar/data/320193/000032019323000064/</t>
  </si>
  <si>
    <t>2023-05-05</t>
  </si>
  <si>
    <t>2023-01-01</t>
  </si>
  <si>
    <t>2023-04-01</t>
  </si>
  <si>
    <t>H29</t>
  </si>
  <si>
    <t>CostOfGoodsAndServicesSold=45384mm</t>
  </si>
  <si>
    <t>0000320193-23-000077</t>
  </si>
  <si>
    <t>https://www.sec.gov/Archives/edgar/data/320193/000032019323000077/</t>
  </si>
  <si>
    <t>2023-08-04</t>
  </si>
  <si>
    <t>2023-04-02</t>
  </si>
  <si>
    <t>2023-07-01</t>
  </si>
  <si>
    <t>I29</t>
  </si>
  <si>
    <t>formula updated</t>
  </si>
  <si>
    <t>CostOfGoodsAndServicesSold=49071mm</t>
  </si>
  <si>
    <t>Cost of Goods and Services Sold (derived Q4)</t>
  </si>
  <si>
    <t>0000320193-23-000106</t>
  </si>
  <si>
    <t>https://www.sec.gov/Archives/edgar/data/320193/000032019323000106/</t>
  </si>
  <si>
    <t>10-K</t>
  </si>
  <si>
    <t>2023-11-03</t>
  </si>
  <si>
    <t>2023-09-30</t>
  </si>
  <si>
    <t>formula bridge updated</t>
  </si>
  <si>
    <t>formula result refreshed</t>
  </si>
  <si>
    <t>medium</t>
  </si>
  <si>
    <t>Updated the preserved formula's cached result from EDGAR while keeping the model formula in place.</t>
  </si>
  <si>
    <t>K29</t>
  </si>
  <si>
    <t>CostOfGoodsAndServicesSold=64720mm</t>
  </si>
  <si>
    <t>0000320193-24-000006</t>
  </si>
  <si>
    <t>https://www.sec.gov/Archives/edgar/data/320193/000032019324000006/</t>
  </si>
  <si>
    <t>2024-02-02</t>
  </si>
  <si>
    <t>2023-10-01</t>
  </si>
  <si>
    <t>2023-12-30</t>
  </si>
  <si>
    <t>L29</t>
  </si>
  <si>
    <t>CostOfGoodsAndServicesSold=48482mm</t>
  </si>
  <si>
    <t>0000320193-24-000069</t>
  </si>
  <si>
    <t>https://www.sec.gov/Archives/edgar/data/320193/000032019324000069/</t>
  </si>
  <si>
    <t>2024-05-03</t>
  </si>
  <si>
    <t>2023-12-31</t>
  </si>
  <si>
    <t>2024-03-30</t>
  </si>
  <si>
    <t>M29</t>
  </si>
  <si>
    <t>CostOfGoodsAndServicesSold=46099mm</t>
  </si>
  <si>
    <t>0000320193-24-000081</t>
  </si>
  <si>
    <t>https://www.sec.gov/Archives/edgar/data/320193/000032019324000081/</t>
  </si>
  <si>
    <t>2024-08-02</t>
  </si>
  <si>
    <t>2024-03-31</t>
  </si>
  <si>
    <t>2024-06-29</t>
  </si>
  <si>
    <t>N29</t>
  </si>
  <si>
    <t>grouped</t>
  </si>
  <si>
    <t>CostOfGoodsAndServicesSold=51051mm</t>
  </si>
  <si>
    <t>0000320193-24-000123</t>
  </si>
  <si>
    <t>https://www.sec.gov/Archives/edgar/data/320193/000032019324000123/</t>
  </si>
  <si>
    <t>2024-11-01</t>
  </si>
  <si>
    <t>2024-09-28</t>
  </si>
  <si>
    <t>Grouped from Cost of Goods and Services Sold (derived Q4). Cost of revenue normalized from EDGAR cost concepts. Derived from Cost of Goods and Services Sold less 1Q24, 2Q24, 3Q24. Filing says: 10-K filed 2024-11-01: "to customers through its retail and online stores and its direct sales force. The Company also employs a variety of indirect distribution..."</t>
  </si>
  <si>
    <t>P29</t>
  </si>
  <si>
    <t>CostOfGoodsAndServicesSold=66025mm</t>
  </si>
  <si>
    <t>0000320193-25-000008</t>
  </si>
  <si>
    <t>https://www.sec.gov/Archives/edgar/data/320193/000032019325000008/</t>
  </si>
  <si>
    <t>2025-01-31</t>
  </si>
  <si>
    <t>2024-09-29</t>
  </si>
  <si>
    <t>2024-12-28</t>
  </si>
  <si>
    <t>formula replaced with EDGAR-supported value</t>
  </si>
  <si>
    <t>Replaced a stale model bridge formula with the EDGAR-supported value.</t>
  </si>
  <si>
    <t>Q29</t>
  </si>
  <si>
    <t>CostOfGoodsAndServicesSold=50492mm</t>
  </si>
  <si>
    <t>0000320193-25-000057</t>
  </si>
  <si>
    <t>https://www.sec.gov/Archives/edgar/data/320193/000032019325000057/</t>
  </si>
  <si>
    <t>2025-05-02</t>
  </si>
  <si>
    <t>2024-12-29</t>
  </si>
  <si>
    <t>2025-03-29</t>
  </si>
  <si>
    <t>R29</t>
  </si>
  <si>
    <t>CostOfGoodsAndServicesSold=50318mm</t>
  </si>
  <si>
    <t>0000320193-25-000073</t>
  </si>
  <si>
    <t>https://www.sec.gov/Archives/edgar/data/320193/000032019325000073/</t>
  </si>
  <si>
    <t>2025-08-01</t>
  </si>
  <si>
    <t>2025-03-30</t>
  </si>
  <si>
    <t>2025-06-28</t>
  </si>
  <si>
    <t>S29</t>
  </si>
  <si>
    <t>CostOfGoodsAndServicesSold=54125mm</t>
  </si>
  <si>
    <t>0000320193-25-000079</t>
  </si>
  <si>
    <t>https://www.sec.gov/Archives/edgar/data/320193/000032019325000079/</t>
  </si>
  <si>
    <t>2025-10-31</t>
  </si>
  <si>
    <t>2025-09-27</t>
  </si>
  <si>
    <t>Grouped from Cost of Goods and Services Sold (derived Q4). Cost of revenue normalized from EDGAR cost concepts. Derived from Cost of Goods and Services Sold less 1Q25, 2Q25, 3Q25. Filing says: 10-K filed 2025-10-31: "hrough its various service platforms. The Company also employs a variety of indirect distribution channels, such as third-party cellular..."</t>
  </si>
  <si>
    <t>U29</t>
  </si>
  <si>
    <t>CostOfGoodsAndServicesSold=74525mm</t>
  </si>
  <si>
    <t>0000320193-26-000006</t>
  </si>
  <si>
    <t>https://www.sec.gov/Archives/edgar/data/320193/000032019326000006/</t>
  </si>
  <si>
    <t>2026-01-30</t>
  </si>
  <si>
    <t>2025-09-28</t>
  </si>
  <si>
    <t>2025-12-27</t>
  </si>
  <si>
    <t>V29</t>
  </si>
  <si>
    <t>2Q26</t>
  </si>
  <si>
    <t>CostOfGoodsAndServicesSold=56403mm</t>
  </si>
  <si>
    <t>0000320193-26-000013</t>
  </si>
  <si>
    <t>https://www.sec.gov/Archives/edgar/data/320193/000032019326000013/</t>
  </si>
  <si>
    <t>2026-05-01</t>
  </si>
  <si>
    <t>2025-12-28</t>
  </si>
  <si>
    <t>2026-03-28</t>
  </si>
  <si>
    <t>F32</t>
  </si>
  <si>
    <t>SellingGeneralAndAdministrativeExpense=6607mm</t>
  </si>
  <si>
    <t>Selling, General and Administrative Expense</t>
  </si>
  <si>
    <t>copied</t>
  </si>
  <si>
    <t>Grouped from Selling, General and Administrative Expense. Mapped to EDGAR selling, general, and administrative expense.</t>
  </si>
  <si>
    <t>G32</t>
  </si>
  <si>
    <t>SellingGeneralAndAdministrativeExpense=6201mm</t>
  </si>
  <si>
    <t>H32</t>
  </si>
  <si>
    <t>SellingGeneralAndAdministrativeExpense=5973mm</t>
  </si>
  <si>
    <t>I32</t>
  </si>
  <si>
    <t>SellingGeneralAndAdministrativeExpense=6151mm</t>
  </si>
  <si>
    <t>Selling, General and Administrative Expense (derived Q4)</t>
  </si>
  <si>
    <t>K32</t>
  </si>
  <si>
    <t>SellingGeneralAndAdministrativeExpense=6786mm</t>
  </si>
  <si>
    <t>L32</t>
  </si>
  <si>
    <t>SellingGeneralAndAdministrativeExpense=6468mm</t>
  </si>
  <si>
    <t>M32</t>
  </si>
  <si>
    <t>SellingGeneralAndAdministrativeExpense=6320mm</t>
  </si>
  <si>
    <t>N32</t>
  </si>
  <si>
    <t>SellingGeneralAndAdministrativeExpense=6523mm</t>
  </si>
  <si>
    <t>Grouped from Selling, General and Administrative Expense (derived Q4). Mapped to EDGAR selling, general, and administrative expense. Derived from Selling, General and Administrative Expense less 1Q24, 2Q24, 3Q24. Filing says: 10-K filed 2024-11-01: "creases in headcount-related expenses. Selling, General and Administrative Selling, general and administrative expense increased $1.2..."</t>
  </si>
  <si>
    <t>P32</t>
  </si>
  <si>
    <t>SellingGeneralAndAdministrativeExpense=7175mm</t>
  </si>
  <si>
    <t>Q32</t>
  </si>
  <si>
    <t>SellingGeneralAndAdministrativeExpense=6728mm</t>
  </si>
  <si>
    <t>R32</t>
  </si>
  <si>
    <t>SellingGeneralAndAdministrativeExpense=6650mm</t>
  </si>
  <si>
    <t>S32</t>
  </si>
  <si>
    <t>SellingGeneralAndAdministrativeExpense=7048mm</t>
  </si>
  <si>
    <t>Grouped from Selling, General and Administrative Expense (derived Q4). Mapped to EDGAR selling, general, and administrative expense. Derived from Selling, General and Administrative Expense less 1Q25, 2Q25, 3Q25. Filing says: 10-K filed 2025-10-31: "in selling, general and administrative expense during 2025 compared to 2024 was primarily driven by increases in headcount-related expenses..."</t>
  </si>
  <si>
    <t>U32</t>
  </si>
  <si>
    <t>SellingGeneralAndAdministrativeExpense=7492mm</t>
  </si>
  <si>
    <t>V32</t>
  </si>
  <si>
    <t>SellingGeneralAndAdministrativeExpense=7477mm</t>
  </si>
  <si>
    <t>F33</t>
  </si>
  <si>
    <t>ResearchAndDevelopmentExpense=7709mm</t>
  </si>
  <si>
    <t>Research and Development Expense</t>
  </si>
  <si>
    <t>Grouped from Research and Development Expense. Mapped to EDGAR research, development, technology, or technology/content operating expense.</t>
  </si>
  <si>
    <t>G33</t>
  </si>
  <si>
    <t>ResearchAndDevelopmentExpense=7457mm</t>
  </si>
  <si>
    <t>H33</t>
  </si>
  <si>
    <t>ResearchAndDevelopmentExpense=7442mm</t>
  </si>
  <si>
    <t>I33</t>
  </si>
  <si>
    <t>ResearchAndDevelopmentExpense=7307mm</t>
  </si>
  <si>
    <t>Research and Development Expense (derived Q4)</t>
  </si>
  <si>
    <t>Grouped from Research and Development Expense (derived Q4). Mapped to EDGAR research, development, technology, or technology/content operating expense. Derived from Research and Development Expense less 1Q23, 2Q23, 3Q23. Filing says: 10-K filed 2023-11-03: "bilities were (in millions): 2023 2022 Deferred tax assets: Tax credit carryforwards $ 8,302 $ 6,962 Accrued liabilities and other reserves..."</t>
  </si>
  <si>
    <t>K33</t>
  </si>
  <si>
    <t>ResearchAndDevelopmentExpense=7696mm</t>
  </si>
  <si>
    <t>L33</t>
  </si>
  <si>
    <t>ResearchAndDevelopmentExpense=7903mm</t>
  </si>
  <si>
    <t>M33</t>
  </si>
  <si>
    <t>ResearchAndDevelopmentExpense=8006mm</t>
  </si>
  <si>
    <t>N33</t>
  </si>
  <si>
    <t>ResearchAndDevelopmentExpense=7765mm</t>
  </si>
  <si>
    <t>Grouped from Research and Development Expense (derived Q4). Mapped to EDGAR research, development, technology, or technology/content operating expense. Derived from Research and Development Expense less 1Q24, 2Q24, 3Q24. Filing says: 10-K filed 2024-11-01: "s deferred tax assets and liabilities were (in millions): 2024 2023 Deferred tax assets: Capitalized research and development $ 10,739 $..."</t>
  </si>
  <si>
    <t>P33</t>
  </si>
  <si>
    <t>ResearchAndDevelopmentExpense=8268mm</t>
  </si>
  <si>
    <t>Q33</t>
  </si>
  <si>
    <t>ResearchAndDevelopmentExpense=8550mm</t>
  </si>
  <si>
    <t>R33</t>
  </si>
  <si>
    <t>ResearchAndDevelopmentExpense=8866mm</t>
  </si>
  <si>
    <t>S33</t>
  </si>
  <si>
    <t>Grouped from Research and Development Expense (derived Q4). Mapped to EDGAR research, development, technology, or technology/content operating expense. Derived from Research and Development Expense less 1Q25, 2Q25, 3Q25. Filing says: 10-K filed 2025-10-31: "ax assets and liabilities were as follows (in millions): 2025 2024 Deferred tax assets: Capitalized research and development $ 15,041 $..."</t>
  </si>
  <si>
    <t>U33</t>
  </si>
  <si>
    <t>ResearchAndDevelopmentExpense=10887mm</t>
  </si>
  <si>
    <t>V33</t>
  </si>
  <si>
    <t>ResearchAndDevelopmentExpense=11419mm</t>
  </si>
  <si>
    <t>F34</t>
  </si>
  <si>
    <t>IncomeStatementDepreciationAmortizationNotReported=0mm</t>
  </si>
  <si>
    <t>IncomeStatementDepreciationAmortizationNotReported</t>
  </si>
  <si>
    <t>warning: Value is a zero/derived model support value with no direct SEC fact.</t>
  </si>
  <si>
    <t>Grouped from income Statement Depreciation Amortization Not Reported. Set to zero because no standalone income-statement D&amp;A expense line was reported. Cash-flow D&amp;A disclosures are often embedded in cost of revenue, fulfillment, SG&amp;A,... Filing says: 10-Q filed 2023-02-03: "IONS (Unaudited) (In millions, except number of shares which are reflected in thousands and per share amounts) Three Months Ended December..." SEC validation: Value is a zero/derived model support value with no direct SEC fact.</t>
  </si>
  <si>
    <t>G34</t>
  </si>
  <si>
    <t>Grouped from income Statement Depreciation Amortization Not Reported. Set to zero because no standalone income-statement D&amp;A expense line was reported. Cash-flow D&amp;A disclosures are often embedded in cost of revenue, fulfillment, SG&amp;A,... Filing says: 10-Q filed 2023-05-05: "vices 20,907 19,821 41,673 39,337 Total net sales 94,836 97,278 211,990 221,223 Cost of sales: Products 46,795 49,290 107,560 113,599..." SEC validation: Value is a zero/derived model support value with no direct SEC fact.</t>
  </si>
  <si>
    <t>H34</t>
  </si>
  <si>
    <t>Grouped from income Statement Depreciation Amortization Not Reported. Set to zero because no standalone income-statement D&amp;A expense line was reported. Cash-flow D&amp;A disclosures are often embedded in cost of revenue, fulfillment, SG&amp;A,... Filing says: 10-Q filed 2023-08-04: "ces 21,213 19,604 62,886 58,941 Total net sales 81,797 82,959 293,787 304,182 Cost of sales: Products 39,136 41,485 146,696 155,084 Services..." SEC validation: Value is a zero/derived model support value with no direct SEC fact.</t>
  </si>
  <si>
    <t>I34</t>
  </si>
  <si>
    <t>Replaced a stale model bridge formula with the EDGAR-supported value. SEC validation: Value is a zero/derived model support value with no direct SEC fact.</t>
  </si>
  <si>
    <t>K34</t>
  </si>
  <si>
    <t>Grouped from income Statement Depreciation Amortization Not Reported. Set to zero because no standalone income-statement D&amp;A expense line was reported. Cash-flow D&amp;A disclosures are often embedded in cost of revenue, fulfillment, SG&amp;A,... Filing says: 10-Q filed 2024-02-02: "ONS (Unaudited) (In millions, except number of shares, which are reflected in thousands, and per-share amounts) Three Months Ended December..." SEC validation: Value is a zero/derived model support value with no direct SEC fact.</t>
  </si>
  <si>
    <t>L34</t>
  </si>
  <si>
    <t>Grouped from income Statement Depreciation Amortization Not Reported. Set to zero because no standalone income-statement D&amp;A expense line was reported. Cash-flow D&amp;A disclosures are often embedded in cost of revenue, fulfillment, SG&amp;A,... Filing says: 10-Q filed 2024-05-03: "vices 23,867 20,907 46,984 41,673 Total net sales 90,753 94,836 210,328 211,990 Cost of sales: Products 42,424 46,795 100,864 107,560..." SEC validation: Value is a zero/derived model support value with no direct SEC fact.</t>
  </si>
  <si>
    <t>M34</t>
  </si>
  <si>
    <t>Grouped from income Statement Depreciation Amortization Not Reported. Set to zero because no standalone income-statement D&amp;A expense line was reported. Cash-flow D&amp;A disclosures are often embedded in cost of revenue, fulfillment, SG&amp;A,... Filing says: 10-Q filed 2024-08-02: "ces 24,213 21,213 71,197 62,886 Total net sales 85,777 81,797 296,105 293,787 Cost of sales: Products 39,803 39,136 140,667 146,696 Services..." SEC validation: Value is a zero/derived model support value with no direct SEC fact.</t>
  </si>
  <si>
    <t>N34</t>
  </si>
  <si>
    <t>Grouped from income Statement Depreciation Amortization Not Reported. Set to zero because no standalone income-statement D&amp;A expense line was reported. Cash-flow D&amp;A disclosures are often embedded in cost of revenue, fulfillment, SG&amp;A,... Filing says: 10-K filed 2024-11-01: "s deferred tax assets and liabilities were (in millions): 2024 2023 Deferred tax assets: Capitalized research and development $ 10,739 $..." SEC validation: Value is a zero/derived model support value with no direct SEC fact.</t>
  </si>
  <si>
    <t>P34</t>
  </si>
  <si>
    <t>Q34</t>
  </si>
  <si>
    <t>R34</t>
  </si>
  <si>
    <t>S34</t>
  </si>
  <si>
    <t>Grouped from income Statement Depreciation Amortization Not Reported. Set to zero because no standalone income-statement D&amp;A expense line was reported. Cash-flow D&amp;A disclosures are often embedded in cost of revenue, fulfillment, SG&amp;A,... Filing says: 10-K filed 2025-10-31: "ax assets and liabilities were as follows (in millions): 2025 2024 Deferred tax assets: Capitalized research and development $ 15,041 $..." SEC validation: Value is a zero/derived model support value with no direct SEC fact.</t>
  </si>
  <si>
    <t>U34</t>
  </si>
  <si>
    <t>Grouped from income Statement Depreciation Amortization Not Reported. Set to zero because no standalone income-statement D&amp;A expense line was reported. Cash-flow D&amp;A disclosures are often embedded in cost of revenue, fulfillment, SG&amp;A,... Filing says: 10-Q filed 2026-01-30: "NS (Unaudited) (In millions, except number of shares, which are reflected in thousands, and per-share amounts) Three Months Ended December..." SEC validation: Value is a zero/derived model support value with no direct SEC fact.</t>
  </si>
  <si>
    <t>V34</t>
  </si>
  <si>
    <t>Grouped from income Statement Depreciation Amortization Not Reported. Set to zero because no standalone income-statement D&amp;A expense line was reported. Cash-flow D&amp;A disclosures are often embedded in cost of revenue, fulfillment, SG&amp;A,... Filing says: 10-Q filed 2026-05-01: "es 30,976 26,645 60,989 52,985 Total net sales 111,184 95,359 254,940 219,659 Cost of sales: Products 49,179 44,030 116,657 103,477 Services..." SEC validation: Value is a zero/derived model support value with no direct SEC fact.</t>
  </si>
  <si>
    <t>F35</t>
  </si>
  <si>
    <t>OperatingIncomeLoss=36016mm; GrossProfit=50332mm; SellingGeneralAndAdministrativeExpense=6607mm; ResearchAndDevelopmentExpense=7709mm; IncomeStatementDepreciationAmortizationNotReported=0mm</t>
  </si>
  <si>
    <t>Operating Income (Loss); Gross Profit; Selling, General and Administrative Expense; Research and Development Expense; IncomeStatementDepreciationAmortizationNotReported</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</si>
  <si>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2023-02-03: "IONS (Unaudited) (In millions, except number of shares which are reflected in thousands and per share amounts) Three Months Ended December..."</t>
  </si>
  <si>
    <t>G35</t>
  </si>
  <si>
    <t>OperatingIncomeLoss=28318mm; GrossProfit=41976mm; SellingGeneralAndAdministrativeExpense=6201mm; ResearchAndDevelopmentExpense=7457mm;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</si>
  <si>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2023-05-05: "vices 20,907 19,821 41,673 39,337 Total net sales 94,836 97,278 211,990 221,223 Cost of sales: Products 46,795 49,290 107,560 113,599..."</t>
  </si>
  <si>
    <t>H35</t>
  </si>
  <si>
    <t>OperatingIncomeLoss=22998mm; GrossProfit=36413mm; SellingGeneralAndAdministrativeExpense=5973mm; ResearchAndDevelopmentExpense=7442mm;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</si>
  <si>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2023-08-04: "ces 21,213 19,604 62,886 58,941 Total net sales 81,797 82,959 293,787 304,182 Cost of sales: Products 39,136 41,485 146,696 155,084 Services..."</t>
  </si>
  <si>
    <t>I35</t>
  </si>
  <si>
    <t>OperatingIncomeLoss=26969mm; GrossProfit=40427mm; SellingGeneralAndAdministrativeExpense=6151mm; ResearchAndDevelopmentExpense=7307mm; IncomeStatementDepreciationAmortizationNotReported=0mm</t>
  </si>
  <si>
    <t>Operating Income (Loss) (derived Q4); Gross Profit (derived Q4); Selling, General and Administrative Expense (derived Q4); Research and Development Expense (derived Q4); IncomeStatementDepreciationAmortizationNotReported</t>
  </si>
  <si>
    <t>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1Q23, 2Q23, 3Q23. Filing says: 10-K filed 2023-11-03: "y by increases in headcount-related expenses. Selling, General and Administrative Selling, general and administrative expense was relatively..."</t>
  </si>
  <si>
    <t>K35</t>
  </si>
  <si>
    <t>OperatingIncomeLoss=40373mm; GrossProfit=54855mm; SellingGeneralAndAdministrativeExpense=6786mm; ResearchAndDevelopmentExpense=7696mm;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</si>
  <si>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2024-02-02: "ONS (Unaudited) (In millions, except number of shares, which are reflected in thousands, and per-share amounts) Three Months Ended December..."</t>
  </si>
  <si>
    <t>L35</t>
  </si>
  <si>
    <t>OperatingIncomeLoss=27900mm; GrossProfit=42271mm; SellingGeneralAndAdministrativeExpense=6468mm; ResearchAndDevelopmentExpense=7903mm;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</si>
  <si>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2024-05-03: "vices 23,867 20,907 46,984 41,673 Total net sales 90,753 94,836 210,328 211,990 Cost of sales: Products 42,424 46,795 100,864 107,560..."</t>
  </si>
  <si>
    <t>M35</t>
  </si>
  <si>
    <t>OperatingIncomeLoss=25352mm; GrossProfit=39678mm; SellingGeneralAndAdministrativeExpense=6320mm; ResearchAndDevelopmentExpense=8006mm;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</si>
  <si>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2024-08-02: "ces 24,213 21,213 71,197 62,886 Total net sales 85,777 81,797 296,105 293,787 Cost of sales: Products 39,803 39,136 140,667 146,696 Services..."</t>
  </si>
  <si>
    <t>N35</t>
  </si>
  <si>
    <t>OperatingIncomeLoss=29591mm; GrossProfit=43879mm; SellingGeneralAndAdministrativeExpense=6523mm; ResearchAndDevelopmentExpense=7765mm; IncomeStatementDepreciationAmortizationNotReported=0mm</t>
  </si>
  <si>
    <t>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1Q24, 2Q24, 3Q24. Filing says: 10-K filed 2024-11-01: "creases in headcount-related expenses. Selling, General and Administrative Selling, general and administrative expense increased $1.2..."</t>
  </si>
  <si>
    <t>P35</t>
  </si>
  <si>
    <t>OperatingIncomeLoss=42832mm; GrossProfit=58275mm; SellingGeneralAndAdministrativeExpense=7175mm; ResearchAndDevelopmentExpense=8268mm;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</si>
  <si>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2025-01-31: "ONS (Unaudited) (In millions, except number of shares, which are reflected in thousands, and per-share amounts) Three Months Ended December..."</t>
  </si>
  <si>
    <t>Q35</t>
  </si>
  <si>
    <t>OperatingIncomeLoss=29589mm; GrossProfit=44867mm; SellingGeneralAndAdministrativeExpense=6728mm; ResearchAndDevelopmentExpense=8550mm;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</si>
  <si>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2025-05-02: "ices 26,645 23,867 52,985 46,984 Total net sales 95,359 90,753 219,659 210,328 Cost of sales: Products 44,030 42,424 103,477 100,864..."</t>
  </si>
  <si>
    <t>R35</t>
  </si>
  <si>
    <t>OperatingIncomeLoss=28202mm; GrossProfit=43718mm; SellingGeneralAndAdministrativeExpense=6650mm; ResearchAndDevelopmentExpense=8866mm;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</si>
  <si>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2025-08-01: "ces 27,423 24,213 80,408 71,197 Total net sales 94,036 85,777 313,695 296,105 Cost of sales: Products 43,620 39,803 147,097 140,667 Services..."</t>
  </si>
  <si>
    <t>S35</t>
  </si>
  <si>
    <t>OperatingIncomeLoss=32427mm; GrossProfit=48341mm; SellingGeneralAndAdministrativeExpense=7048mm; ResearchAndDevelopmentExpense=8866mm; IncomeStatementDepreciationAmortizationNotReported=0mm</t>
  </si>
  <si>
    <t>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1Q25, 2Q25, 3Q25. Filing says: 10-K filed 2025-10-31: "in selling, general and administrative expense during 2025 compared to 2024 was primarily driven by increases in headcount-related expenses..."</t>
  </si>
  <si>
    <t>U35</t>
  </si>
  <si>
    <t>OperatingIncomeLoss=50852mm; GrossProfit=69231mm; SellingGeneralAndAdministrativeExpense=7492mm; ResearchAndDevelopmentExpense=10887mm;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</si>
  <si>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2026-01-30: "NS (Unaudited) (In millions, except number of shares, which are reflected in thousands, and per-share amounts) Three Months Ended December..."</t>
  </si>
  <si>
    <t>V35</t>
  </si>
  <si>
    <t>OperatingIncomeLoss=35885mm; GrossProfit=54781mm; SellingGeneralAndAdministrativeExpense=7477mm; ResearchAndDevelopmentExpense=11419mm;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</si>
  <si>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2026-05-01: "es 30,976 26,645 60,989 52,985 Total net sales 111,184 95,359 254,940 219,659 Cost of sales: Products 49,179 44,030 116,657 103,477 Services..."</t>
  </si>
  <si>
    <t>F39</t>
  </si>
  <si>
    <t>InterestExpense=1003mm</t>
  </si>
  <si>
    <t>Included SEC interest expense, including operating interest expense when that is the company's presentation.</t>
  </si>
  <si>
    <t>G39</t>
  </si>
  <si>
    <t>InterestExpense=930mm</t>
  </si>
  <si>
    <t>H39</t>
  </si>
  <si>
    <t>InterestExpense=998mm</t>
  </si>
  <si>
    <t>I39</t>
  </si>
  <si>
    <t>InterestExpense=1002mm</t>
  </si>
  <si>
    <t>Interest Expense (derived Q4)</t>
  </si>
  <si>
    <t>Q39</t>
  </si>
  <si>
    <t>preserved</t>
  </si>
  <si>
    <t>existing formula cell</t>
  </si>
  <si>
    <t>low</t>
  </si>
  <si>
    <t>formula_preserved</t>
  </si>
  <si>
    <t>Formula preserved; EDGAR value was not written over an existing model formula.</t>
  </si>
  <si>
    <t>V39</t>
  </si>
  <si>
    <t>F41</t>
  </si>
  <si>
    <t>OtherNonoperatingIncomeExpense=-258mm</t>
  </si>
  <si>
    <t>Other Nonoperating Income (Expense)</t>
  </si>
  <si>
    <t>G41</t>
  </si>
  <si>
    <t>OtherNonoperatingIncomeExpense=76mm</t>
  </si>
  <si>
    <t>H41</t>
  </si>
  <si>
    <t>OtherNonoperatingIncomeExpense=-247mm</t>
  </si>
  <si>
    <t>I41</t>
  </si>
  <si>
    <t>OtherNonoperatingIncomeExpense=47mm</t>
  </si>
  <si>
    <t>Other Nonoperating Income (Expense) (derived Q4)</t>
  </si>
  <si>
    <t>Derived from Other Nonoperating Income (Expense) less 1Q23, 2Q23, 3Q23. Filing says: 10-K filed 2023-11-03: "y by increases in headcount-related expenses. Selling, General and Administrative Selling, general and administrative expense was relatively..."</t>
  </si>
  <si>
    <t>S41</t>
  </si>
  <si>
    <t>OtherNonoperatingIncomeExpense; OtherIncome; OtherExpense</t>
  </si>
  <si>
    <t>F44</t>
  </si>
  <si>
    <t>IncomeTaxExpenseBenefit=5625mm</t>
  </si>
  <si>
    <t>Income Tax Expense (Benefit)</t>
  </si>
  <si>
    <t>Mapped to EDGAR income tax expense/benefit using the model's negative-expense sign convention.</t>
  </si>
  <si>
    <t>G44</t>
  </si>
  <si>
    <t>IncomeTaxExpenseBenefit=4222mm</t>
  </si>
  <si>
    <t>H44</t>
  </si>
  <si>
    <t>IncomeTaxExpenseBenefit=2852mm</t>
  </si>
  <si>
    <t>I44</t>
  </si>
  <si>
    <t>IncomeTaxExpenseBenefit=4042mm</t>
  </si>
  <si>
    <t>Income Tax Expense (Benefit) (derived Q4)</t>
  </si>
  <si>
    <t>K44</t>
  </si>
  <si>
    <t>IncomeTaxExpenseBenefit=6407mm</t>
  </si>
  <si>
    <t>L44</t>
  </si>
  <si>
    <t>IncomeTaxExpenseBenefit=4422mm</t>
  </si>
  <si>
    <t>M44</t>
  </si>
  <si>
    <t>IncomeTaxExpenseBenefit=4046mm</t>
  </si>
  <si>
    <t>N44</t>
  </si>
  <si>
    <t>IncomeTaxExpenseBenefit=14874mm</t>
  </si>
  <si>
    <t>Mapped to EDGAR income tax expense/benefit using the model's negative-expense sign convention. Derived from Income Tax Expense (Benefit) less 1Q24, 2Q24, 3Q24. Filing says: 10-K filed 2024-11-01: "creases in headcount-related expenses. Selling, General and Administrative Selling, general and administrative expense increased $1.2..."</t>
  </si>
  <si>
    <t>P44</t>
  </si>
  <si>
    <t>IncomeTaxExpenseBenefit=6254mm</t>
  </si>
  <si>
    <t>Q44</t>
  </si>
  <si>
    <t>IncomeTaxExpenseBenefit=4530mm</t>
  </si>
  <si>
    <t>R44</t>
  </si>
  <si>
    <t>IncomeTaxExpenseBenefit=4597mm</t>
  </si>
  <si>
    <t>S44</t>
  </si>
  <si>
    <t>IncomeTaxExpenseBenefit=5338mm</t>
  </si>
  <si>
    <t>Mapped to EDGAR income tax expense/benefit using the model's negative-expense sign convention. Derived from Income Tax Expense (Benefit) less 1Q25, 2Q25, 3Q25. Filing says: 10-K filed 2025-10-31: "in selling, general and administrative expense during 2025 compared to 2024 was primarily driven by increases in headcount-related expenses..."</t>
  </si>
  <si>
    <t>U44</t>
  </si>
  <si>
    <t>IncomeTaxExpenseBenefit=8905mm</t>
  </si>
  <si>
    <t>V44</t>
  </si>
  <si>
    <t>IncomeTaxExpenseBenefit=6255mm</t>
  </si>
  <si>
    <t>F47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</si>
  <si>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</si>
  <si>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</si>
  <si>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2023-02-03: "ree Months Ended December 31, 2022 December 25, 2021 Cash, cash equivalents and restricted cash, beginning balances $ 24,977 $ 35,929..." SEC validation: Value is a zero/derived model support value with no direct SEC fact.</t>
  </si>
  <si>
    <t>G47</t>
  </si>
  <si>
    <t>Grouped from Pre Tax Adjustments Not Reported. No EDGAR-supported pre-tax adjustment item was reported for this period, so the adjusted net income bridge uses zero instead of preserving stale model hardcodes. Filing says: 10-Q filed 2023-05-05: "lions) Six Months Ended April 1, 2023 March 26, 2022 Cash, cash equivalents and restricted cash, beginning balances $ 24,977 $ 35,929..." SEC validation: Value is a zero/derived model support value with no direct SEC fact.</t>
  </si>
  <si>
    <t>H47</t>
  </si>
  <si>
    <t>Grouped from Pre Tax Adjustments Not Reported. No EDGAR-supported pre-tax adjustment item was reported for this period, so the adjusted net income bridge uses zero instead of preserving stale model hardcodes. Filing says: 10-Q filed 2023-08-04: "llions) Nine Months Ended July 1, 2023 June 25, 2022 Cash, cash equivalents and restricted cash, beginning balances $ 24,977 $ 35,929..." SEC validation: Value is a zero/derived model support value with no direct SEC fact.</t>
  </si>
  <si>
    <t>I47</t>
  </si>
  <si>
    <t>Grouped from Pre Tax Adjustments Not Reported. No EDGAR-supported pre-tax adjustment item was reported for this period, so the adjusted net income bridge uses zero instead of preserving stale model hardcodes. Filing says: 10-K filed 2023-11-03: "y by increases in headcount-related expenses. Selling, General and Administrative Selling, general and administrative expense was relatively..." SEC validation: Value is a zero/derived model support value with no direct SEC fact.</t>
  </si>
  <si>
    <t>K47</t>
  </si>
  <si>
    <t>Grouped from Pre Tax Adjustments Not Reported. No EDGAR-supported pre-tax adjustment item was reported for this period, so the adjusted net income bridge uses zero instead of preserving stale model hardcodes. Filing says: 10-Q filed 2024-02-02: "ree Months Ended December 30, 2023 December 31, 2022 Cash, cash equivalents and restricted cash, beginning balances $ 30,737 $ 24,977..." SEC validation: Value is a zero/derived model support value with no direct SEC fact.</t>
  </si>
  <si>
    <t>L47</t>
  </si>
  <si>
    <t>Grouped from Pre Tax Adjustments Not Reported. No EDGAR-supported pre-tax adjustment item was reported for this period, so the adjusted net income bridge uses zero instead of preserving stale model hardcodes. Filing says: 10-Q filed 2024-05-03: "lions) Six Months Ended March 30, 2024 April 1, 2023 Cash, cash equivalents and restricted cash, beginning balances $ 30,737 $ 24,977..." SEC validation: Value is a zero/derived model support value with no direct SEC fact.</t>
  </si>
  <si>
    <t>M47</t>
  </si>
  <si>
    <t>Grouped from Pre Tax Adjustments Not Reported. No EDGAR-supported pre-tax adjustment item was reported for this period, so the adjusted net income bridge uses zero instead of preserving stale model hardcodes. Filing says: 10-Q filed 2024-08-02: "llions) Nine Months Ended June 29, 2024 July 1, 2023 Cash, cash equivalents and restricted cash, beginning balances $ 30,737 $ 24,977..." SEC validation: Value is a zero/derived model support value with no direct SEC fact.</t>
  </si>
  <si>
    <t>N47</t>
  </si>
  <si>
    <t>Grouped from Pre Tax Adjustments Not Reported. No EDGAR-supported pre-tax adjustment item was reported for this period, so the adjusted net income bridge uses zero instead of preserving stale model hardcodes. Filing says: 10-K filed 2024-11-01: "creases in headcount-related expenses. Selling, General and Administrative Selling, general and administrative expense increased $1.2..." SEC validation: Value is a zero/derived model support value with no direct SEC fact.</t>
  </si>
  <si>
    <t>P47</t>
  </si>
  <si>
    <t>Grouped from Pre Tax Adjustments Not Reported. No EDGAR-supported pre-tax adjustment item was reported for this period, so the adjusted net income bridge uses zero instead of preserving stale model hardcodes. Filing says: 10-Q filed 2025-01-31: "ber 28, 2024 December 30, 2023 Cash, cash equivalents, and restricted cash and cash equivalents, beginning balances $ 29,943 $ 30,737..." SEC validation: Value is a zero/derived model support value with no direct SEC fact.</t>
  </si>
  <si>
    <t>Q47</t>
  </si>
  <si>
    <t>Grouped from Pre Tax Adjustments Not Reported. No EDGAR-supported pre-tax adjustment item was reported for this period, so the adjusted net income bridge uses zero instead of preserving stale model hardcodes. Filing says: 10-Q filed 2025-05-02: "March 29, 2025 March 30, 2024 Cash, cash equivalents, and restricted cash and cash equivalents, beginning balances $ 29,943 $ 30,737..." SEC validation: Value is a zero/derived model support value with no direct SEC fact.</t>
  </si>
  <si>
    <t>R47</t>
  </si>
  <si>
    <t>Grouped from Pre Tax Adjustments Not Reported. No EDGAR-supported pre-tax adjustment item was reported for this period, so the adjusted net income bridge uses zero instead of preserving stale model hardcodes. Filing says: 10-Q filed 2025-08-01: "ed June 28, 2025 June 29, 2024 Cash, cash equivalents, and restricted cash and cash equivalents, beginning balances $ 29,943 $ 30,737..." SEC validation: Value is a zero/derived model support value with no direct SEC fact.</t>
  </si>
  <si>
    <t>S47</t>
  </si>
  <si>
    <t>Grouped from Pre Tax Adjustments Not Reported. No EDGAR-supported pre-tax adjustment item was reported for this period, so the adjusted net income bridge uses zero instead of preserving stale model hardcodes. Filing says: 10-K filed 2025-10-31: "in selling, general and administrative expense during 2025 compared to 2024 was primarily driven by increases in headcount-related expenses..." SEC validation: Value is a zero/derived model support value with no direct SEC fact.</t>
  </si>
  <si>
    <t>U47</t>
  </si>
  <si>
    <t>Grouped from Pre Tax Adjustments Not Reported. No EDGAR-supported pre-tax adjustment item was reported for this period, so the adjusted net income bridge uses zero instead of preserving stale model hardcodes. Filing says: 10-Q filed 2026-01-30: "ber 27, 2025 December 28, 2024 Cash, cash equivalents, and restricted cash and cash equivalents, beginning balances $ 35,934 $ 29,943..." SEC validation: Value is a zero/derived model support value with no direct SEC fact.</t>
  </si>
  <si>
    <t>V47</t>
  </si>
  <si>
    <t>Grouped from Pre Tax Adjustments Not Reported. No EDGAR-supported pre-tax adjustment item was reported for this period, so the adjusted net income bridge uses zero instead of preserving stale model hardcodes. Filing says: 10-Q filed 2026-05-01: "March 28, 2026 March 29, 2025 Cash, cash equivalents, and restricted cash and cash equivalents, beginning balances $ 35,934 $ 29,943..." SEC validation: Value is a zero/derived model support value with no direct SEC fact.</t>
  </si>
  <si>
    <t>F48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</si>
  <si>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</si>
  <si>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</si>
  <si>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2023-02-03: "s of the respective vesting dates of RSUs was $ 6.8 billion and $ 8.5 billion for the three months ended December 31, 2022 and December 25,..." SEC validation: Value is a zero/derived model support value with no direct SEC fact.</t>
  </si>
  <si>
    <t>G48</t>
  </si>
  <si>
    <t>Grouped from Post Tax Adjustments Not Reported. No EDGAR-supported post-tax adjustment item was reported for this period, so the adjusted net income bridge uses zero instead of preserving stale model hardcodes. Filing says: 10-Q filed 2023-05-05: "nth periods ended April 1, 2023, respectively, and was $ 1.0 billion and $ 9.5 billion for the three- and six-month periods ended March 26,..." SEC validation: Value is a zero/derived model support value with no direct SEC fact.</t>
  </si>
  <si>
    <t>H48</t>
  </si>
  <si>
    <t>I48</t>
  </si>
  <si>
    <t>Grouped from Post Tax Adjustments Not Reported. No EDGAR-supported post-tax adjustment item was reported for this period, so the adjusted net income bridge uses zero instead of preserving stale model hardcodes. Filing says: 10-K filed 2023-11-03: "insolvency. Adverse economic conditions can also lead to increased credit and collectibility risk on the Company’s trade receivables; the..." SEC validation: Value is a zero/derived model support value with no direct SEC fact.</t>
  </si>
  <si>
    <t>K48</t>
  </si>
  <si>
    <t>Grouped from Post Tax Adjustments Not Reported. No EDGAR-supported post-tax adjustment item was reported for this period, so the adjusted net income bridge uses zero instead of preserving stale model hardcodes. Filing says: 10-Q filed 2024-02-02: "RSUs was $ 7.7 billion and $ 6.8 billion for the three months ended December 30, 2023 and December 31, 2022, respectively. Apple Inc. | Q1..." SEC validation: Value is a zero/derived model support value with no direct SEC fact.</t>
  </si>
  <si>
    <t>L48</t>
  </si>
  <si>
    <t>Grouped from Post Tax Adjustments Not Reported. No EDGAR-supported post-tax adjustment item was reported for this period, so the adjusted net income bridge uses zero instead of preserving stale model hardcodes. Filing says: 10-Q filed 2024-05-03: "spectively, and was $ 1.1 billion and $ 8.0 billion for the three- and six-month periods ended April 1, 2023, respectively. Apple Inc. | Q2..." SEC validation: Value is a zero/derived model support value with no direct SEC fact.</t>
  </si>
  <si>
    <t>M48</t>
  </si>
  <si>
    <t>Grouped from Post Tax Adjustments Not Reported. No EDGAR-supported post-tax adjustment item was reported for this period, so the adjusted net income bridge uses zero instead of preserving stale model hardcodes. Filing says: 10-Q filed 2024-08-02: "nth periods ended June 29, 2024, respectively, and was $ 7.0 billion and $ 14.9 billion for the three- and nine-month periods ended July 1,..." SEC validation: Value is a zero/derived model support value with no direct SEC fact.</t>
  </si>
  <si>
    <t>N48</t>
  </si>
  <si>
    <t>Grouped from Post Tax Adjustments Not Reported. No EDGAR-supported post-tax adjustment item was reported for this period, so the adjusted net income bridge uses zero instead of preserving stale model hardcodes. Filing says: 10-K filed 2024-11-01: "insolvency. Adverse economic conditions can also lead to increased credit and collectibility risk on the Company’s trade receivables; the..." SEC validation: Value is a zero/derived model support value with no direct SEC fact.</t>
  </si>
  <si>
    <t>P48</t>
  </si>
  <si>
    <t>Grouped from Post Tax Adjustments Not Reported. No EDGAR-supported post-tax adjustment item was reported for this period, so the adjusted net income bridge uses zero instead of preserving stale model hardcodes. Filing says: 10-Q filed 2025-01-31: "The total vesting-date fair value of RSUs was $ 8.4 billion and $ 7.7 billion for the three months ended December 28, 2024 and December 30,..." SEC validation: Value is a zero/derived model support value with no direct SEC fact.</t>
  </si>
  <si>
    <t>Q48</t>
  </si>
  <si>
    <t>Grouped from Post Tax Adjustments Not Reported. No EDGAR-supported post-tax adjustment item was reported for this period, so the adjusted net income bridge uses zero instead of preserving stale model hardcodes. Filing says: 10-Q filed 2025-05-02: "th periods ended March 29, 2025, respectively, and was $ 821 million and $ 8.6 billion for the three- and six-month periods ended March 30,..." SEC validation: Value is a zero/derived model support value with no direct SEC fact.</t>
  </si>
  <si>
    <t>R48</t>
  </si>
  <si>
    <t>Grouped from Post Tax Adjustments Not Reported. No EDGAR-supported post-tax adjustment item was reported for this period, so the adjusted net income bridge uses zero instead of preserving stale model hardcodes. Filing says: 10-Q filed 2025-08-01: "ectively, and was $ 6.4 billion and $ 15.0 billion for the three- and nine-month periods ended June 29, 2024, respectively. Apple Inc. | Q3..." SEC validation: Value is a zero/derived model support value with no direct SEC fact.</t>
  </si>
  <si>
    <t>S48</t>
  </si>
  <si>
    <t>Grouped from Post Tax Adjustments Not Reported. No EDGAR-supported post-tax adjustment item was reported for this period, so the adjusted net income bridge uses zero instead of preserving stale model hardcodes. Filing says: 10-K filed 2025-10-31: "insolvency. Adverse economic conditions can also lead to increased credit and collectibility risk on the Company’s trade receivables; the..." SEC validation: Value is a zero/derived model support value with no direct SEC fact.</t>
  </si>
  <si>
    <t>U48</t>
  </si>
  <si>
    <t>Grouped from Post Tax Adjustments Not Reported. No EDGAR-supported post-tax adjustment item was reported for this period, so the adjusted net income bridge uses zero instead of preserving stale model hardcodes. Filing says: 10-Q filed 2026-01-30: "RSUs was $ 8.6 billion and $ 8.4 billion for the three months ended December 27, 2025 and December 28, 2024, respectively. Apple Inc. | Q1..." SEC validation: Value is a zero/derived model support value with no direct SEC fact.</t>
  </si>
  <si>
    <t>V48</t>
  </si>
  <si>
    <t>Grouped from Post Tax Adjustments Not Reported. No EDGAR-supported post-tax adjustment item was reported for this period, so the adjusted net income bridge uses zero instead of preserving stale model hardcodes. Filing says: 10-Q filed 2026-05-01: "ectively, and was $ 9.5 billion and $ 9.3 billion for the six months ended March 28, 2026 and March 29, 2025, respectively. Apple Inc. | Q2..." SEC validation: Value is a zero/derived model support value with no direct SEC fact.</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</si>
  <si>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</si>
  <si>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</si>
  <si>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</si>
  <si>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2023-02-03: "fair value of derivative instruments ( 988 ) 362 Adjustment for net (gains)/losses realized and included in net income ( 1,766 ) 93 Total..." SEC validation: Value is a zero/derived model support value with no direct SEC fact.</t>
  </si>
  <si>
    <t>G49</t>
  </si>
  <si>
    <t>Grouped from Discontinued Operations Bridge. Set to zero for prior years because the model bridge reconciles common-shareholder income through post-tax adjustments and the NCI plug. Filing says: 10-Q filed 2023-05-05: "34 ( 1,001 ) 696 Adjustment for net (gains)/losses realized and included in net income ( 191 ) ( 301 ) ( 1,957 ) ( 208 ) Total change in..." SEC validation: Value is a zero/derived model support value with no direct SEC fact.</t>
  </si>
  <si>
    <t>H49</t>
  </si>
  <si>
    <t>Grouped from Discontinued Operations Bridge. Set to zero for prior years because the model bridge reconciles common-shareholder income through post-tax adjustments and the NCI plug. Filing says: 10-Q filed 2023-08-04: "ents 509 852 ( 492 ) 1,548 Adjustment for net (gains)/losses realized and included in net income 103 121 ( 1,854 ) ( 87 ) Total change in..." SEC validation: Value is a zero/derived model support value with no direct SEC fact.</t>
  </si>
  <si>
    <t>I49</t>
  </si>
  <si>
    <t>Grouped from Discontinued Operations Bridge. Set to zero for prior years because the model bridge reconciles common-shareholder income through post-tax adjustments and the NCI plug. Filing says: 10-K filed 2023-11-03: "insolvency. Adverse economic conditions can also lead to increased credit and collectibility risk on the Company’s trade receivables; the..." SEC validation: Value is a zero/derived model support value with no direct SEC fact.</t>
  </si>
  <si>
    <t>K49</t>
  </si>
  <si>
    <t>Grouped from Discontinued Operations Bridge. Set to zero for prior years because the model bridge reconciles common-shareholder income through post-tax adjustments and the NCI plug. Filing says: 10-Q filed 2024-02-02: "erivative instruments ( 531 ) ( 988 ) Adjustment for net (gains)/losses realized and included in net income ( 823 ) ( 1,766 ) Total change..." SEC validation: Value is a zero/derived model support value with no direct SEC fact.</t>
  </si>
  <si>
    <t>L49</t>
  </si>
  <si>
    <t>Grouped from Discontinued Operations Bridge. Set to zero for prior years because the model bridge reconciles common-shareholder income through post-tax adjustments and the NCI plug. Filing says: 10-Q filed 2024-05-03: "75 ) ( 1,001 ) Adjustment for net (gains)/losses realized and included in net income 232 ( 191 ) ( 591 ) ( 1,957 ) Total change in..." SEC validation: Value is a zero/derived model support value with no direct SEC fact.</t>
  </si>
  <si>
    <t>M49</t>
  </si>
  <si>
    <t>Grouped from Discontinued Operations Bridge. Set to zero for prior years because the model bridge reconciles common-shareholder income through post-tax adjustments and the NCI plug. Filing says: 10-Q filed 2024-08-02: "406 509 331 ( 492 ) Adjustment for net (gains)/losses realized and included in net income ( 87 ) 103 ( 678 ) ( 1,854 ) Total change in..." SEC validation: Value is a zero/derived model support value with no direct SEC fact.</t>
  </si>
  <si>
    <t>N49</t>
  </si>
  <si>
    <t>Grouped from Discontinued Operations Bridge. Set to zero for prior years because the model bridge reconciles common-shareholder income through post-tax adjustments and the NCI plug. Filing says: 10-K filed 2024-11-01: "insolvency. Adverse economic conditions can also lead to increased credit and collectibility risk on the Company’s trade receivables; the..." SEC validation: Value is a zero/derived model support value with no direct SEC fact.</t>
  </si>
  <si>
    <t>U49</t>
  </si>
  <si>
    <t>Grouped from Discontinued Operations Bridge. Set to zero for prior years because the model bridge reconciles common-shareholder income through post-tax adjustments and the NCI plug. Filing says: 10-Q filed 2026-01-30: "ber 27, 2025 December 28, 2024 Cash, cash equivalents, and restricted cash and cash equivalents, beginning balances $ 35,934 $ 29,943..." SEC validation: Value is a zero/derived model support value with no direct SEC fact.</t>
  </si>
  <si>
    <t>V49</t>
  </si>
  <si>
    <t>Grouped from Discontinued Operations Bridge. Set to zero for prior years because the model bridge reconciles common-shareholder income through post-tax adjustments and the NCI plug. Filing says: 10-Q filed 2026-05-01: "instruments 162 ( 318 ) 373 1,333 Adjustment for net (gains)/losses realized and included in net income 44 ( 628 ) 281 156 Total change in..." SEC validation: Value is a zero/derived model support value with no direct SEC fact.</t>
  </si>
  <si>
    <t>F120</t>
  </si>
  <si>
    <t>CashAndCashEquivalentsAtCarryingValue=20535mm</t>
  </si>
  <si>
    <t>Cash and Cash Equivalents, at Carrying Value</t>
  </si>
  <si>
    <t>balance</t>
  </si>
  <si>
    <t>Replaced a balance-sheet formula with the EDGAR period-end balance so instant values are not derived from prior quarters.</t>
  </si>
  <si>
    <t>G120</t>
  </si>
  <si>
    <t>CashAndCashEquivalentsAtCarryingValue=24687mm</t>
  </si>
  <si>
    <t>H120</t>
  </si>
  <si>
    <t>CashAndCashEquivalentsAtCarryingValue=28408mm</t>
  </si>
  <si>
    <t>I120</t>
  </si>
  <si>
    <t>CashAndCashEquivalentsAtCarryingValue=29965mm</t>
  </si>
  <si>
    <t>K120</t>
  </si>
  <si>
    <t>CashAndCashEquivalentsAtCarryingValue=40760mm</t>
  </si>
  <si>
    <t>L120</t>
  </si>
  <si>
    <t>CashAndCashEquivalentsAtCarryingValue=32695mm</t>
  </si>
  <si>
    <t>M120</t>
  </si>
  <si>
    <t>CashAndCashEquivalentsAtCarryingValue=25565mm</t>
  </si>
  <si>
    <t>N120</t>
  </si>
  <si>
    <t>CashAndCashEquivalentsAtCarryingValue=29943mm</t>
  </si>
  <si>
    <t>P120</t>
  </si>
  <si>
    <t>CashAndCashEquivalentsAtCarryingValue=30299mm</t>
  </si>
  <si>
    <t>Grouped from Cash and Cash Equivalents, at Carrying Value. Filing says: 10-Q filed 2025-01-31: "olidated Financial Statements. Apple Inc. | Q1 2025 Form 10-Q | 2 Apple Inc. CONDENSED CONSOLIDATED BALANCE SHEETS (Unaudited) (In millions,..."</t>
  </si>
  <si>
    <t>Q120</t>
  </si>
  <si>
    <t>CashAndCashEquivalentsAtCarryingValue=28162mm</t>
  </si>
  <si>
    <t>Grouped from Cash and Cash Equivalents, at Carrying Value. Filing says: 10-Q filed 2025-05-02: "onsolidated Financial Statements. Apple Inc. | Q2 2025 Form 10-Q | 2 Apple Inc. CONDENSED CONSOLIDATED BALANCE SHEETS (Unaudited) (In..."</t>
  </si>
  <si>
    <t>R120</t>
  </si>
  <si>
    <t>CashAndCashEquivalentsAtCarryingValue=36269mm</t>
  </si>
  <si>
    <t>Grouped from Cash and Cash Equivalents, at Carrying Value. Filing says: 10-Q filed 2025-08-01: "Consolidated Financial Statements. Apple Inc. | Q3 2025 Form 10-Q | 2 Apple Inc. CONDENSED CONSOLIDATED BALANCE SHEETS (Unaudited) (In..."</t>
  </si>
  <si>
    <t>S120</t>
  </si>
  <si>
    <t>CashAndCashEquivalentsAtCarryingValue=35934mm</t>
  </si>
  <si>
    <t>Grouped from Cash and Cash Equivalents, at Carrying Value. Filing says: 10-K filed 2025-10-31: "987 Non-current assets: Marketable securities 77,723 91,479 Property, plant and equipment, net 49,834 45,680 Other non-current assets 83,727..."</t>
  </si>
  <si>
    <t>U120</t>
  </si>
  <si>
    <t>CashAndCashEquivalentsAtCarryingValue=45317mm</t>
  </si>
  <si>
    <t>V120</t>
  </si>
  <si>
    <t>CashAndCashEquivalentsAtCarryingValue=45572mm</t>
  </si>
  <si>
    <t>F121</t>
  </si>
  <si>
    <t>AccountsReceivableNetCurrent=23752mm</t>
  </si>
  <si>
    <t>Accounts Receivable, after Allowance for Credit Loss, Current</t>
  </si>
  <si>
    <t>Grouped from Accounts Receivable, after Allowance for Credit Loss, Current. Filing says: 10-Q filed 2023-02-03: "ree Months Ended December 31, 2022 December 25, 2021 Cash, cash equivalents and restricted cash, beginning balances $ 24,977 $ 35,929..."</t>
  </si>
  <si>
    <t>G121</t>
  </si>
  <si>
    <t>AccountsReceivableNetCurrent=17936mm</t>
  </si>
  <si>
    <t>Grouped from Accounts Receivable, after Allowance for Credit Loss, Current. Filing says: 10-Q filed 2023-05-05: "lions) Six Months Ended April 1, 2023 March 26, 2022 Cash, cash equivalents and restricted cash, beginning balances $ 24,977 $ 35,929..."</t>
  </si>
  <si>
    <t>H121</t>
  </si>
  <si>
    <t>AccountsReceivableNetCurrent=19549mm</t>
  </si>
  <si>
    <t>Grouped from Accounts Receivable, after Allowance for Credit Loss, Current. Filing says: 10-Q filed 2023-08-04: "llions) Nine Months Ended July 1, 2023 June 25, 2022 Cash, cash equivalents and restricted cash, beginning balances $ 24,977 $ 35,929..."</t>
  </si>
  <si>
    <t>I121</t>
  </si>
  <si>
    <t>AccountsReceivableNetCurrent=29508mm</t>
  </si>
  <si>
    <t>Grouped from Accounts Receivable, after Allowance for Credit Loss, Current. Filing says: 10-K filed 2023-11-03: "bilities were (in millions): 2023 2022 Deferred tax assets: Tax credit carryforwards $ 8,302 $ 6,962 Accrued liabilities and other reserves..."</t>
  </si>
  <si>
    <t>K121</t>
  </si>
  <si>
    <t>AccountsReceivableNetCurrent=23194mm</t>
  </si>
  <si>
    <t>Grouped from Accounts Receivable, after Allowance for Credit Loss, Current. Filing says: 10-Q filed 2024-02-02: "ree Months Ended December 30, 2023 December 31, 2022 Cash, cash equivalents and restricted cash, beginning balances $ 30,737 $ 24,977..."</t>
  </si>
  <si>
    <t>L121</t>
  </si>
  <si>
    <t>AccountsReceivableNetCurrent=21837mm</t>
  </si>
  <si>
    <t>Grouped from Accounts Receivable, after Allowance for Credit Loss, Current. Filing says: 10-Q filed 2024-05-03: "lions) Six Months Ended March 30, 2024 April 1, 2023 Cash, cash equivalents and restricted cash, beginning balances $ 30,737 $ 24,977..."</t>
  </si>
  <si>
    <t>M121</t>
  </si>
  <si>
    <t>AccountsReceivableNetCurrent=22795mm</t>
  </si>
  <si>
    <t>Grouped from Accounts Receivable, after Allowance for Credit Loss, Current. Filing says: 10-Q filed 2024-08-02: "llions) Nine Months Ended June 29, 2024 July 1, 2023 Cash, cash equivalents and restricted cash, beginning balances $ 30,737 $ 24,977..."</t>
  </si>
  <si>
    <t>N121</t>
  </si>
  <si>
    <t>AccountsReceivableNetCurrent=33410mm</t>
  </si>
  <si>
    <t>Grouped from Accounts Receivable, after Allowance for Credit Loss, Current. Filing says: 10-K filed 2024-11-01: "s deferred tax assets and liabilities were (in millions): 2024 2023 Deferred tax assets: Capitalized research and development $ 10,739 $..."</t>
  </si>
  <si>
    <t>P121</t>
  </si>
  <si>
    <t>AccountsReceivableNetCurrent=29639mm</t>
  </si>
  <si>
    <t>Grouped from Accounts Receivable, after Allowance for Credit Loss, Current. Filing says: 10-Q filed 2025-01-31: "ber 28, 2024 December 30, 2023 Cash, cash equivalents, and restricted cash and cash equivalents, beginning balances $ 29,943 $ 30,737..."</t>
  </si>
  <si>
    <t>Q121</t>
  </si>
  <si>
    <t>AccountsReceivableNetCurrent=26136mm</t>
  </si>
  <si>
    <t>Grouped from Accounts Receivable, after Allowance for Credit Loss, Current. Filing says: 10-Q filed 2025-05-02: "March 29, 2025 March 30, 2024 Cash, cash equivalents, and restricted cash and cash equivalents, beginning balances $ 29,943 $ 30,737..."</t>
  </si>
  <si>
    <t>R121</t>
  </si>
  <si>
    <t>AccountsReceivableNetCurrent=27557mm</t>
  </si>
  <si>
    <t>Grouped from Accounts Receivable, after Allowance for Credit Loss, Current. Filing says: 10-Q filed 2025-08-01: "ed June 28, 2025 June 29, 2024 Cash, cash equivalents, and restricted cash and cash equivalents, beginning balances $ 29,943 $ 30,737..."</t>
  </si>
  <si>
    <t>S121</t>
  </si>
  <si>
    <t>AccountsReceivableNetCurrent=39777mm</t>
  </si>
  <si>
    <t>Grouped from Accounts Receivable, after Allowance for Credit Loss, Current. Filing says: 10-K filed 2025-10-31: "ax assets and liabilities were as follows (in millions): 2025 2024 Deferred tax assets: Capitalized research and development $ 15,041 $..."</t>
  </si>
  <si>
    <t>U121</t>
  </si>
  <si>
    <t>AccountsReceivableNetCurrent=39921mm</t>
  </si>
  <si>
    <t>Grouped from Accounts Receivable, after Allowance for Credit Loss, Current. Filing says: 10-Q filed 2026-01-30: "ber 27, 2025 December 28, 2024 Cash, cash equivalents, and restricted cash and cash equivalents, beginning balances $ 35,934 $ 29,943..."</t>
  </si>
  <si>
    <t>V121</t>
  </si>
  <si>
    <t>AccountsReceivableNetCurrent=30339mm</t>
  </si>
  <si>
    <t>Grouped from Accounts Receivable, after Allowance for Credit Loss, Current. Filing says: 10-Q filed 2026-05-01: "March 28, 2026 March 29, 2025 Cash, cash equivalents, and restricted cash and cash equivalents, beginning balances $ 35,934 $ 29,943..."</t>
  </si>
  <si>
    <t>F122</t>
  </si>
  <si>
    <t>InventoryNet=6820mm</t>
  </si>
  <si>
    <t>Inventory, Net</t>
  </si>
  <si>
    <t>G122</t>
  </si>
  <si>
    <t>InventoryNet=7482mm</t>
  </si>
  <si>
    <t>H122</t>
  </si>
  <si>
    <t>InventoryNet=7351mm</t>
  </si>
  <si>
    <t>I122</t>
  </si>
  <si>
    <t>InventoryNet=6331mm</t>
  </si>
  <si>
    <t>K122</t>
  </si>
  <si>
    <t>InventoryNet=6511mm</t>
  </si>
  <si>
    <t>L122</t>
  </si>
  <si>
    <t>InventoryNet=6232mm</t>
  </si>
  <si>
    <t>M122</t>
  </si>
  <si>
    <t>InventoryNet=6165mm</t>
  </si>
  <si>
    <t>N122</t>
  </si>
  <si>
    <t>InventoryNet=7286mm</t>
  </si>
  <si>
    <t>P122</t>
  </si>
  <si>
    <t>InventoryNet=6911mm</t>
  </si>
  <si>
    <t>Q122</t>
  </si>
  <si>
    <t>InventoryNet=6269mm</t>
  </si>
  <si>
    <t>R122</t>
  </si>
  <si>
    <t>InventoryNet=5925mm</t>
  </si>
  <si>
    <t>S122</t>
  </si>
  <si>
    <t>InventoryNet=5718mm</t>
  </si>
  <si>
    <t>U122</t>
  </si>
  <si>
    <t>InventoryNet=5875mm</t>
  </si>
  <si>
    <t>V122</t>
  </si>
  <si>
    <t>InventoryNet=6747mm</t>
  </si>
  <si>
    <t>F123</t>
  </si>
  <si>
    <t>AssetsCurrent=128777mm; CashAndCashEquivalentsAtCarryingValue=20535mm; AccountsReceivableNetCurrent=23752mm; InventoryNet=6820mm</t>
  </si>
  <si>
    <t>Assets, Current; Cash and Cash Equivalents, at Carrying Value; Accounts Receivable, after Allowance for Credit Loss, Current; Inventory, Net</t>
  </si>
  <si>
    <t>Grouped from Assets, Current, Cash and Cash Equivalents, at Carrying Value, Accounts Receivable, after Allowance for Credit Loss, Current, +1 more. Included current assets less separately modeled cash/current investments, receivables, and inventory. Filing says: 10-Q filed 2023-02-03: "nsolidated Financial Statements. Apple Inc. | Q1 2023 Form 10-Q | 2 Apple Inc. CONDENSED CONSOLIDATED BALANCE SHEETS (Unaudited) (In..."</t>
  </si>
  <si>
    <t>G123</t>
  </si>
  <si>
    <t>AssetsCurrent=112913mm; CashAndCashEquivalentsAtCarryingValue=24687mm; AccountsReceivableNetCurrent=17936mm; InventoryNet=7482mm</t>
  </si>
  <si>
    <t>Grouped from Assets, Current, Cash and Cash Equivalents, at Carrying Value, Accounts Receivable, after Allowance for Credit Loss, Current, +1 more. Included current assets less separately modeled cash/current investments, receivables, and inventory. Filing says: 10-Q filed 2023-05-05: "d Consolidated Financial Statements. Apple Inc. | Q2 2023 Form 10-Q | 2 Apple Inc. CONDENSED CONSOLIDATED BALANCE SHEETS (Unaudited) (In..."</t>
  </si>
  <si>
    <t>H123</t>
  </si>
  <si>
    <t>AssetsCurrent=122659mm; CashAndCashEquivalentsAtCarryingValue=28408mm; AccountsReceivableNetCurrent=19549mm; InventoryNet=7351mm</t>
  </si>
  <si>
    <t>Grouped from Assets, Current, Cash and Cash Equivalents, at Carrying Value, Accounts Receivable, after Allowance for Credit Loss, Current, +1 more. Included current assets less separately modeled cash/current investments, receivables, and inventory. Filing says: 10-Q filed 2023-08-04: "ed Consolidated Financial Statements. Apple Inc. | Q3 2023 Form 10-Q | 2 Apple Inc. CONDENSED CONSOLIDATED BALANCE SHEETS (Unaudited) (In..."</t>
  </si>
  <si>
    <t>I123</t>
  </si>
  <si>
    <t>AssetsCurrent=143566mm; CashAndCashEquivalentsAtCarryingValue=29965mm; AccountsReceivableNetCurrent=29508mm; InventoryNet=6331mm</t>
  </si>
  <si>
    <t>Grouped from Assets, Current, Cash and Cash Equivalents, at Carrying Value, Accounts Receivable, after Allowance for Credit Loss, Current, +1 more. Included current assets less separately modeled cash/current investments, receivables, and inventory. Filing says: 10-K filed 2023-11-03: "bilities were (in millions): 2023 2022 Deferred tax assets: Tax credit carryforwards $ 8,302 $ 6,962 Accrued liabilities and other reserves..."</t>
  </si>
  <si>
    <t>K123</t>
  </si>
  <si>
    <t>AssetsCurrent=143692mm; CashAndCashEquivalentsAtCarryingValue=40760mm; AccountsReceivableNetCurrent=23194mm; InventoryNet=6511mm</t>
  </si>
  <si>
    <t>Grouped from Assets, Current, Cash and Cash Equivalents, at Carrying Value, Accounts Receivable, after Allowance for Credit Loss, Current, +1 more. Included current assets less separately modeled cash/current investments, receivables, and inventory. Filing says: 10-Q filed 2024-02-02: "olidated Financial Statements. Apple Inc. | Q1 2024 Form 10-Q | 2 Apple Inc. CONDENSED CONSOLIDATED BALANCE SHEETS (Unaudited) (In millions,..."</t>
  </si>
  <si>
    <t>L123</t>
  </si>
  <si>
    <t>AssetsCurrent=128416mm; CashAndCashEquivalentsAtCarryingValue=32695mm; AccountsReceivableNetCurrent=21837mm; InventoryNet=6232mm</t>
  </si>
  <si>
    <t>Grouped from Assets, Current, Cash and Cash Equivalents, at Carrying Value, Accounts Receivable, after Allowance for Credit Loss, Current, +1 more. Included current assets less separately modeled cash/current investments, receivables, and inventory. Filing says: 10-Q filed 2024-05-03: "onsolidated Financial Statements. Apple Inc. | Q2 2024 Form 10-Q | 2 Apple Inc. CONDENSED CONSOLIDATED BALANCE SHEETS (Unaudited) (In..."</t>
  </si>
  <si>
    <t>M123</t>
  </si>
  <si>
    <t>AssetsCurrent=125435mm; CashAndCashEquivalentsAtCarryingValue=25565mm; AccountsReceivableNetCurrent=22795mm; InventoryNet=6165mm</t>
  </si>
  <si>
    <t>Grouped from Assets, Current, Cash and Cash Equivalents, at Carrying Value, Accounts Receivable, after Allowance for Credit Loss, Current, +1 more. Included current assets less separately modeled cash/current investments, receivables, and inventory. Filing says: 10-Q filed 2024-08-02: "Consolidated Financial Statements. Apple Inc. | Q3 2024 Form 10-Q | 2 Apple Inc. CONDENSED CONSOLIDATED BALANCE SHEETS (Unaudited) (In..."</t>
  </si>
  <si>
    <t>N123</t>
  </si>
  <si>
    <t>AssetsCurrent=152987mm; CashAndCashEquivalentsAtCarryingValue=29943mm; AccountsReceivableNetCurrent=33410mm; InventoryNet=7286mm</t>
  </si>
  <si>
    <t>Grouped from Assets, Current, Cash and Cash Equivalents, at Carrying Value, Accounts Receivable, after Allowance for Credit Loss, Current, +1 more. Included current assets less separately modeled cash/current investments, receivables, and inventory. Filing says: 10-K filed 2024-11-01: "s deferred tax assets and liabilities were (in millions): 2024 2023 Deferred tax assets: Capitalized research and development $ 10,739 $..."</t>
  </si>
  <si>
    <t>P123</t>
  </si>
  <si>
    <t>AssetsCurrent=133240mm; CashAndCashEquivalentsAtCarryingValue=30299mm; AccountsReceivableNetCurrent=29639mm; InventoryNet=6911mm</t>
  </si>
  <si>
    <t>Grouped from Assets, Current, Cash and Cash Equivalents, at Carrying Value, Accounts Receivable, after Allowance for Credit Loss, Current, +1 more. Included current assets less separately modeled cash/current investments, receivables, and inventory. Filing says: 10-Q filed 2025-01-31: "olidated Financial Statements. Apple Inc. | Q1 2025 Form 10-Q | 2 Apple Inc. CONDENSED CONSOLIDATED BALANCE SHEETS (Unaudited) (In millions,..."</t>
  </si>
  <si>
    <t>Q123</t>
  </si>
  <si>
    <t>AssetsCurrent=118674mm; CashAndCashEquivalentsAtCarryingValue=28162mm; AccountsReceivableNetCurrent=26136mm; InventoryNet=6269mm</t>
  </si>
  <si>
    <t>Grouped from Assets, Current, Cash and Cash Equivalents, at Carrying Value, Accounts Receivable, after Allowance for Credit Loss, Current, +1 more. Included current assets less separately modeled cash/current investments, receivables, and inventory. Filing says: 10-Q filed 2025-05-02: "onsolidated Financial Statements. Apple Inc. | Q2 2025 Form 10-Q | 2 Apple Inc. CONDENSED CONSOLIDATED BALANCE SHEETS (Unaudited) (In..."</t>
  </si>
  <si>
    <t>R123</t>
  </si>
  <si>
    <t>AssetsCurrent=122491mm; CashAndCashEquivalentsAtCarryingValue=36269mm; AccountsReceivableNetCurrent=27557mm; InventoryNet=5925mm</t>
  </si>
  <si>
    <t>Grouped from Assets, Current, Cash and Cash Equivalents, at Carrying Value, Accounts Receivable, after Allowance for Credit Loss, Current, +1 more. Included current assets less separately modeled cash/current investments, receivables, and inventory. Filing says: 10-Q filed 2025-08-01: "Consolidated Financial Statements. Apple Inc. | Q3 2025 Form 10-Q | 2 Apple Inc. CONDENSED CONSOLIDATED BALANCE SHEETS (Unaudited) (In..."</t>
  </si>
  <si>
    <t>S123</t>
  </si>
  <si>
    <t>AssetsCurrent=147957mm; CashAndCashEquivalentsAtCarryingValue=35934mm; AccountsReceivableNetCurrent=39777mm; InventoryNet=5718mm</t>
  </si>
  <si>
    <t>Grouped from Assets, Current, Cash and Cash Equivalents, at Carrying Value, Accounts Receivable, after Allowance for Credit Loss, Current, +1 more. Included current assets less separately modeled cash/current investments, receivables, and inventory. Filing says: 10-K filed 2025-10-31: "ax assets and liabilities were as follows (in millions): 2025 2024 Deferred tax assets: Capitalized research and development $ 15,041 $..."</t>
  </si>
  <si>
    <t>U123</t>
  </si>
  <si>
    <t>AssetsCurrent=158104mm; CashAndCashEquivalentsAtCarryingValue=45317mm; AccountsReceivableNetCurrent=39921mm; InventoryNet=5875mm</t>
  </si>
  <si>
    <t>Grouped from Assets, Current, Cash and Cash Equivalents, at Carrying Value, Accounts Receivable, after Allowance for Credit Loss, Current, +1 more. Included current assets less separately modeled cash/current investments, receivables, and inventory. Filing says: 10-Q filed 2026-01-30: "olidated Financial Statements. Apple Inc. | Q1 2026 Form 10-Q | 2 Apple Inc. CONDENSED CONSOLIDATED BALANCE SHEETS (Unaudited) (In millions,..."</t>
  </si>
  <si>
    <t>V123</t>
  </si>
  <si>
    <t>AssetsCurrent=144114mm; CashAndCashEquivalentsAtCarryingValue=45572mm; AccountsReceivableNetCurrent=30339mm; InventoryNet=6747mm</t>
  </si>
  <si>
    <t>Grouped from Assets, Current, Cash and Cash Equivalents, at Carrying Value, Accounts Receivable, after Allowance for Credit Loss, Current, +1 more. Included current assets less separately modeled cash/current investments, receivables, and inventory. Filing says: 10-Q filed 2026-05-01: "onsolidated Financial Statements. Apple Inc. | Q2 2026 Form 10-Q | 2 Apple Inc. CONDENSED CONSOLIDATED BALANCE SHEETS (Unaudited) (In..."</t>
  </si>
  <si>
    <t>F126</t>
  </si>
  <si>
    <t>PropertyPlantAndEquipmentNet=42951mm</t>
  </si>
  <si>
    <t>Property, Plant and Equipment, Net</t>
  </si>
  <si>
    <t>Grouped from Property, Plant and Equipment, Net. Filing says: 10-Q filed 2023-02-03: "nsolidated Financial Statements. Apple Inc. | Q1 2023 Form 10-Q | 2 Apple Inc. CONDENSED CONSOLIDATED BALANCE SHEETS (Unaudited) (In..."</t>
  </si>
  <si>
    <t>G126</t>
  </si>
  <si>
    <t>PropertyPlantAndEquipmentNet=43398mm</t>
  </si>
  <si>
    <t>Grouped from Property, Plant and Equipment, Net. Filing says: 10-Q filed 2023-05-05: "d Consolidated Financial Statements. Apple Inc. | Q2 2023 Form 10-Q | 2 Apple Inc. CONDENSED CONSOLIDATED BALANCE SHEETS (Unaudited) (In..."</t>
  </si>
  <si>
    <t>H126</t>
  </si>
  <si>
    <t>PropertyPlantAndEquipmentNet=43550mm</t>
  </si>
  <si>
    <t>Grouped from Property, Plant and Equipment, Net. Filing says: 10-Q filed 2023-08-04: "ed Consolidated Financial Statements. Apple Inc. | Q3 2023 Form 10-Q | 2 Apple Inc. CONDENSED CONSOLIDATED BALANCE SHEETS (Unaudited) (In..."</t>
  </si>
  <si>
    <t>I126</t>
  </si>
  <si>
    <t>PropertyPlantAndEquipmentNet=43715mm</t>
  </si>
  <si>
    <t>Grouped from Property, Plant and Equipment, Net. Filing says: 10-K filed 2023-11-03: "5 Non-current assets: Marketable securities 100,544 120,805 Property, plant and equipment, net 43,715 42,117 Other non-current assets 64,758..."</t>
  </si>
  <si>
    <t>K126</t>
  </si>
  <si>
    <t>PropertyPlantAndEquipmentNet=43666mm</t>
  </si>
  <si>
    <t>Grouped from Property, Plant and Equipment, Net. Filing says: 10-Q filed 2024-02-02: "olidated Financial Statements. Apple Inc. | Q1 2024 Form 10-Q | 2 Apple Inc. CONDENSED CONSOLIDATED BALANCE SHEETS (Unaudited) (In millions,..."</t>
  </si>
  <si>
    <t>L126</t>
  </si>
  <si>
    <t>PropertyPlantAndEquipmentNet=43546mm</t>
  </si>
  <si>
    <t>Grouped from Property, Plant and Equipment, Net. Filing says: 10-Q filed 2024-05-03: "onsolidated Financial Statements. Apple Inc. | Q2 2024 Form 10-Q | 2 Apple Inc. CONDENSED CONSOLIDATED BALANCE SHEETS (Unaudited) (In..."</t>
  </si>
  <si>
    <t>M126</t>
  </si>
  <si>
    <t>PropertyPlantAndEquipmentNet=44502mm</t>
  </si>
  <si>
    <t>Grouped from Property, Plant and Equipment, Net. Filing says: 10-Q filed 2024-08-02: "Consolidated Financial Statements. Apple Inc. | Q3 2024 Form 10-Q | 2 Apple Inc. CONDENSED CONSOLIDATED BALANCE SHEETS (Unaudited) (In..."</t>
  </si>
  <si>
    <t>N126</t>
  </si>
  <si>
    <t>PropertyPlantAndEquipmentNet=45680mm</t>
  </si>
  <si>
    <t>Grouped from Property, Plant and Equipment, Net. Filing says: 10-K filed 2024-11-01: "66 Non-current assets: Marketable securities 91,479 100,544 Property, plant and equipment, net 45,680 43,715 Other non-current assets 74,834..."</t>
  </si>
  <si>
    <t>P126</t>
  </si>
  <si>
    <t>PropertyPlantAndEquipmentNet=46069mm</t>
  </si>
  <si>
    <t>Grouped from Property, Plant and Equipment, Net. Filing says: 10-Q filed 2025-01-31: "olidated Financial Statements. Apple Inc. | Q1 2025 Form 10-Q | 2 Apple Inc. CONDENSED CONSOLIDATED BALANCE SHEETS (Unaudited) (In millions,..."</t>
  </si>
  <si>
    <t>Q126</t>
  </si>
  <si>
    <t>PropertyPlantAndEquipmentNet=46876mm</t>
  </si>
  <si>
    <t>Grouped from Property, Plant and Equipment, Net. Filing says: 10-Q filed 2025-05-02: "onsolidated Financial Statements. Apple Inc. | Q2 2025 Form 10-Q | 2 Apple Inc. CONDENSED CONSOLIDATED BALANCE SHEETS (Unaudited) (In..."</t>
  </si>
  <si>
    <t>R126</t>
  </si>
  <si>
    <t>PropertyPlantAndEquipmentNet=48508mm</t>
  </si>
  <si>
    <t>Grouped from Property, Plant and Equipment, Net. Filing says: 10-Q filed 2025-08-01: "Consolidated Financial Statements. Apple Inc. | Q3 2025 Form 10-Q | 2 Apple Inc. CONDENSED CONSOLIDATED BALANCE SHEETS (Unaudited) (In..."</t>
  </si>
  <si>
    <t>S126</t>
  </si>
  <si>
    <t>PropertyPlantAndEquipmentNet=49834mm</t>
  </si>
  <si>
    <t>Grouped from Property, Plant and Equipment, Net. Filing says: 10-K filed 2025-10-31: "987 Non-current assets: Marketable securities 77,723 91,479 Property, plant and equipment, net 49,834 45,680 Other non-current assets 83,727..."</t>
  </si>
  <si>
    <t>U126</t>
  </si>
  <si>
    <t>PropertyPlantAndEquipmentNet=50159mm</t>
  </si>
  <si>
    <t>Grouped from Property, Plant and Equipment, Net. Filing says: 10-Q filed 2026-01-30: "olidated Financial Statements. Apple Inc. | Q1 2026 Form 10-Q | 2 Apple Inc. CONDENSED CONSOLIDATED BALANCE SHEETS (Unaudited) (In millions,..."</t>
  </si>
  <si>
    <t>V126</t>
  </si>
  <si>
    <t>PropertyPlantAndEquipmentNet=50116mm</t>
  </si>
  <si>
    <t>Grouped from Property, Plant and Equipment, Net. Filing says: 10-Q filed 2026-05-01: "onsolidated Financial Statements. Apple Inc. | Q2 2026 Form 10-Q | 2 Apple Inc. CONDENSED CONSOLIDATED BALANCE SHEETS (Unaudited) (In..."</t>
  </si>
  <si>
    <t>F127</t>
  </si>
  <si>
    <t>FiniteLivedIntangibleAssetsNet=0mm</t>
  </si>
  <si>
    <t>FiniteLivedIntangibleAssetsNet</t>
  </si>
  <si>
    <t>Grouped from Finite Lived Intangible Assets net. No separate intangible assets line item was reported in the SEC balance sheet for this period, so stale template values were cleared. Filing says: 10-Q filed 2023-02-03: "ree Months Ended December 31, 2022 December 25, 2021 Cash, cash equivalents and restricted cash, beginning balances $ 24,977 $ 35,929..." SEC validation: Value is a zero/derived model support value with no direct SEC fact.</t>
  </si>
  <si>
    <t>G127</t>
  </si>
  <si>
    <t>Grouped from Finite Lived Intangible Assets net. No separate intangible assets line item was reported in the SEC balance sheet for this period, so stale template values were cleared. Filing says: 10-Q filed 2023-05-05: "lions) Six Months Ended April 1, 2023 March 26, 2022 Cash, cash equivalents and restricted cash, beginning balances $ 24,977 $ 35,929..." SEC validation: Value is a zero/derived model support value with no direct SEC fact.</t>
  </si>
  <si>
    <t>H127</t>
  </si>
  <si>
    <t>Grouped from Finite Lived Intangible Assets net. No separate intangible assets line item was reported in the SEC balance sheet for this period, so stale template values were cleared. Filing says: 10-Q filed 2023-08-04: "llions) Nine Months Ended July 1, 2023 June 25, 2022 Cash, cash equivalents and restricted cash, beginning balances $ 24,977 $ 35,929..." SEC validation: Value is a zero/derived model support value with no direct SEC fact.</t>
  </si>
  <si>
    <t>I127</t>
  </si>
  <si>
    <t>Grouped from Finite Lived Intangible Assets net. No separate intangible assets line item was reported in the SEC balance sheet for this period, so stale template values were cleared. SEC validation: Value is a zero/derived model support value with no direct SEC fact.</t>
  </si>
  <si>
    <t>K127</t>
  </si>
  <si>
    <t>Grouped from Finite Lived Intangible Assets net. No separate intangible assets line item was reported in the SEC balance sheet for this period, so stale template values were cleared. Filing says: 10-Q filed 2024-02-02: "ree Months Ended December 30, 2023 December 31, 2022 Cash, cash equivalents and restricted cash, beginning balances $ 30,737 $ 24,977..." SEC validation: Value is a zero/derived model support value with no direct SEC fact.</t>
  </si>
  <si>
    <t>L127</t>
  </si>
  <si>
    <t>Grouped from Finite Lived Intangible Assets net. No separate intangible assets line item was reported in the SEC balance sheet for this period, so stale template values were cleared. Filing says: 10-Q filed 2024-05-03: "lions) Six Months Ended March 30, 2024 April 1, 2023 Cash, cash equivalents and restricted cash, beginning balances $ 30,737 $ 24,977..." SEC validation: Value is a zero/derived model support value with no direct SEC fact.</t>
  </si>
  <si>
    <t>M127</t>
  </si>
  <si>
    <t>Grouped from Finite Lived Intangible Assets net. No separate intangible assets line item was reported in the SEC balance sheet for this period, so stale template values were cleared. Filing says: 10-Q filed 2024-08-02: "llions) Nine Months Ended June 29, 2024 July 1, 2023 Cash, cash equivalents and restricted cash, beginning balances $ 30,737 $ 24,977..." SEC validation: Value is a zero/derived model support value with no direct SEC fact.</t>
  </si>
  <si>
    <t>N127</t>
  </si>
  <si>
    <t>P127</t>
  </si>
  <si>
    <t>Grouped from Finite Lived Intangible Assets net. No separate intangible assets line item was reported in the SEC balance sheet for this period, so stale template values were cleared. Filing says: 10-Q filed 2025-01-31: "ber 28, 2024 December 30, 2023 Cash, cash equivalents, and restricted cash and cash equivalents, beginning balances $ 29,943 $ 30,737..." SEC validation: Value is a zero/derived model support value with no direct SEC fact.</t>
  </si>
  <si>
    <t>Q127</t>
  </si>
  <si>
    <t>Grouped from Finite Lived Intangible Assets net. No separate intangible assets line item was reported in the SEC balance sheet for this period, so stale template values were cleared. Filing says: 10-Q filed 2025-05-02: "March 29, 2025 March 30, 2024 Cash, cash equivalents, and restricted cash and cash equivalents, beginning balances $ 29,943 $ 30,737..." SEC validation: Value is a zero/derived model support value with no direct SEC fact.</t>
  </si>
  <si>
    <t>R127</t>
  </si>
  <si>
    <t>Grouped from Finite Lived Intangible Assets net. No separate intangible assets line item was reported in the SEC balance sheet for this period, so stale template values were cleared. Filing says: 10-Q filed 2025-08-01: "ed June 28, 2025 June 29, 2024 Cash, cash equivalents, and restricted cash and cash equivalents, beginning balances $ 29,943 $ 30,737..." SEC validation: Value is a zero/derived model support value with no direct SEC fact.</t>
  </si>
  <si>
    <t>S127</t>
  </si>
  <si>
    <t>IntangibleAssetsNetExcludingGoodwill=13301mm</t>
  </si>
  <si>
    <t>Intangible Assets, Net (Excluding Goodwill)</t>
  </si>
  <si>
    <t>Grouped from Intangible Assets, Net (Excluding Goodwill).</t>
  </si>
  <si>
    <t>U127</t>
  </si>
  <si>
    <t>Grouped from Finite Lived Intangible Assets net. No separate intangible assets line item was reported in the SEC balance sheet for this period, so stale template values were cleared. Filing says: 10-Q filed 2026-01-30: "ber 27, 2025 December 28, 2024 Cash, cash equivalents, and restricted cash and cash equivalents, beginning balances $ 35,934 $ 29,943..." SEC validation: Value is a zero/derived model support value with no direct SEC fact.</t>
  </si>
  <si>
    <t>V127</t>
  </si>
  <si>
    <t>IntangibleAssetsNetExcludingGoodwill=25797mm</t>
  </si>
  <si>
    <t>Grouped from Intangible Assets, Net (Excluding Goodwill). Filing says: 10-Q filed 2026-05-01: "onsolidated Financial Statements. Apple Inc. | Q2 2026 Form 10-Q | 2 Apple Inc. CONDENSED CONSOLIDATED BALANCE SHEETS (Unaudited) (In..."</t>
  </si>
  <si>
    <t>F128</t>
  </si>
  <si>
    <t>Goodwill=0mm</t>
  </si>
  <si>
    <t>Grouped from Goodwill. No separate goodwill line item was reported in the SEC balance sheet for this period, so stale template values were cleared. Filing says: 10-Q filed 2023-02-03: "ree Months Ended December 31, 2022 December 25, 2021 Cash, cash equivalents and restricted cash, beginning balances $ 24,977 $ 35,929..." SEC validation: Value is a zero/derived model support value with no direct SEC fact.</t>
  </si>
  <si>
    <t>G128</t>
  </si>
  <si>
    <t>Grouped from Goodwill. No separate goodwill line item was reported in the SEC balance sheet for this period, so stale template values were cleared. Filing says: 10-Q filed 2023-05-05: "lions) Six Months Ended April 1, 2023 March 26, 2022 Cash, cash equivalents and restricted cash, beginning balances $ 24,977 $ 35,929..." SEC validation: Value is a zero/derived model support value with no direct SEC fact.</t>
  </si>
  <si>
    <t>H128</t>
  </si>
  <si>
    <t>Grouped from Goodwill. No separate goodwill line item was reported in the SEC balance sheet for this period, so stale template values were cleared. Filing says: 10-Q filed 2023-08-04: "llions) Nine Months Ended July 1, 2023 June 25, 2022 Cash, cash equivalents and restricted cash, beginning balances $ 24,977 $ 35,929..." SEC validation: Value is a zero/derived model support value with no direct SEC fact.</t>
  </si>
  <si>
    <t>I128</t>
  </si>
  <si>
    <t>Grouped from Goodwill. No separate goodwill line item was reported in the SEC balance sheet for this period, so stale template values were cleared. Filing says: 10-K filed 2023-11-03: "5 Non-current assets: Marketable securities 100,544 120,805 Property, plant and equipment, net 43,715 42,117 Other non-current assets 64,758..." SEC validation: Value is a zero/derived model support value with no direct SEC fact.</t>
  </si>
  <si>
    <t>K128</t>
  </si>
  <si>
    <t>Grouped from Goodwill. No separate goodwill line item was reported in the SEC balance sheet for this period, so stale template values were cleared. Filing says: 10-Q filed 2024-02-02: "ree Months Ended December 30, 2023 December 31, 2022 Cash, cash equivalents and restricted cash, beginning balances $ 30,737 $ 24,977..." SEC validation: Value is a zero/derived model support value with no direct SEC fact.</t>
  </si>
  <si>
    <t>L128</t>
  </si>
  <si>
    <t>Grouped from Goodwill. No separate goodwill line item was reported in the SEC balance sheet for this period, so stale template values were cleared. Filing says: 10-Q filed 2024-05-03: "lions) Six Months Ended March 30, 2024 April 1, 2023 Cash, cash equivalents and restricted cash, beginning balances $ 30,737 $ 24,977..." SEC validation: Value is a zero/derived model support value with no direct SEC fact.</t>
  </si>
  <si>
    <t>M128</t>
  </si>
  <si>
    <t>Grouped from Goodwill. No separate goodwill line item was reported in the SEC balance sheet for this period, so stale template values were cleared. Filing says: 10-Q filed 2024-08-02: "llions) Nine Months Ended June 29, 2024 July 1, 2023 Cash, cash equivalents and restricted cash, beginning balances $ 30,737 $ 24,977..." SEC validation: Value is a zero/derived model support value with no direct SEC fact.</t>
  </si>
  <si>
    <t>N128</t>
  </si>
  <si>
    <t>Grouped from Goodwill. No separate goodwill line item was reported in the SEC balance sheet for this period, so stale template values were cleared. Filing says: 10-K filed 2024-11-01: "66 Non-current assets: Marketable securities 91,479 100,544 Property, plant and equipment, net 45,680 43,715 Other non-current assets 74,834..." SEC validation: Value is a zero/derived model support value with no direct SEC fact.</t>
  </si>
  <si>
    <t>P128</t>
  </si>
  <si>
    <t>Grouped from Goodwill. No separate goodwill line item was reported in the SEC balance sheet for this period, so stale template values were cleared. Filing says: 10-Q filed 2025-01-31: "ber 28, 2024 December 30, 2023 Cash, cash equivalents, and restricted cash and cash equivalents, beginning balances $ 29,943 $ 30,737..." SEC validation: Value is a zero/derived model support value with no direct SEC fact.</t>
  </si>
  <si>
    <t>Q128</t>
  </si>
  <si>
    <t>Grouped from Goodwill. No separate goodwill line item was reported in the SEC balance sheet for this period, so stale template values were cleared. Filing says: 10-Q filed 2025-05-02: "March 29, 2025 March 30, 2024 Cash, cash equivalents, and restricted cash and cash equivalents, beginning balances $ 29,943 $ 30,737..." SEC validation: Value is a zero/derived model support value with no direct SEC fact.</t>
  </si>
  <si>
    <t>R128</t>
  </si>
  <si>
    <t>Grouped from Goodwill. No separate goodwill line item was reported in the SEC balance sheet for this period, so stale template values were cleared. Filing says: 10-Q filed 2025-08-01: "ed June 28, 2025 June 29, 2024 Cash, cash equivalents, and restricted cash and cash equivalents, beginning balances $ 29,943 $ 30,737..." SEC validation: Value is a zero/derived model support value with no direct SEC fact.</t>
  </si>
  <si>
    <t>S128</t>
  </si>
  <si>
    <t>Grouped from Goodwill. No separate goodwill line item was reported in the SEC balance sheet for this period, so stale template values were cleared. Filing says: 10-K filed 2025-10-31: "987 Non-current assets: Marketable securities 77,723 91,479 Property, plant and equipment, net 49,834 45,680 Other non-current assets 83,727..." SEC validation: Value is a zero/derived model support value with no direct SEC fact.</t>
  </si>
  <si>
    <t>U128</t>
  </si>
  <si>
    <t>Grouped from Goodwill. No separate goodwill line item was reported in the SEC balance sheet for this period, so stale template values were cleared. Filing says: 10-Q filed 2026-01-30: "ber 27, 2025 December 28, 2024 Cash, cash equivalents, and restricted cash and cash equivalents, beginning balances $ 35,934 $ 29,943..." SEC validation: Value is a zero/derived model support value with no direct SEC fact.</t>
  </si>
  <si>
    <t>V128</t>
  </si>
  <si>
    <t>Grouped from Goodwill. No separate goodwill line item was reported in the SEC balance sheet for this period, so stale template values were cleared. Filing says: 10-Q filed 2026-05-01: "onsolidated Financial Statements. Apple Inc. | Q2 2026 Form 10-Q | 2 Apple Inc. CONDENSED CONSOLIDATED BALANCE SHEETS (Unaudited) (In..." SEC validation: Value is a zero/derived model support value with no direct SEC fact.</t>
  </si>
  <si>
    <t>F129</t>
  </si>
  <si>
    <t>Assets=346747mm; AssetsCurrent=128777mm; PropertyPlantAndEquipmentNet=42951mm; FiniteLivedIntangibleAssetsNet=0mm; Goodwill=0mm</t>
  </si>
  <si>
    <t>Assets; Assets, Current; Property, Plant and Equipment, Net; FiniteLivedIntangibleAssetsNet; Goodwill</t>
  </si>
  <si>
    <t>G129</t>
  </si>
  <si>
    <t>Assets=332160mm; AssetsCurrent=112913mm; PropertyPlantAndEquipmentNet=43398mm; FiniteLivedIntangibleAssetsNet=0mm; Goodwill=0mm</t>
  </si>
  <si>
    <t>H129</t>
  </si>
  <si>
    <t>Assets=335038mm; AssetsCurrent=122659mm; PropertyPlantAndEquipmentNet=43550mm; FiniteLivedIntangibleAssetsNet=0mm; Goodwill=0mm</t>
  </si>
  <si>
    <t>I129</t>
  </si>
  <si>
    <t>Assets=352583mm; AssetsCurrent=143566mm; PropertyPlantAndEquipmentNet=43715mm; FiniteLivedIntangibleAssetsNet=0mm; Goodwill=0mm</t>
  </si>
  <si>
    <t>K129</t>
  </si>
  <si>
    <t>Assets=353514mm; AssetsCurrent=143692mm; PropertyPlantAndEquipmentNet=43666mm; FiniteLivedIntangibleAssetsNet=0mm; Goodwill=0mm</t>
  </si>
  <si>
    <t>L129</t>
  </si>
  <si>
    <t>Assets=337411mm; AssetsCurrent=128416mm; PropertyPlantAndEquipmentNet=43546mm; FiniteLivedIntangibleAssetsNet=0mm; Goodwill=0mm</t>
  </si>
  <si>
    <t>M129</t>
  </si>
  <si>
    <t>Assets=331612mm; AssetsCurrent=125435mm; PropertyPlantAndEquipmentNet=44502mm; FiniteLivedIntangibleAssetsNet=0mm; Goodwill=0mm</t>
  </si>
  <si>
    <t>N129</t>
  </si>
  <si>
    <t>Assets=364980mm; AssetsCurrent=152987mm; PropertyPlantAndEquipmentNet=45680mm; FiniteLivedIntangibleAssetsNet=0mm; Goodwill=0mm</t>
  </si>
  <si>
    <t>P129</t>
  </si>
  <si>
    <t>Assets=344085mm; AssetsCurrent=133240mm; PropertyPlantAndEquipmentNet=46069mm; FiniteLivedIntangibleAssetsNet=0mm; Goodwill=0mm</t>
  </si>
  <si>
    <t>Grouped from Assets, Assets, Current, Property, Plant and Equipment, Net, +2 more. Calculated from SEC total assets less current assets and separately modeled PP&amp;E, intangible assets, and goodwill. Filing says: 10-Q filed 2025-01-31: "olidated Financial Statements. Apple Inc. | Q1 2025 Form 10-Q | 2 Apple Inc. CONDENSED CONSOLIDATED BALANCE SHEETS (Unaudited) (In millions,..."</t>
  </si>
  <si>
    <t>Q129</t>
  </si>
  <si>
    <t>Assets=331233mm; AssetsCurrent=118674mm; PropertyPlantAndEquipmentNet=46876mm; FiniteLivedIntangibleAssetsNet=0mm; Goodwill=0mm</t>
  </si>
  <si>
    <t>Grouped from Assets, Assets, Current, Property, Plant and Equipment, Net, +2 more. Calculated from SEC total assets less current assets and separately modeled PP&amp;E, intangible assets, and goodwill. Filing says: 10-Q filed 2025-05-02: "onsolidated Financial Statements. Apple Inc. | Q2 2025 Form 10-Q | 2 Apple Inc. CONDENSED CONSOLIDATED BALANCE SHEETS (Unaudited) (In..."</t>
  </si>
  <si>
    <t>R129</t>
  </si>
  <si>
    <t>Assets=331495mm; AssetsCurrent=122491mm; PropertyPlantAndEquipmentNet=48508mm; FiniteLivedIntangibleAssetsNet=0mm; Goodwill=0mm</t>
  </si>
  <si>
    <t>Grouped from Assets, Assets, Current, Property, Plant and Equipment, Net, +2 more. Calculated from SEC total assets less current assets and separately modeled PP&amp;E, intangible assets, and goodwill. Filing says: 10-Q filed 2025-08-01: "Consolidated Financial Statements. Apple Inc. | Q3 2025 Form 10-Q | 2 Apple Inc. CONDENSED CONSOLIDATED BALANCE SHEETS (Unaudited) (In..."</t>
  </si>
  <si>
    <t>S129</t>
  </si>
  <si>
    <t>Assets=359241mm; AssetsCurrent=147957mm; PropertyPlantAndEquipmentNet=49834mm; IntangibleAssetsNetExcludingGoodwill=13301mm; Goodwill=0mm</t>
  </si>
  <si>
    <t>Assets; Assets, Current; Property, Plant and Equipment, Net; Intangible Assets, Net (Excluding Goodwill); Goodwill</t>
  </si>
  <si>
    <t>Grouped from Assets, Assets, Current, Property, Plant and Equipment, Net, +2 more. Calculated from SEC total assets less current assets and separately modeled PP&amp;E, intangible assets, and goodwill. Filing says: 10-K filed 2025-10-31: "987 Non-current assets: Marketable securities 77,723 91,479 Property, plant and equipment, net 49,834 45,680 Other non-current assets 83,727..."</t>
  </si>
  <si>
    <t>U129</t>
  </si>
  <si>
    <t>Assets=379297mm; AssetsCurrent=158104mm; PropertyPlantAndEquipmentNet=50159mm; FiniteLivedIntangibleAssetsNet=0mm; Goodwill=0mm</t>
  </si>
  <si>
    <t>V129</t>
  </si>
  <si>
    <t>Assets=371082mm; AssetsCurrent=144114mm; PropertyPlantAndEquipmentNet=50116mm; IntangibleAssetsNetExcludingGoodwill=25797mm; Goodwill=0mm</t>
  </si>
  <si>
    <t>F134</t>
  </si>
  <si>
    <t>AccountsPayableCurrent=57918mm</t>
  </si>
  <si>
    <t>Accounts Payable, Current</t>
  </si>
  <si>
    <t>Grouped from Accounts Payable, Current. Filing says: 10-Q filed 2023-02-03: "ree Months Ended December 31, 2022 December 25, 2021 Cash, cash equivalents and restricted cash, beginning balances $ 24,977 $ 35,929..."</t>
  </si>
  <si>
    <t>G134</t>
  </si>
  <si>
    <t>AccountsPayableCurrent=42945mm</t>
  </si>
  <si>
    <t>Grouped from Accounts Payable, Current. Filing says: 10-Q filed 2023-05-05: "lions) Six Months Ended April 1, 2023 March 26, 2022 Cash, cash equivalents and restricted cash, beginning balances $ 24,977 $ 35,929..."</t>
  </si>
  <si>
    <t>H134</t>
  </si>
  <si>
    <t>AccountsPayableCurrent=46699mm</t>
  </si>
  <si>
    <t>Grouped from Accounts Payable, Current. Filing says: 10-Q filed 2023-08-04: "llions) Nine Months Ended July 1, 2023 June 25, 2022 Cash, cash equivalents and restricted cash, beginning balances $ 24,977 $ 35,929..."</t>
  </si>
  <si>
    <t>I134</t>
  </si>
  <si>
    <t>AccountsPayableCurrent=62611mm</t>
  </si>
  <si>
    <t>Grouped from Accounts Payable, Current. Filing says: 10-K filed 2023-11-03: "5 Non-current assets: Marketable securities 100,544 120,805 Property, plant and equipment, net 43,715 42,117 Other non-current assets 64,758..."</t>
  </si>
  <si>
    <t>K134</t>
  </si>
  <si>
    <t>AccountsPayableCurrent=58146mm</t>
  </si>
  <si>
    <t>Grouped from Accounts Payable, Current. Filing says: 10-Q filed 2024-02-02: "ree Months Ended December 30, 2023 December 31, 2022 Cash, cash equivalents and restricted cash, beginning balances $ 30,737 $ 24,977..."</t>
  </si>
  <si>
    <t>L134</t>
  </si>
  <si>
    <t>AccountsPayableCurrent=45753mm</t>
  </si>
  <si>
    <t>Grouped from Accounts Payable, Current. Filing says: 10-Q filed 2024-05-03: "lions) Six Months Ended March 30, 2024 April 1, 2023 Cash, cash equivalents and restricted cash, beginning balances $ 30,737 $ 24,977..."</t>
  </si>
  <si>
    <t>M134</t>
  </si>
  <si>
    <t>AccountsPayableCurrent=47574mm</t>
  </si>
  <si>
    <t>Grouped from Accounts Payable, Current. Filing says: 10-Q filed 2024-08-02: "llions) Nine Months Ended June 29, 2024 July 1, 2023 Cash, cash equivalents and restricted cash, beginning balances $ 30,737 $ 24,977..."</t>
  </si>
  <si>
    <t>N134</t>
  </si>
  <si>
    <t>AccountsPayableCurrent=68960mm</t>
  </si>
  <si>
    <t>Grouped from Accounts Payable, Current. Filing says: 10-K filed 2024-11-01: "66 Non-current assets: Marketable securities 91,479 100,544 Property, plant and equipment, net 45,680 43,715 Other non-current assets 74,834..."</t>
  </si>
  <si>
    <t>P134</t>
  </si>
  <si>
    <t>AccountsPayableCurrent=61910mm</t>
  </si>
  <si>
    <t>Grouped from Accounts Payable, Current. Filing says: 10-Q filed 2025-01-31: "ber 28, 2024 December 30, 2023 Cash, cash equivalents, and restricted cash and cash equivalents, beginning balances $ 29,943 $ 30,737..."</t>
  </si>
  <si>
    <t>Q134</t>
  </si>
  <si>
    <t>AccountsPayableCurrent=54126mm</t>
  </si>
  <si>
    <t>Grouped from Accounts Payable, Current. Filing says: 10-Q filed 2025-05-02: "March 29, 2025 March 30, 2024 Cash, cash equivalents, and restricted cash and cash equivalents, beginning balances $ 29,943 $ 30,737..."</t>
  </si>
  <si>
    <t>R134</t>
  </si>
  <si>
    <t>AccountsPayableCurrent=50374mm</t>
  </si>
  <si>
    <t>Grouped from Accounts Payable, Current. Filing says: 10-Q filed 2025-08-01: "ed June 28, 2025 June 29, 2024 Cash, cash equivalents, and restricted cash and cash equivalents, beginning balances $ 29,943 $ 30,737..."</t>
  </si>
  <si>
    <t>S134</t>
  </si>
  <si>
    <t>AccountsPayableCurrent=69860mm</t>
  </si>
  <si>
    <t>Grouped from Accounts Payable, Current. Filing says: 10-K filed 2025-10-31: "987 Non-current assets: Marketable securities 77,723 91,479 Property, plant and equipment, net 49,834 45,680 Other non-current assets 83,727..."</t>
  </si>
  <si>
    <t>U134</t>
  </si>
  <si>
    <t>AccountsPayableCurrent=70587mm</t>
  </si>
  <si>
    <t>Grouped from Accounts Payable, Current. Filing says: 10-Q filed 2026-01-30: "ber 27, 2025 December 28, 2024 Cash, cash equivalents, and restricted cash and cash equivalents, beginning balances $ 35,934 $ 29,943..."</t>
  </si>
  <si>
    <t>V134</t>
  </si>
  <si>
    <t>AccountsPayableCurrent=57349mm</t>
  </si>
  <si>
    <t>Grouped from Accounts Payable, Current. Filing says: 10-Q filed 2026-05-01: "March 28, 2026 March 29, 2025 Cash, cash equivalents, and restricted cash and cash equivalents, beginning balances $ 35,934 $ 29,943..."</t>
  </si>
  <si>
    <t>F135</t>
  </si>
  <si>
    <t>LiabilitiesCurrent=137286mm; AccountsPayableCurrent=57918mm; ContractWithCustomerLiabilityCurrent=7992mm; DebtCurrent=0mm</t>
  </si>
  <si>
    <t>Liabilities, Current; Accounts Payable, Current; Contract with Customer, Liability, Current; DebtCurrent</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</si>
  <si>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2023-02-03: "ree Months Ended December 31, 2022 December 25, 2021 Cash, cash equivalents and restricted cash, beginning balances $ 24,977 $ 35,929..."</t>
  </si>
  <si>
    <t>G135</t>
  </si>
  <si>
    <t>LiabilitiesCurrent=120075mm; AccountsPayableCurrent=42945mm; ContractWithCustomerLiabilityCurrent=8131mm;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</si>
  <si>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2023-05-05: "lions) Six Months Ended April 1, 2023 March 26, 2022 Cash, cash equivalents and restricted cash, beginning balances $ 24,977 $ 35,929..."</t>
  </si>
  <si>
    <t>H135</t>
  </si>
  <si>
    <t>LiabilitiesCurrent=124963mm; AccountsPayableCurrent=46699mm; ContractWithCustomerLiabilityCurrent=8158mm;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</si>
  <si>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2023-08-04: "llions) Nine Months Ended July 1, 2023 June 25, 2022 Cash, cash equivalents and restricted cash, beginning balances $ 24,977 $ 35,929..."</t>
  </si>
  <si>
    <t>I135</t>
  </si>
  <si>
    <t>LiabilitiesCurrent=145308mm; AccountsPayableCurrent=62611mm; ContractWithCustomerLiabilityCurrent=8061mm;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</si>
  <si>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2023-11-03: "5 Non-current assets: Marketable securities 100,544 120,805 Property, plant and equipment, net 43,715 42,117 Other non-current assets 64,758..."</t>
  </si>
  <si>
    <t>K135</t>
  </si>
  <si>
    <t>LiabilitiesCurrent=133973mm; AccountsPayableCurrent=58146mm; ContractWithCustomerLiabilityCurrent=8264mm;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</si>
  <si>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2024-02-02: "ree Months Ended December 30, 2023 December 31, 2022 Cash, cash equivalents and restricted cash, beginning balances $ 30,737 $ 24,977..."</t>
  </si>
  <si>
    <t>L135</t>
  </si>
  <si>
    <t>LiabilitiesCurrent=123822mm; AccountsPayableCurrent=45753mm; ContractWithCustomerLiabilityCurrent=8012mm; DebtCurrent=0mm</t>
  </si>
  <si>
    <t>M135</t>
  </si>
  <si>
    <t>LiabilitiesCurrent=131624mm; AccountsPayableCurrent=47574mm; ContractWithCustomerLiabilityCurrent=8053mm;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</si>
  <si>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2024-08-02: "llions) Nine Months Ended June 29, 2024 July 1, 2023 Cash, cash equivalents and restricted cash, beginning balances $ 30,737 $ 24,977..."</t>
  </si>
  <si>
    <t>N135</t>
  </si>
  <si>
    <t>LiabilitiesCurrent=176392mm; AccountsPayableCurrent=68960mm; ContractWithCustomerLiabilityCurrent=8249mm;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</si>
  <si>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2024-11-01: "66 Non-current assets: Marketable securities 91,479 100,544 Property, plant and equipment, net 45,680 43,715 Other non-current assets 74,834..."</t>
  </si>
  <si>
    <t>P135</t>
  </si>
  <si>
    <t>LiabilitiesCurrent=144365mm; AccountsPayableCurrent=61910mm; ContractWithCustomerLiabilityCurrent=8461mm;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</si>
  <si>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2025-01-31: "ber 28, 2024 December 30, 2023 Cash, cash equivalents, and restricted cash and cash equivalents, beginning balances $ 29,943 $ 30,737..."</t>
  </si>
  <si>
    <t>Q135</t>
  </si>
  <si>
    <t>LiabilitiesCurrent=144571mm; AccountsPayableCurrent=54126mm; ContractWithCustomerLiabilityCurrent=8976mm;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</si>
  <si>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2025-05-02: "March 29, 2025 March 30, 2024 Cash, cash equivalents, and restricted cash and cash equivalents, beginning balances $ 29,943 $ 30,737..."</t>
  </si>
  <si>
    <t>R135</t>
  </si>
  <si>
    <t>LiabilitiesCurrent=141120mm; AccountsPayableCurrent=50374mm; ContractWithCustomerLiabilityCurrent=8979mm;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</si>
  <si>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2025-08-01: "ed June 28, 2025 June 29, 2024 Cash, cash equivalents, and restricted cash and cash equivalents, beginning balances $ 29,943 $ 30,737..."</t>
  </si>
  <si>
    <t>S135</t>
  </si>
  <si>
    <t>LiabilitiesCurrent=165631mm; AccountsPayableCurrent=69860mm; ContractWithCustomerLiabilityCurrent=9055mm;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</si>
  <si>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2025-10-31: "987 Non-current assets: Marketable securities 77,723 91,479 Property, plant and equipment, net 49,834 45,680 Other non-current assets 83,727..."</t>
  </si>
  <si>
    <t>U135</t>
  </si>
  <si>
    <t>LiabilitiesCurrent=162367mm; AccountsPayableCurrent=70587mm; ContractWithCustomerLiabilityCurrent=9413mm;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</si>
  <si>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2026-01-30: "ber 27, 2025 December 28, 2024 Cash, cash equivalents, and restricted cash and cash equivalents, beginning balances $ 35,934 $ 29,943..."</t>
  </si>
  <si>
    <t>V135</t>
  </si>
  <si>
    <t>LiabilitiesCurrent=134641mm; AccountsPayableCurrent=57349mm; ContractWithCustomerLiabilityCurrent=9331mm;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</si>
  <si>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2026-05-01: "March 28, 2026 March 29, 2025 Cash, cash equivalents, and restricted cash and cash equivalents, beginning balances $ 35,934 $ 29,943..."</t>
  </si>
  <si>
    <t>F136</t>
  </si>
  <si>
    <t>ContractWithCustomerLiabilityCurrent=7992mm</t>
  </si>
  <si>
    <t>Contract with Customer, Liability, Current</t>
  </si>
  <si>
    <t>G136</t>
  </si>
  <si>
    <t>ContractWithCustomerLiabilityCurrent=8131mm</t>
  </si>
  <si>
    <t>H136</t>
  </si>
  <si>
    <t>ContractWithCustomerLiabilityCurrent=8158mm</t>
  </si>
  <si>
    <t>I136</t>
  </si>
  <si>
    <t>ContractWithCustomerLiabilityCurrent=8061mm</t>
  </si>
  <si>
    <t>K136</t>
  </si>
  <si>
    <t>ContractWithCustomerLiabilityCurrent=8264mm</t>
  </si>
  <si>
    <t>L136</t>
  </si>
  <si>
    <t>ContractWithCustomerLiabilityCurrent=8012mm</t>
  </si>
  <si>
    <t>M136</t>
  </si>
  <si>
    <t>ContractWithCustomerLiabilityCurrent=8053mm</t>
  </si>
  <si>
    <t>N136</t>
  </si>
  <si>
    <t>ContractWithCustomerLiabilityCurrent=8249mm</t>
  </si>
  <si>
    <t>P136</t>
  </si>
  <si>
    <t>ContractWithCustomerLiabilityCurrent=8461mm</t>
  </si>
  <si>
    <t>Grouped from Contract with Customer, Liability, Current. Mapped to a direct SEC other current liability / current contract liability concept when reported. Filing says: 10-Q filed 2025-01-31: "987 Non-current assets: Marketable securities 87,593 91,479 Property, plant and equipment, net 46,069 45,680 Other non-current assets 77,183..."</t>
  </si>
  <si>
    <t>Q136</t>
  </si>
  <si>
    <t>ContractWithCustomerLiabilityCurrent=8976mm</t>
  </si>
  <si>
    <t>Grouped from Contract with Customer, Liability, Current. Mapped to a direct SEC other current liability / current contract liability concept when reported. Filing says: 10-Q filed 2025-05-02: "987 Non-current assets: Marketable securities 84,424 91,479 Property, plant and equipment, net 46,876 45,680 Other non-current assets 81,259..."</t>
  </si>
  <si>
    <t>R136</t>
  </si>
  <si>
    <t>ContractWithCustomerLiabilityCurrent=8979mm</t>
  </si>
  <si>
    <t>Grouped from Contract with Customer, Liability, Current. Mapped to a direct SEC other current liability / current contract liability concept when reported. Filing says: 10-Q filed 2025-08-01: "987 Non-current assets: Marketable securities 77,614 91,479 Property, plant and equipment, net 48,508 45,680 Other non-current assets 82,882..."</t>
  </si>
  <si>
    <t>S136</t>
  </si>
  <si>
    <t>ContractWithCustomerLiabilityCurrent=9055mm</t>
  </si>
  <si>
    <t>Grouped from Contract with Customer, Liability, Current. Mapped to a direct SEC other current liability / current contract liability concept when reported. Filing says: 10-K filed 2025-10-31: "ax assets and liabilities were as follows (in millions): 2025 2024 Deferred tax assets: Capitalized research and development $ 15,041 $..."</t>
  </si>
  <si>
    <t>U136</t>
  </si>
  <si>
    <t>ContractWithCustomerLiabilityCurrent=9413mm</t>
  </si>
  <si>
    <t>V136</t>
  </si>
  <si>
    <t>ContractWithCustomerLiabilityCurrent=9331mm</t>
  </si>
  <si>
    <t>F140</t>
  </si>
  <si>
    <t>LongTermDebtNoncurrent=99627mm</t>
  </si>
  <si>
    <t>Long-term Debt, Excluding Current Maturities</t>
  </si>
  <si>
    <t>G140</t>
  </si>
  <si>
    <t>LongTermDebtNoncurrent=97041mm</t>
  </si>
  <si>
    <t>H140</t>
  </si>
  <si>
    <t>LongTermDebtNoncurrent=98071mm</t>
  </si>
  <si>
    <t>I140</t>
  </si>
  <si>
    <t>LongTermDebtNoncurrent=95281mm</t>
  </si>
  <si>
    <t>K140</t>
  </si>
  <si>
    <t>LongTermDebtNoncurrent=95088mm</t>
  </si>
  <si>
    <t>L140</t>
  </si>
  <si>
    <t>LongTermDebtNoncurrent=91831mm</t>
  </si>
  <si>
    <t>M140</t>
  </si>
  <si>
    <t>LongTermDebtNoncurrent=86196mm</t>
  </si>
  <si>
    <t>N140</t>
  </si>
  <si>
    <t>LongTermDebtNoncurrent=85750mm</t>
  </si>
  <si>
    <t>P140</t>
  </si>
  <si>
    <t>LongTermDebtNoncurrent=83956mm</t>
  </si>
  <si>
    <t>Grouped from Long-term Debt, Excluding Current Maturities. Filing says: 10-Q filed 2025-01-31: "987 Non-current assets: Marketable securities 87,593 91,479 Property, plant and equipment, net 46,069 45,680 Other non-current assets 77,183..."</t>
  </si>
  <si>
    <t>Q140</t>
  </si>
  <si>
    <t>LongTermDebtNoncurrent=78566mm</t>
  </si>
  <si>
    <t>Grouped from Long-term Debt, Excluding Current Maturities. Filing says: 10-Q filed 2025-05-02: ",753 $ 219,659 $ 210,328 Portion of total net sales that was included in deferred revenue as of the beginning of the period $ 3,672 $ 3,282..."</t>
  </si>
  <si>
    <t>R140</t>
  </si>
  <si>
    <t>LongTermDebtNoncurrent=82430mm</t>
  </si>
  <si>
    <t>Grouped from Long-term Debt, Excluding Current Maturities. Filing says: 10-Q filed 2025-08-01: ",777 $ 313,695 $ 296,105 Portion of total net sales that was included in deferred revenue as of the beginning of the period $ 4,015 $ 3,405..."</t>
  </si>
  <si>
    <t>S140</t>
  </si>
  <si>
    <t>LongTermDebtNoncurrent=78328mm</t>
  </si>
  <si>
    <t>Grouped from Long-term Debt, Excluding Current Maturities. Filing says: 10-K filed 2025-10-31: "987 Non-current assets: Marketable securities 77,723 91,479 Property, plant and equipment, net 49,834 45,680 Other non-current assets 83,727..."</t>
  </si>
  <si>
    <t>U140</t>
  </si>
  <si>
    <t>LongTermDebtNoncurrent=76685mm</t>
  </si>
  <si>
    <t>V140</t>
  </si>
  <si>
    <t>LongTermDebtNoncurrent=74404mm</t>
  </si>
  <si>
    <t>F141</t>
  </si>
  <si>
    <t>DeferredTaxLiabilitiesNoncurrent=0mm</t>
  </si>
  <si>
    <t>DeferredTaxLiabilitiesNoncurrent</t>
  </si>
  <si>
    <t>Grouped from Deferred Tax Liabilities Noncurrent. No separate deferred tax liability was reported in the SEC balance sheet for this period. Filing says: 10-Q filed 2023-02-03: "ree Months Ended December 31, 2022 December 25, 2021 Cash, cash equivalents and restricted cash, beginning balances $ 24,977 $ 35,929..." SEC validation: Value is a zero/derived model support value with no direct SEC fact.</t>
  </si>
  <si>
    <t>G141</t>
  </si>
  <si>
    <t>Grouped from Deferred Tax Liabilities Noncurrent. No separate deferred tax liability was reported in the SEC balance sheet for this period. Filing says: 10-Q filed 2023-05-05: "5 Non-current assets: Marketable securities 110,461 120,805 Property, plant and equipment, net 43,398 42,117 Other non-current assets 65,388..." SEC validation: Value is a zero/derived model support value with no direct SEC fact.</t>
  </si>
  <si>
    <t>H141</t>
  </si>
  <si>
    <t>Grouped from Deferred Tax Liabilities Noncurrent. No separate deferred tax liability was reported in the SEC balance sheet for this period. Filing says: 10-Q filed 2023-08-04: "5 Non-current assets: Marketable securities 104,061 120,805 Property, plant and equipment, net 43,550 42,117 Other non-current assets 64,768..." SEC validation: Value is a zero/derived model support value with no direct SEC fact.</t>
  </si>
  <si>
    <t>I141</t>
  </si>
  <si>
    <t>Grouped from Deferred Tax Liabilities Noncurrent. No separate deferred tax liability was reported in the SEC balance sheet for this period. Filing says: 10-K filed 2023-11-03: "5 Non-current assets: Marketable securities 100,544 120,805 Property, plant and equipment, net 43,715 42,117 Other non-current assets 64,758..." SEC validation: Value is a zero/derived model support value with no direct SEC fact.</t>
  </si>
  <si>
    <t>K141</t>
  </si>
  <si>
    <t>Grouped from Deferred Tax Liabilities Noncurrent. No separate deferred tax liability was reported in the SEC balance sheet for this period. Filing says: 10-Q filed 2024-02-02: "66 Non-current assets: Marketable securities 99,475 100,544 Property, plant and equipment, net 43,666 43,715 Other non-current assets 66,681..." SEC validation: Value is a zero/derived model support value with no direct SEC fact.</t>
  </si>
  <si>
    <t>L141</t>
  </si>
  <si>
    <t>Grouped from Deferred Tax Liabilities Noncurrent. No separate deferred tax liability was reported in the SEC balance sheet for this period. Filing says: 10-Q filed 2024-05-03: "66 Non-current assets: Marketable securities 95,187 100,544 Property, plant and equipment, net 43,546 43,715 Other non-current assets 70,262..." SEC validation: Value is a zero/derived model support value with no direct SEC fact.</t>
  </si>
  <si>
    <t>M141</t>
  </si>
  <si>
    <t>Grouped from Deferred Tax Liabilities Noncurrent. No separate deferred tax liability was reported in the SEC balance sheet for this period. Filing says: 10-Q filed 2024-08-02: "66 Non-current assets: Marketable securities 91,240 100,544 Property, plant and equipment, net 44,502 43,715 Other non-current assets 70,435..." SEC validation: Value is a zero/derived model support value with no direct SEC fact.</t>
  </si>
  <si>
    <t>N141</t>
  </si>
  <si>
    <t>Grouped from Deferred Tax Liabilities Noncurrent. No separate deferred tax liability was reported in the SEC balance sheet for this period. Filing says: 10-K filed 2024-11-01: "66 Non-current assets: Marketable securities 91,479 100,544 Property, plant and equipment, net 45,680 43,715 Other non-current assets 74,834..." SEC validation: Value is a zero/derived model support value with no direct SEC fact.</t>
  </si>
  <si>
    <t>P141</t>
  </si>
  <si>
    <t>Grouped from Deferred Tax Liabilities Noncurrent. No separate deferred tax liability was reported in the SEC balance sheet for this period. Filing says: 10-Q filed 2025-01-31: "987 Non-current assets: Marketable securities 87,593 91,479 Property, plant and equipment, net 46,069 45,680 Other non-current assets 77,183..." SEC validation: Value is a zero/derived model support value with no direct SEC fact.</t>
  </si>
  <si>
    <t>Q141</t>
  </si>
  <si>
    <t>Grouped from Deferred Tax Liabilities Noncurrent. No separate deferred tax liability was reported in the SEC balance sheet for this period. Filing says: 10-Q filed 2025-05-02: "987 Non-current assets: Marketable securities 84,424 91,479 Property, plant and equipment, net 46,876 45,680 Other non-current assets 81,259..." SEC validation: Value is a zero/derived model support value with no direct SEC fact.</t>
  </si>
  <si>
    <t>R141</t>
  </si>
  <si>
    <t>Grouped from Deferred Tax Liabilities Noncurrent. No separate deferred tax liability was reported in the SEC balance sheet for this period. Filing says: 10-Q filed 2025-08-01: "987 Non-current assets: Marketable securities 77,614 91,479 Property, plant and equipment, net 48,508 45,680 Other non-current assets 82,882..." SEC validation: Value is a zero/derived model support value with no direct SEC fact.</t>
  </si>
  <si>
    <t>S141</t>
  </si>
  <si>
    <t>Grouped from Deferred Tax Liabilities Noncurrent. No separate deferred tax liability was reported in the SEC balance sheet for this period. Filing says: 10-K filed 2025-10-31: "987 Non-current assets: Marketable securities 77,723 91,479 Property, plant and equipment, net 49,834 45,680 Other non-current assets 83,727..." SEC validation: Value is a zero/derived model support value with no direct SEC fact.</t>
  </si>
  <si>
    <t>U141</t>
  </si>
  <si>
    <t>Grouped from Deferred Tax Liabilities Noncurrent. No separate deferred tax liability was reported in the SEC balance sheet for this period. Filing says: 10-Q filed 2026-01-30: "957 Non-current assets: Marketable securities 77,888 77,723 Property, plant and equipment, net 50,159 49,834 Other non-current assets 93,146..." SEC validation: Value is a zero/derived model support value with no direct SEC fact.</t>
  </si>
  <si>
    <t>V141</t>
  </si>
  <si>
    <t>Grouped from Deferred Tax Liabilities Noncurrent. No separate deferred tax liability was reported in the SEC balance sheet for this period. Filing says: 10-Q filed 2026-05-01: "curities 78,088 77,723 Property, plant and equipment, net 50,116 49,834 Intangible assets, net 21,334 11,093 Other non-current assets 77,430..." SEC validation: Value is a zero/derived model support value with no direct SEC fact.</t>
  </si>
  <si>
    <t>F142</t>
  </si>
  <si>
    <t>Liabilities=290020mm; LiabilitiesCurrent=137286mm; DebtCurrent=0mm; LongTermDebtNoncurrent=99627mm;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</si>
  <si>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</si>
  <si>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</si>
  <si>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Liabilities=270002mm; LiabilitiesCurrent=120075mm; DebtCurrent=0mm; LongTermDebtNoncurrent=97041mm; DeferredTaxLiabilitiesNoncurrent=0mm; OperatingLeaseLiabilityNoncurrent=0mm; PensionAndOtherPostretirementDefinedBenefitPlansLiabilityNoncurrent=0mm</t>
  </si>
  <si>
    <t>H142</t>
  </si>
  <si>
    <t>Liabilities=274764mm; LiabilitiesCurrent=124963mm; DebtCurrent=0mm; LongTermDebtNoncurrent=98071mm; DeferredTaxLiabilitiesNoncurrent=0mm; OperatingLeaseLiabilityNoncurrent=0mm; PensionAndOtherPostretirementDefinedBenefitPlansLiabilityNoncurrent=0mm</t>
  </si>
  <si>
    <t>I142</t>
  </si>
  <si>
    <t>Liabilities=290437mm; LiabilitiesCurrent=145308mm; DebtCurrent=0mm; LongTermDebtNoncurrent=95281mm; DeferredTaxLiabilitiesNoncurrent=0mm; OperatingLeaseLiabilityNoncurrent=0mm; PensionAndOtherPostretirementDefinedBenefitPlansLiabilityNoncurrent=0mm</t>
  </si>
  <si>
    <t>K142</t>
  </si>
  <si>
    <t>Liabilities=279414mm; LiabilitiesCurrent=133973mm; DebtCurrent=0mm; LongTermDebtNoncurrent=95088mm; DeferredTaxLiabilitiesNoncurrent=0mm; OperatingLeaseLiabilityNoncurrent=0mm; PensionAndOtherPostretirementDefinedBenefitPlansLiabilityNoncurrent=0mm</t>
  </si>
  <si>
    <t>L142</t>
  </si>
  <si>
    <t>Liabilities=263217mm; LiabilitiesCurrent=123822mm; DebtCurrent=0mm; LongTermDebtNoncurrent=91831mm; DeferredTaxLiabilitiesNoncurrent=0mm; OperatingLeaseLiabilityNoncurrent=0mm; PensionAndOtherPostretirementDefinedBenefitPlansLiabilityNoncurrent=0mm</t>
  </si>
  <si>
    <t>M142</t>
  </si>
  <si>
    <t>Liabilities=264904mm; LiabilitiesCurrent=131624mm; DebtCurrent=0mm; LongTermDebtNoncurrent=86196mm; DeferredTaxLiabilitiesNoncurrent=0mm; OperatingLeaseLiabilityNoncurrent=0mm; PensionAndOtherPostretirementDefinedBenefitPlansLiabilityNoncurrent=0mm</t>
  </si>
  <si>
    <t>N142</t>
  </si>
  <si>
    <t>Liabilities=308030mm; LiabilitiesCurrent=176392mm; DebtCurrent=0mm; LongTermDebtNoncurrent=85750mm; DeferredTaxLiabilitiesNoncurrent=0mm; OperatingLeaseLiabilityNoncurrent=0mm; PensionAndOtherPostretirementDefinedBenefitPlansLiabilityNoncurrent=0mm</t>
  </si>
  <si>
    <t>P142</t>
  </si>
  <si>
    <t>Liabilities=277327mm; LiabilitiesCurrent=144365mm; DebtCurrent=0mm; LongTermDebtNoncurrent=83956mm;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</si>
  <si>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2025-01-31: "987 Non-current assets: Marketable securities 87,593 91,479 Property, plant and equipment, net 46,069 45,680 Other non-current assets 77,183..."</t>
  </si>
  <si>
    <t>Q142</t>
  </si>
  <si>
    <t>Liabilities=264437mm; LiabilitiesCurrent=144571mm; DebtCurrent=0mm; LongTermDebtNoncurrent=78566mm;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</si>
  <si>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2025-05-02: "987 Non-current assets: Marketable securities 84,424 91,479 Property, plant and equipment, net 46,876 45,680 Other non-current assets 81,259..."</t>
  </si>
  <si>
    <t>R142</t>
  </si>
  <si>
    <t>Liabilities=265665mm; LiabilitiesCurrent=141120mm; DebtCurrent=0mm; LongTermDebtNoncurrent=82430mm;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</si>
  <si>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2025-08-01: "987 Non-current assets: Marketable securities 77,614 91,479 Property, plant and equipment, net 48,508 45,680 Other non-current assets 82,882..."</t>
  </si>
  <si>
    <t>S142</t>
  </si>
  <si>
    <t>Liabilities=285508mm; LiabilitiesCurrent=165631mm; DebtCurrent=0mm; LongTermDebtNoncurrent=78328mm;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</si>
  <si>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10-K filed 2025-10-31: "987 Non-current assets: Marketable securities 77,723 91,479 Property, plant and equipment, net 49,834 45,680 Other non-current assets 83,727..."</t>
  </si>
  <si>
    <t>U142</t>
  </si>
  <si>
    <t>Liabilities=291107mm; LiabilitiesCurrent=162367mm; DebtCurrent=0mm; LongTermDebtNoncurrent=76685mm; DeferredTaxLiabilitiesNoncurrent=0mm; OperatingLeaseLiabilityNoncurrent=0mm; PensionAndOtherPostretirementDefinedBenefitPlansLiabilityNoncurrent=0mm</t>
  </si>
  <si>
    <t>V142</t>
  </si>
  <si>
    <t>Liabilities=264591mm; LiabilitiesCurrent=134641mm; DebtCurrent=0mm; LongTermDebtNoncurrent=74404mm; DeferredTaxLiabilitiesNoncurrent=0mm; OperatingLeaseLiabilityNoncurrent=0mm; PensionAndOtherPostretirementDefinedBenefitPlansLiabilityNoncurrent=0mm</t>
  </si>
  <si>
    <t>F147</t>
  </si>
  <si>
    <t>CommonStockValue=0mm; CommonStocksIncludingAdditionalPaidInCapital=66399mm</t>
  </si>
  <si>
    <t>CommonStockValue; Common Stocks, Including Additional Paid in Capital</t>
  </si>
  <si>
    <t>Grouped from Common Stock Value, Common Stocks, Including Additional Paid in Capital. Included common stock value plus additional paid-in capital. Filing says: 10-Q filed 2023-02-03: "ths Ended December 31, 2022 December 25, 2021 Net sales: Products $ 96,388 $ 104,429 Services 20,766 19,516 Total net sales 117,154 123,945..."</t>
  </si>
  <si>
    <t>G147</t>
  </si>
  <si>
    <t>CommonStockValue=0mm; CommonStocksIncludingAdditionalPaidInCapital=69568mm</t>
  </si>
  <si>
    <t>Grouped from Common Stock Value, Common Stocks, Including Additional Paid in Capital. Included common stock value plus additional paid-in capital. Filing says: 10-Q filed 2023-05-05: "lions) Six Months Ended April 1, 2023 March 26, 2022 Cash, cash equivalents and restricted cash, beginning balances $ 24,977 $ 35,929..."</t>
  </si>
  <si>
    <t>H147</t>
  </si>
  <si>
    <t>CommonStockValue=0mm; CommonStocksIncludingAdditionalPaidInCapital=70667mm</t>
  </si>
  <si>
    <t>Grouped from Common Stock Value, Common Stocks, Including Additional Paid in Capital. Included common stock value plus additional paid-in capital. Filing says: 10-Q filed 2023-08-04: "llions) Nine Months Ended July 1, 2023 June 25, 2022 Cash, cash equivalents and restricted cash, beginning balances $ 24,977 $ 35,929..."</t>
  </si>
  <si>
    <t>I147</t>
  </si>
  <si>
    <t>CommonStockValue=0mm; CommonStocksIncludingAdditionalPaidInCapital=73812mm</t>
  </si>
  <si>
    <t>Grouped from Common Stock Value, Common Stocks, Including Additional Paid in Capital. Included common stock value plus additional paid-in capital. Filing says: 10-K filed 2023-11-03: "bilities were (in millions): 2023 2022 Deferred tax assets: Tax credit carryforwards $ 8,302 $ 6,962 Accrued liabilities and other reserves..."</t>
  </si>
  <si>
    <t>K147</t>
  </si>
  <si>
    <t>CommonStockValue=0mm; CommonStocksIncludingAdditionalPaidInCapital=75236mm</t>
  </si>
  <si>
    <t>Grouped from Common Stock Value, Common Stocks, Including Additional Paid in Capital. Included common stock value plus additional paid-in capital. Filing says: 10-Q filed 2024-02-02: "nths Ended December 30, 2023 December 31, 2022 Net sales: Products $ 96,458 $ 96,388 Services 23,117 20,766 Total net sales 119,575 117,154..."</t>
  </si>
  <si>
    <t>L147</t>
  </si>
  <si>
    <t>CommonStockValue=0mm; CommonStocksIncludingAdditionalPaidInCapital=78815mm</t>
  </si>
  <si>
    <t>Grouped from Common Stock Value, Common Stocks, Including Additional Paid in Capital. Included common stock value plus additional paid-in capital. Filing says: 10-Q filed 2024-05-03: "lions) Six Months Ended March 30, 2024 April 1, 2023 Cash, cash equivalents and restricted cash, beginning balances $ 30,737 $ 24,977..."</t>
  </si>
  <si>
    <t>M147</t>
  </si>
  <si>
    <t>CommonStockValue=0mm; CommonStocksIncludingAdditionalPaidInCapital=79850mm</t>
  </si>
  <si>
    <t>Grouped from Common Stock Value, Common Stocks, Including Additional Paid in Capital. Included common stock value plus additional paid-in capital. Filing says: 10-Q filed 2024-08-02: "llions) Nine Months Ended June 29, 2024 July 1, 2023 Cash, cash equivalents and restricted cash, beginning balances $ 30,737 $ 24,977..."</t>
  </si>
  <si>
    <t>N147</t>
  </si>
  <si>
    <t>CommonStockValue=0mm; CommonStocksIncludingAdditionalPaidInCapital=83276mm</t>
  </si>
  <si>
    <t>Grouped from Common Stock Value, Common Stocks, Including Additional Paid in Capital. Included common stock value plus additional paid-in capital. Filing says: 10-K filed 2024-11-01: "s deferred tax assets and liabilities were (in millions): 2024 2023 Deferred tax assets: Capitalized research and development $ 10,739 $..."</t>
  </si>
  <si>
    <t>P147</t>
  </si>
  <si>
    <t>CommonStockValue=0mm; CommonStocksIncludingAdditionalPaidInCapital=84768mm</t>
  </si>
  <si>
    <t>Grouped from Common Stock Value, Common Stocks, Including Additional Paid in Capital. Included common stock value plus additional paid-in capital. Filing says: 10-Q filed 2025-01-31: "nths Ended December 28, 2024 December 30, 2023 Net sales: Products $ 97,960 $ 96,458 Services 26,340 23,117 Total net sales 124,300 119,575..."</t>
  </si>
  <si>
    <t>Q147</t>
  </si>
  <si>
    <t>CommonStockValue=0mm; CommonStocksIncludingAdditionalPaidInCapital=88711mm</t>
  </si>
  <si>
    <t>Grouped from Common Stock Value, Common Stocks, Including Additional Paid in Capital. Included common stock value plus additional paid-in capital. Filing says: 10-Q filed 2025-05-02: "March 29, 2025 March 30, 2024 Cash, cash equivalents, and restricted cash and cash equivalents, beginning balances $ 29,943 $ 30,737..."</t>
  </si>
  <si>
    <t>R147</t>
  </si>
  <si>
    <t>CommonStockValue=0mm; CommonStocksIncludingAdditionalPaidInCapital=89806mm</t>
  </si>
  <si>
    <t>Grouped from Common Stock Value, Common Stocks, Including Additional Paid in Capital. Included common stock value plus additional paid-in capital. Filing says: 10-Q filed 2025-08-01: "ed June 28, 2025 June 29, 2024 Cash, cash equivalents, and restricted cash and cash equivalents, beginning balances $ 29,943 $ 30,737..."</t>
  </si>
  <si>
    <t>S147</t>
  </si>
  <si>
    <t>CommonStockValue=0mm; CommonStocksIncludingAdditionalPaidInCapital=93568mm</t>
  </si>
  <si>
    <t>Grouped from Common Stock Value, Common Stocks, Including Additional Paid in Capital. Included common stock value plus additional paid-in capital. Filing says: 10-K filed 2025-10-31: "ax assets and liabilities were as follows (in millions): 2025 2024 Deferred tax assets: Capitalized research and development $ 15,041 $..."</t>
  </si>
  <si>
    <t>U147</t>
  </si>
  <si>
    <t>CommonStockValue=0mm; CommonStocksIncludingAdditionalPaidInCapital=95221mm</t>
  </si>
  <si>
    <t>Grouped from Common Stock Value, Common Stocks, Including Additional Paid in Capital. Included common stock value plus additional paid-in capital. Filing says: 10-Q filed 2026-01-30: "ths Ended December 27, 2025 December 28, 2024 Net sales: Products $ 113,743 $ 97,960 Services 30,013 26,340 Total net sales 143,756 124,300..."</t>
  </si>
  <si>
    <t>V147</t>
  </si>
  <si>
    <t>CommonStockValue=0mm; CommonStocksIncludingAdditionalPaidInCapital=99507mm</t>
  </si>
  <si>
    <t>Grouped from Common Stock Value, Common Stocks, Including Additional Paid in Capital. Included common stock value plus additional paid-in capital. Filing says: 10-Q filed 2026-05-01: "March 28, 2026 March 29, 2025 Cash, cash equivalents, and restricted cash and cash equivalents, beginning balances $ 35,934 $ 29,943..."</t>
  </si>
  <si>
    <t>F148</t>
  </si>
  <si>
    <t>RetainedEarningsAccumulatedDeficit=3240mm</t>
  </si>
  <si>
    <t>Retained Earnings (Accumulated Deficit)</t>
  </si>
  <si>
    <t>G148</t>
  </si>
  <si>
    <t>RetainedEarningsAccumulatedDeficit=4336mm</t>
  </si>
  <si>
    <t>H148</t>
  </si>
  <si>
    <t>RetainedEarningsAccumulatedDeficit=1408mm</t>
  </si>
  <si>
    <t>I148</t>
  </si>
  <si>
    <t>RetainedEarningsAccumulatedDeficit=-214mm</t>
  </si>
  <si>
    <t>K148</t>
  </si>
  <si>
    <t>RetainedEarningsAccumulatedDeficit=8242mm</t>
  </si>
  <si>
    <t>L148</t>
  </si>
  <si>
    <t>RetainedEarningsAccumulatedDeficit=4339mm</t>
  </si>
  <si>
    <t>M148</t>
  </si>
  <si>
    <t>RetainedEarningsAccumulatedDeficit=-4726mm</t>
  </si>
  <si>
    <t>N148</t>
  </si>
  <si>
    <t>RetainedEarningsAccumulatedDeficit=-19154mm</t>
  </si>
  <si>
    <t>P148</t>
  </si>
  <si>
    <t>RetainedEarningsAccumulatedDeficit=-11221mm</t>
  </si>
  <si>
    <t>Q148</t>
  </si>
  <si>
    <t>RetainedEarningsAccumulatedDeficit=-15552mm</t>
  </si>
  <si>
    <t>R148</t>
  </si>
  <si>
    <t>RetainedEarningsAccumulatedDeficit=-17607mm</t>
  </si>
  <si>
    <t>S148</t>
  </si>
  <si>
    <t>RetainedEarningsAccumulatedDeficit=-14264mm</t>
  </si>
  <si>
    <t>U148</t>
  </si>
  <si>
    <t>RetainedEarningsAccumulatedDeficit=-2177mm</t>
  </si>
  <si>
    <t>V148</t>
  </si>
  <si>
    <t>RetainedEarningsAccumulatedDeficit=12359mm</t>
  </si>
  <si>
    <t>F149</t>
  </si>
  <si>
    <t>TreasuryStockValue=0mm</t>
  </si>
  <si>
    <t>TreasuryStockValue</t>
  </si>
  <si>
    <t>Grouped from Treasury Stock Value. Filing says: 10-Q filed 2023-02-03: "ths Ended December 31, 2022 December 25, 2021 Net sales: Products $ 96,388 $ 104,429 Services 20,766 19,516 Total net sales 117,154 123,945..." SEC validation: Value is a zero/derived model support value with no direct SEC fact.</t>
  </si>
  <si>
    <t>G149</t>
  </si>
  <si>
    <t>Grouped from Treasury Stock Value. Filing says: 10-Q filed 2023-05-05: "34 ( 1,001 ) 696 Adjustment for net (gains)/losses realized and included in net income ( 191 ) ( 301 ) ( 1,957 ) ( 208 ) Total change in..." SEC validation: Value is a zero/derived model support value with no direct SEC fact.</t>
  </si>
  <si>
    <t>H149</t>
  </si>
  <si>
    <t>Grouped from Treasury Stock Value. Filing says: 10-Q filed 2023-08-04: "ents 509 852 ( 492 ) 1,548 Adjustment for net (gains)/losses realized and included in net income 103 121 ( 1,854 ) ( 87 ) Total change in..." SEC validation: Value is a zero/derived model support value with no direct SEC fact.</t>
  </si>
  <si>
    <t>I149</t>
  </si>
  <si>
    <t>Grouped from Treasury Stock Value. Filing says: 10-K filed 2023-11-03: "bilities were (in millions): 2023 2022 Deferred tax assets: Tax credit carryforwards $ 8,302 $ 6,962 Accrued liabilities and other reserves..." SEC validation: Value is a zero/derived model support value with no direct SEC fact.</t>
  </si>
  <si>
    <t>K149</t>
  </si>
  <si>
    <t>Grouped from Treasury Stock Value. Filing says: 10-Q filed 2024-02-02: "nths Ended December 30, 2023 December 31, 2022 Net sales: Products $ 96,458 $ 96,388 Services 23,117 20,766 Total net sales 119,575 117,154..." SEC validation: Value is a zero/derived model support value with no direct SEC fact.</t>
  </si>
  <si>
    <t>L149</t>
  </si>
  <si>
    <t>Grouped from Treasury Stock Value. Filing says: 10-Q filed 2024-05-03: "75 ) ( 1,001 ) Adjustment for net (gains)/losses realized and included in net income 232 ( 191 ) ( 591 ) ( 1,957 ) Total change in..." SEC validation: Value is a zero/derived model support value with no direct SEC fact.</t>
  </si>
  <si>
    <t>M149</t>
  </si>
  <si>
    <t>Grouped from Treasury Stock Value. Filing says: 10-Q filed 2024-08-02: "406 509 331 ( 492 ) Adjustment for net (gains)/losses realized and included in net income ( 87 ) 103 ( 678 ) ( 1,854 ) Total change in..." SEC validation: Value is a zero/derived model support value with no direct SEC fact.</t>
  </si>
  <si>
    <t>N149</t>
  </si>
  <si>
    <t>Grouped from Treasury Stock Value. Filing says: 10-K filed 2024-11-01: "s deferred tax assets and liabilities were (in millions): 2024 2023 Deferred tax assets: Capitalized research and development $ 10,739 $..." SEC validation: Value is a zero/derived model support value with no direct SEC fact.</t>
  </si>
  <si>
    <t>P149</t>
  </si>
  <si>
    <t>Grouped from Treasury Stock Value. Filing says: 10-Q filed 2025-01-31: "nths Ended December 28, 2024 December 30, 2023 Net sales: Products $ 97,960 $ 96,458 Services 26,340 23,117 Total net sales 124,300 119,575..." SEC validation: Value is a zero/derived model support value with no direct SEC fact.</t>
  </si>
  <si>
    <t>Q149</t>
  </si>
  <si>
    <t>Grouped from Treasury Stock Value. Filing says: 10-Q filed 2025-05-02: "( 318 ) 456 1,333 ( 75 ) Adjustment for net (gains)/losses realized and included in net income ( 628 ) 232 156 ( 591 ) Total change in..." SEC validation: Value is a zero/derived model support value with no direct SEC fact.</t>
  </si>
  <si>
    <t>R149</t>
  </si>
  <si>
    <t>Grouped from Treasury Stock Value. Filing says: 10-Q filed 2025-08-01: "523 ) 406 810 331 Adjustment for net (gains)/losses realized and included in net income ( 571 ) ( 87 ) ( 415 ) ( 678 ) Total change in..." SEC validation: Value is a zero/derived model support value with no direct SEC fact.</t>
  </si>
  <si>
    <t>S149</t>
  </si>
  <si>
    <t>Grouped from Treasury Stock Value. Filing says: 10-K filed 2025-10-31: "ax assets and liabilities were as follows (in millions): 2025 2024 Deferred tax assets: Capitalized research and development $ 15,041 $..." SEC validation: Value is a zero/derived model support value with no direct SEC fact.</t>
  </si>
  <si>
    <t>U149</t>
  </si>
  <si>
    <t>Grouped from Treasury Stock Value. Filing says: 10-Q filed 2026-01-30: "ths Ended December 27, 2025 December 28, 2024 Net sales: Products $ 113,743 $ 97,960 Services 30,013 26,340 Total net sales 143,756 124,300..." SEC validation: Value is a zero/derived model support value with no direct SEC fact.</t>
  </si>
  <si>
    <t>V149</t>
  </si>
  <si>
    <t>Grouped from Treasury Stock Value. Filing says: 10-Q filed 2026-05-01: "instruments 162 ( 318 ) 373 1,333 Adjustment for net (gains)/losses realized and included in net income 44 ( 628 ) 281 156 Total change in..." SEC validation: Value is a zero/derived model support value with no direct SEC fact.</t>
  </si>
  <si>
    <t>F150</t>
  </si>
  <si>
    <t>AccumulatedOtherComprehensiveIncomeLossNetOfTax=-12912mm</t>
  </si>
  <si>
    <t>Accumulated Other Comprehensive Income (Loss), Net of Tax</t>
  </si>
  <si>
    <t>G150</t>
  </si>
  <si>
    <t>AccumulatedOtherComprehensiveIncomeLossNetOfTax=-11746mm</t>
  </si>
  <si>
    <t>H150</t>
  </si>
  <si>
    <t>AccumulatedOtherComprehensiveIncomeLossNetOfTax=-11801mm</t>
  </si>
  <si>
    <t>I150</t>
  </si>
  <si>
    <t>AccumulatedOtherComprehensiveIncomeLossNetOfTax=-11452mm</t>
  </si>
  <si>
    <t>K150</t>
  </si>
  <si>
    <t>AccumulatedOtherComprehensiveIncomeLossNetOfTax=-9378mm</t>
  </si>
  <si>
    <t>L150</t>
  </si>
  <si>
    <t>AccumulatedOtherComprehensiveIncomeLossNetOfTax=-8960mm</t>
  </si>
  <si>
    <t>M150</t>
  </si>
  <si>
    <t>AccumulatedOtherComprehensiveIncomeLossNetOfTax=-8416mm</t>
  </si>
  <si>
    <t>N150</t>
  </si>
  <si>
    <t>AccumulatedOtherComprehensiveIncomeLossNetOfTax=-7172mm</t>
  </si>
  <si>
    <t>P150</t>
  </si>
  <si>
    <t>AccumulatedOtherComprehensiveIncomeLossNetOfTax=-6789mm</t>
  </si>
  <si>
    <t>Q150</t>
  </si>
  <si>
    <t>AccumulatedOtherComprehensiveIncomeLossNetOfTax=-6363mm</t>
  </si>
  <si>
    <t>R150</t>
  </si>
  <si>
    <t>AccumulatedOtherComprehensiveIncomeLossNetOfTax=-6369mm</t>
  </si>
  <si>
    <t>S150</t>
  </si>
  <si>
    <t>AccumulatedOtherComprehensiveIncomeLossNetOfTax=-5571mm</t>
  </si>
  <si>
    <t>U150</t>
  </si>
  <si>
    <t>AccumulatedOtherComprehensiveIncomeLossNetOfTax=-4854mm</t>
  </si>
  <si>
    <t>V150</t>
  </si>
  <si>
    <t>AccumulatedOtherComprehensiveIncomeLossNetOfTax=-5375mm</t>
  </si>
  <si>
    <t>F246</t>
  </si>
  <si>
    <t>skipped</t>
  </si>
  <si>
    <t>ShareBasedCompensation=2905mm</t>
  </si>
  <si>
    <t>Share-based Payment Arrangement, Noncash Expense</t>
  </si>
  <si>
    <t>support</t>
  </si>
  <si>
    <t>Unit mismatch: ShareBasedCompensation is reported in USD, expected shares.</t>
  </si>
  <si>
    <t>would copy</t>
  </si>
  <si>
    <t>blocked: Unit mismatch: ShareBasedCompensation is reported in USD, expected shares.</t>
  </si>
  <si>
    <t>Value was flagged for review instead of written. Unit mismatch: ShareBasedCompensation is reported in USD, expected shares.</t>
  </si>
  <si>
    <t>G246</t>
  </si>
  <si>
    <t>ShareBasedCompensation=2686mm</t>
  </si>
  <si>
    <t>Share-based Payment Arrangement, Noncash Expense (derived Q2)</t>
  </si>
  <si>
    <t>H246</t>
  </si>
  <si>
    <t>ShareBasedCompensation=2617mm</t>
  </si>
  <si>
    <t>Share-based Payment Arrangement, Noncash Expense (derived Q3)</t>
  </si>
  <si>
    <t>I246</t>
  </si>
  <si>
    <t>ShareBasedCompensation=2625mm</t>
  </si>
  <si>
    <t>Share-based Payment Arrangement, Noncash Expense (derived Q4)</t>
  </si>
  <si>
    <t>K246</t>
  </si>
  <si>
    <t>ShareBasedCompensation=2997mm</t>
  </si>
  <si>
    <t>L246</t>
  </si>
  <si>
    <t>ShareBasedCompensation=2964mm</t>
  </si>
  <si>
    <t>M246</t>
  </si>
  <si>
    <t>ShareBasedCompensation=2869mm</t>
  </si>
  <si>
    <t>N246</t>
  </si>
  <si>
    <t>ShareBasedCompensation=2858mm</t>
  </si>
  <si>
    <t>P246</t>
  </si>
  <si>
    <t>ShareBasedCompensation=3286mm</t>
  </si>
  <si>
    <t>Q246</t>
  </si>
  <si>
    <t>ShareBasedCompensation=3226mm</t>
  </si>
  <si>
    <t>R246</t>
  </si>
  <si>
    <t>ShareBasedCompensation=3168mm</t>
  </si>
  <si>
    <t>S246</t>
  </si>
  <si>
    <t>ShareBasedCompensation=3183mm</t>
  </si>
  <si>
    <t>U246</t>
  </si>
  <si>
    <t>ShareBasedCompensation=3594mm</t>
  </si>
  <si>
    <t>V246</t>
  </si>
  <si>
    <t>ShareBasedCompensation=3528mm</t>
  </si>
  <si>
    <t>F252</t>
  </si>
  <si>
    <t>G252</t>
  </si>
  <si>
    <t>H252</t>
  </si>
  <si>
    <t>I252</t>
  </si>
  <si>
    <t>K252</t>
  </si>
  <si>
    <t>L252</t>
  </si>
  <si>
    <t>M252</t>
  </si>
  <si>
    <t>N252</t>
  </si>
  <si>
    <t>P252</t>
  </si>
  <si>
    <t>Q252</t>
  </si>
  <si>
    <t>R252</t>
  </si>
  <si>
    <t>S252</t>
  </si>
  <si>
    <t>U252</t>
  </si>
  <si>
    <t>V252</t>
  </si>
  <si>
    <t>F254</t>
  </si>
  <si>
    <t>PaymentsOfDividends=3768mm</t>
  </si>
  <si>
    <t>Payments of Dividends</t>
  </si>
  <si>
    <t>Dividends normalized from EDGAR cash dividends paid concepts.</t>
  </si>
  <si>
    <t>G254</t>
  </si>
  <si>
    <t>PaymentsOfDividends=3650mm</t>
  </si>
  <si>
    <t>Payments of Dividends (derived Q2)</t>
  </si>
  <si>
    <t>Grouped from Payments of Dividends (derived Q2). Dividends normalized from EDGAR cash dividends paid concepts. Derived from Payments of Dividends less 1Q23.</t>
  </si>
  <si>
    <t>H254</t>
  </si>
  <si>
    <t>PaymentsOfDividends=3849mm</t>
  </si>
  <si>
    <t>Payments of Dividends (derived Q3)</t>
  </si>
  <si>
    <t>Grouped from Payments of Dividends (derived Q3). Dividends normalized from EDGAR cash dividends paid concepts. Derived from Payments of Dividends less 1Q23, 2Q23.</t>
  </si>
  <si>
    <t>I254</t>
  </si>
  <si>
    <t>PaymentsOfDividends=3758mm</t>
  </si>
  <si>
    <t>Payments of Dividends (derived Q4)</t>
  </si>
  <si>
    <t>Grouped from Payments of Dividends (derived Q4). Dividends normalized from EDGAR cash dividends paid concepts. Derived from Payments of Dividends less 1Q23, 2Q23, 3Q23. Filing says: 10-K filed 2023-11-03: "bilities were (in millions): 2023 2022 Deferred tax assets: Tax credit carryforwards $ 8,302 $ 6,962 Accrued liabilities and other reserves..."</t>
  </si>
  <si>
    <t>K254</t>
  </si>
  <si>
    <t>PaymentsOfDividends=3825mm</t>
  </si>
  <si>
    <t>L254</t>
  </si>
  <si>
    <t>PaymentsOfDividends=3710mm</t>
  </si>
  <si>
    <t>Grouped from Payments of Dividends (derived Q2). Dividends normalized from EDGAR cash dividends paid concepts. Derived from Payments of Dividends less 1Q24.</t>
  </si>
  <si>
    <t>M254</t>
  </si>
  <si>
    <t>PaymentsOfDividends=3895mm</t>
  </si>
  <si>
    <t>Grouped from Payments of Dividends (derived Q3). Dividends normalized from EDGAR cash dividends paid concepts. Derived from Payments of Dividends less 1Q24, 2Q24.</t>
  </si>
  <si>
    <t>N254</t>
  </si>
  <si>
    <t>PaymentsOfDividends=3804mm</t>
  </si>
  <si>
    <t>Grouped from Payments of Dividends (derived Q4). Dividends normalized from EDGAR cash dividends paid concepts. Derived from Payments of Dividends less 1Q24, 2Q24, 3Q24. Filing says: 10-K filed 2024-11-01: "s deferred tax assets and liabilities were (in millions): 2024 2023 Deferred tax assets: Capitalized research and development $ 10,739 $..."</t>
  </si>
  <si>
    <t>P254</t>
  </si>
  <si>
    <t>PaymentsOfDividends=3856mm</t>
  </si>
  <si>
    <t>Q254</t>
  </si>
  <si>
    <t>Grouped from Payments of Dividends (derived Q2). Dividends normalized from EDGAR cash dividends paid concepts. Derived from Payments of Dividends less 1Q25.</t>
  </si>
  <si>
    <t>R254</t>
  </si>
  <si>
    <t>PaymentsOfDividends=3945mm</t>
  </si>
  <si>
    <t>Grouped from Payments of Dividends (derived Q3). Dividends normalized from EDGAR cash dividends paid concepts. Derived from Payments of Dividends less 1Q25, 2Q25.</t>
  </si>
  <si>
    <t>S254</t>
  </si>
  <si>
    <t>PaymentsOfDividends=3862mm</t>
  </si>
  <si>
    <t>Grouped from Payments of Dividends (derived Q4). Dividends normalized from EDGAR cash dividends paid concepts. Derived from Payments of Dividends less 1Q25, 2Q25, 3Q25. Filing says: 10-K filed 2025-10-31: "ax assets and liabilities were as follows (in millions): 2025 2024 Deferred tax assets: Capitalized research and development $ 15,041 $..."</t>
  </si>
  <si>
    <t>U254</t>
  </si>
  <si>
    <t>PaymentsOfDividends=3921mm</t>
  </si>
  <si>
    <t>V254</t>
  </si>
  <si>
    <t>PaymentsOfDividends=3822mm</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</si>
  <si>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</si>
  <si>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</si>
  <si>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</si>
  <si>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</si>
  <si>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</si>
  <si>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</si>
  <si>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</si>
  <si>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</si>
  <si>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</si>
  <si>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</si>
  <si>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</si>
  <si>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</si>
  <si>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</si>
  <si>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</si>
  <si>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</si>
  <si>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</si>
  <si>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</si>
  <si>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</si>
  <si>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</si>
  <si>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</si>
  <si>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</si>
  <si>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</si>
  <si>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</si>
  <si>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</si>
  <si>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</si>
  <si>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</si>
  <si>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</si>
  <si>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</si>
  <si>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</si>
  <si>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</si>
  <si>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</si>
  <si>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</si>
  <si>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</si>
  <si>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</si>
  <si>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</si>
  <si>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</si>
  <si>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</si>
  <si>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</si>
  <si>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</si>
  <si>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</si>
  <si>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</si>
  <si>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</si>
  <si>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</si>
  <si>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</si>
  <si>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</si>
  <si>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Services Revenue=20766mm</t>
  </si>
  <si>
    <t>not_run</t>
  </si>
  <si>
    <t>Matched reportable segment "Services" from filing segment tables.</t>
  </si>
  <si>
    <t>G8</t>
  </si>
  <si>
    <t>Services Revenue=20907mm</t>
  </si>
  <si>
    <t>H8</t>
  </si>
  <si>
    <t>Services Revenue=21213mm</t>
  </si>
  <si>
    <t>I8</t>
  </si>
  <si>
    <t>Services Revenue=22314mm</t>
  </si>
  <si>
    <t>K8</t>
  </si>
  <si>
    <t>Services Revenue=23117mm</t>
  </si>
  <si>
    <t>L8</t>
  </si>
  <si>
    <t>Services Revenue=23867mm</t>
  </si>
  <si>
    <t>M8</t>
  </si>
  <si>
    <t>Services Revenue=24213mm</t>
  </si>
  <si>
    <t>N8</t>
  </si>
  <si>
    <t>Services Revenue=24972mm</t>
  </si>
  <si>
    <t>P8</t>
  </si>
  <si>
    <t>Services Revenue=26340mm</t>
  </si>
  <si>
    <t>Q8</t>
  </si>
  <si>
    <t>Services Revenue=26645mm</t>
  </si>
  <si>
    <t>R8</t>
  </si>
  <si>
    <t>Services Revenue=27423mm</t>
  </si>
  <si>
    <t>S8</t>
  </si>
  <si>
    <t>Services Revenue=28750mm</t>
  </si>
  <si>
    <t>U8</t>
  </si>
  <si>
    <t>Services Revenue=30013mm</t>
  </si>
  <si>
    <t>V8</t>
  </si>
  <si>
    <t>Services Revenue=30976mm</t>
  </si>
  <si>
    <t>F9</t>
  </si>
  <si>
    <t>iPhone Revenue=65775mm</t>
  </si>
  <si>
    <t>Matched reportable segment "iPhone" from filing segment tables.</t>
  </si>
  <si>
    <t>G9</t>
  </si>
  <si>
    <t>iPhone Revenue=51334mm</t>
  </si>
  <si>
    <t>H9</t>
  </si>
  <si>
    <t>iPhone Revenue=39669mm</t>
  </si>
  <si>
    <t>I9</t>
  </si>
  <si>
    <t>iPhone Revenue=43805mm</t>
  </si>
  <si>
    <t>K9</t>
  </si>
  <si>
    <t>iPhone Revenue=69702mm</t>
  </si>
  <si>
    <t>L9</t>
  </si>
  <si>
    <t>iPhone Revenue=45963mm</t>
  </si>
  <si>
    <t>M9</t>
  </si>
  <si>
    <t>iPhone Revenue=39296mm</t>
  </si>
  <si>
    <t>N9</t>
  </si>
  <si>
    <t>iPhone Revenue=46222mm</t>
  </si>
  <si>
    <t>P9</t>
  </si>
  <si>
    <t>iPhone Revenue=69138mm</t>
  </si>
  <si>
    <t>Q9</t>
  </si>
  <si>
    <t>iPhone Revenue=46841mm</t>
  </si>
  <si>
    <t>R9</t>
  </si>
  <si>
    <t>iPhone Revenue=44582mm</t>
  </si>
  <si>
    <t>S9</t>
  </si>
  <si>
    <t>iPhone Revenue=49025mm</t>
  </si>
  <si>
    <t>U9</t>
  </si>
  <si>
    <t>iPhone Revenue=85269mm</t>
  </si>
  <si>
    <t>V9</t>
  </si>
  <si>
    <t>iPhone Revenue=56994mm</t>
  </si>
  <si>
    <t>F10</t>
  </si>
  <si>
    <t>Mac Revenue=7735mm</t>
  </si>
  <si>
    <t>Matched reportable segment "Mac" from filing segment tables.</t>
  </si>
  <si>
    <t>G10</t>
  </si>
  <si>
    <t>Mac Revenue=7168mm</t>
  </si>
  <si>
    <t>H10</t>
  </si>
  <si>
    <t>Mac Revenue=6840mm</t>
  </si>
  <si>
    <t>I10</t>
  </si>
  <si>
    <t>Mac Revenue=7614mm</t>
  </si>
  <si>
    <t>K10</t>
  </si>
  <si>
    <t>Mac Revenue=7780mm</t>
  </si>
  <si>
    <t>L10</t>
  </si>
  <si>
    <t>Mac Revenue=7451mm</t>
  </si>
  <si>
    <t>M10</t>
  </si>
  <si>
    <t>Mac Revenue=7009mm</t>
  </si>
  <si>
    <t>N10</t>
  </si>
  <si>
    <t>Mac Revenue=7744mm</t>
  </si>
  <si>
    <t>P10</t>
  </si>
  <si>
    <t>Mac Revenue=8987mm</t>
  </si>
  <si>
    <t>Q10</t>
  </si>
  <si>
    <t>Mac Revenue=7949mm</t>
  </si>
  <si>
    <t>R10</t>
  </si>
  <si>
    <t>Mac Revenue=8046mm</t>
  </si>
  <si>
    <t>S10</t>
  </si>
  <si>
    <t>Mac Revenue=8726mm</t>
  </si>
  <si>
    <t>U10</t>
  </si>
  <si>
    <t>Mac Revenue=8386mm</t>
  </si>
  <si>
    <t>V10</t>
  </si>
  <si>
    <t>Mac Revenue=8399mm</t>
  </si>
  <si>
    <t>F11</t>
  </si>
  <si>
    <t>iPad</t>
  </si>
  <si>
    <t>iPad Revenue=9396mm</t>
  </si>
  <si>
    <t>Matched reportable segment "iPad" from filing segment tables.</t>
  </si>
  <si>
    <t>G11</t>
  </si>
  <si>
    <t>iPad Revenue=6670mm</t>
  </si>
  <si>
    <t>H11</t>
  </si>
  <si>
    <t>iPad Revenue=5791mm</t>
  </si>
  <si>
    <t>I11</t>
  </si>
  <si>
    <t>iPad Revenue=6443mm</t>
  </si>
  <si>
    <t>K11</t>
  </si>
  <si>
    <t>iPad Revenue=7023mm</t>
  </si>
  <si>
    <t>L11</t>
  </si>
  <si>
    <t>iPad Revenue=5559mm</t>
  </si>
  <si>
    <t>M11</t>
  </si>
  <si>
    <t>iPad Revenue=7162mm</t>
  </si>
  <si>
    <t>N11</t>
  </si>
  <si>
    <t>iPad Revenue=6950mm</t>
  </si>
  <si>
    <t>P11</t>
  </si>
  <si>
    <t>iPad Revenue=8088mm</t>
  </si>
  <si>
    <t>Q11</t>
  </si>
  <si>
    <t>iPad Revenue=6402mm</t>
  </si>
  <si>
    <t>R11</t>
  </si>
  <si>
    <t>iPad Revenue=6581mm</t>
  </si>
  <si>
    <t>S11</t>
  </si>
  <si>
    <t>iPad Revenue=6952mm</t>
  </si>
  <si>
    <t>U11</t>
  </si>
  <si>
    <t>iPad Revenue=8595mm</t>
  </si>
  <si>
    <t>V11</t>
  </si>
  <si>
    <t>iPad Revenue=6914mm</t>
  </si>
  <si>
    <t>F12</t>
  </si>
  <si>
    <t>Wearables, Home and Accessories Revenue=13482mm</t>
  </si>
  <si>
    <t>Matched reportable segment "Wearables, Home and Accessories" from filing segment tables.</t>
  </si>
  <si>
    <t>G12</t>
  </si>
  <si>
    <t>Wearables, Home and Accessories Revenue=8757mm</t>
  </si>
  <si>
    <t>H12</t>
  </si>
  <si>
    <t>Wearables, Home and Accessories Revenue=8284mm</t>
  </si>
  <si>
    <t>I12</t>
  </si>
  <si>
    <t>Wearables, Home and Accessories Revenue=9322mm</t>
  </si>
  <si>
    <t>K12</t>
  </si>
  <si>
    <t>Wearables, Home and Accessories Revenue=11953mm</t>
  </si>
  <si>
    <t>L12</t>
  </si>
  <si>
    <t>Wearables, Home and Accessories Revenue=7913mm</t>
  </si>
  <si>
    <t>M12</t>
  </si>
  <si>
    <t>Wearables, Home and Accessories Revenue=8097mm</t>
  </si>
  <si>
    <t>N12</t>
  </si>
  <si>
    <t>Wearables, Home and Accessories Revenue=9042mm</t>
  </si>
  <si>
    <t>P12</t>
  </si>
  <si>
    <t>Wearables, Home and Accessories Revenue=11747mm</t>
  </si>
  <si>
    <t>Q12</t>
  </si>
  <si>
    <t>Wearables, Home and Accessories Revenue=7522mm</t>
  </si>
  <si>
    <t>R12</t>
  </si>
  <si>
    <t>Wearables, Home and Accessories Revenue=7404mm</t>
  </si>
  <si>
    <t>S12</t>
  </si>
  <si>
    <t>Wearables, Home and Accessories Revenue=9013mm</t>
  </si>
  <si>
    <t>U12</t>
  </si>
  <si>
    <t>Wearables, Home and Accessories Revenue=11493mm</t>
  </si>
  <si>
    <t>V12</t>
  </si>
  <si>
    <t>Wearables, Home and Accessories Revenue=7901mm</t>
  </si>
  <si>
    <t>Americas Segment</t>
  </si>
  <si>
    <t>Americas Segment Operating Income=17864mm</t>
  </si>
  <si>
    <t>Matched reportable segment "Americas Segment" from filing segment tables.</t>
  </si>
  <si>
    <t>Americas Segment Operating Income=13927mm</t>
  </si>
  <si>
    <t>Americas Segment Operating Income=13117mm</t>
  </si>
  <si>
    <t>Americas Segment Operating Income=15600mm</t>
  </si>
  <si>
    <t>Americas Segment Operating Income=20357mm</t>
  </si>
  <si>
    <t>Americas Segment Operating Income=15074mm</t>
  </si>
  <si>
    <t>Americas Segment Operating Income=15209mm</t>
  </si>
  <si>
    <t>Americas Segment Operating Income=17016mm</t>
  </si>
  <si>
    <t>Americas Segment Operating Income=21509mm</t>
  </si>
  <si>
    <t>Americas Segment Operating Income=16774mm</t>
  </si>
  <si>
    <t>Americas Segment Operating Income=16511mm</t>
  </si>
  <si>
    <t>Americas Segment Operating Income=17686mm</t>
  </si>
  <si>
    <t>Americas Segment Operating Income=23953mm</t>
  </si>
  <si>
    <t>Americas Segment Operating Income=19373mm</t>
  </si>
  <si>
    <t>Greater China Segment</t>
  </si>
  <si>
    <t>Greater China Segment Operating Income=10437mm</t>
  </si>
  <si>
    <t>Matched reportable segment "Greater China Segment" from filing segment tables.</t>
  </si>
  <si>
    <t>Greater China Segment Operating Income=7531mm</t>
  </si>
  <si>
    <t>Greater China Segment Operating Income=6207mm</t>
  </si>
  <si>
    <t>Greater China Segment Operating Income=6153mm</t>
  </si>
  <si>
    <t>Greater China Segment Operating Income=8622mm</t>
  </si>
  <si>
    <t>Greater China Segment Operating Income=6700mm</t>
  </si>
  <si>
    <t>Greater China Segment Operating Income=5562mm</t>
  </si>
  <si>
    <t>Greater China Segment Operating Income=6198mm</t>
  </si>
  <si>
    <t>Greater China Segment Operating Income=8160mm</t>
  </si>
  <si>
    <t>Greater China Segment Operating Income=6626mm</t>
  </si>
  <si>
    <t>Greater China Segment Operating Income=5822mm</t>
  </si>
  <si>
    <t>Greater China Segment Operating Income=6309mm</t>
  </si>
  <si>
    <t>Greater China Segment Operating Income=11792mm</t>
  </si>
  <si>
    <t>Greater China Segment Operating Income=9189mm</t>
  </si>
  <si>
    <t>F36</t>
  </si>
  <si>
    <t>Japan Segment</t>
  </si>
  <si>
    <t>Japan Segment Operating Income=3236mm</t>
  </si>
  <si>
    <t>Matched reportable segment "Japan Segment" from filing segment tables.</t>
  </si>
  <si>
    <t>G36</t>
  </si>
  <si>
    <t>Japan Segment Operating Income=3394mm</t>
  </si>
  <si>
    <t>H36</t>
  </si>
  <si>
    <t>Japan Segment Operating Income=2443mm</t>
  </si>
  <si>
    <t>I36</t>
  </si>
  <si>
    <t>Japan Segment Operating Income=2815mm</t>
  </si>
  <si>
    <t>K36</t>
  </si>
  <si>
    <t>Japan Segment Operating Income=3819mm</t>
  </si>
  <si>
    <t>L36</t>
  </si>
  <si>
    <t>Japan Segment Operating Income=3135mm</t>
  </si>
  <si>
    <t>M36</t>
  </si>
  <si>
    <t>Japan Segment Operating Income=2544mm</t>
  </si>
  <si>
    <t>N36</t>
  </si>
  <si>
    <t>Japan Segment Operating Income=2956mm</t>
  </si>
  <si>
    <t>P36</t>
  </si>
  <si>
    <t>Japan Segment Operating Income=4314mm</t>
  </si>
  <si>
    <t>Q36</t>
  </si>
  <si>
    <t>Japan Segment Operating Income=3434mm</t>
  </si>
  <si>
    <t>R36</t>
  </si>
  <si>
    <t>Japan Segment Operating Income=2872mm</t>
  </si>
  <si>
    <t>S36</t>
  </si>
  <si>
    <t>Japan Segment Operating Income=3335mm</t>
  </si>
  <si>
    <t>U36</t>
  </si>
  <si>
    <t>Japan Segment Operating Income=4613mm</t>
  </si>
  <si>
    <t>V36</t>
  </si>
  <si>
    <t>Japan Segment Operating Income=3839mm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</si>
  <si>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</si>
  <si>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</si>
  <si>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</si>
  <si>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</si>
  <si>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</si>
  <si>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</si>
  <si>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</si>
  <si>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</si>
  <si>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</si>
  <si>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</si>
  <si>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</si>
  <si>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</si>
  <si>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</si>
  <si>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</si>
  <si>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</si>
  <si>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</si>
  <si>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</si>
  <si>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F37</t>
  </si>
  <si>
    <t>Other / Reconciliation Operating Income</t>
  </si>
  <si>
    <t>calculated</t>
  </si>
  <si>
    <t>OperatingIncomeLoss, IncomeLossFromContinuingOperationsBeforeIncomeTaxesExtraordinaryItemsNoncontrollingInterest</t>
  </si>
  <si>
    <t>residual</t>
  </si>
  <si>
    <t>Calculated as the residual needed for Segment Analysis Operating Income rows to tie to EDGAR consolidated operating income.</t>
  </si>
  <si>
    <t>G37</t>
  </si>
  <si>
    <t>H37</t>
  </si>
  <si>
    <t>I37</t>
  </si>
  <si>
    <t>K37</t>
  </si>
  <si>
    <t>L37</t>
  </si>
  <si>
    <t>M37</t>
  </si>
  <si>
    <t>N37</t>
  </si>
  <si>
    <t>P37</t>
  </si>
  <si>
    <t>Q37</t>
  </si>
  <si>
    <t>R37</t>
  </si>
  <si>
    <t>S37</t>
  </si>
  <si>
    <t>U37</t>
  </si>
  <si>
    <t>V37</t>
  </si>
  <si>
    <t>Sum of Segment Analysis total company operating income rows</t>
  </si>
  <si>
    <t>Rebuilt Total Company Operating Income formula so every filled segment row is included in the Segment Analysis total.</t>
  </si>
  <si>
    <t>F28</t>
  </si>
  <si>
    <t>RevenueFromContractWithCustomerExcludingAssessedTax</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</si>
  <si>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</si>
  <si>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</si>
  <si>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</si>
  <si>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</si>
  <si>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</si>
  <si>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</si>
  <si>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</si>
  <si>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</si>
  <si>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</si>
  <si>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</si>
  <si>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</si>
  <si>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</si>
  <si>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</si>
  <si>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</si>
  <si>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IncomeLossFromContinuingOperationsBeforeIncomeTaxesExtraordinaryItemsNoncontrollingInterest</t>
  </si>
  <si>
    <t>Calculated as the residual needed for the model's pre-tax income formula to tie to EDGAR income before taxes.</t>
  </si>
  <si>
    <t>K41</t>
  </si>
  <si>
    <t>L41</t>
  </si>
  <si>
    <t>M41</t>
  </si>
  <si>
    <t>N41</t>
  </si>
  <si>
    <t>P41</t>
  </si>
  <si>
    <t>Q41</t>
  </si>
  <si>
    <t>R41</t>
  </si>
  <si>
    <t>U41</t>
  </si>
  <si>
    <t>V41</t>
  </si>
  <si>
    <t>J120</t>
  </si>
  <si>
    <t>FY23</t>
  </si>
  <si>
    <t>balance-sheet formula replaced with EDGAR period-end value</t>
  </si>
  <si>
    <t>Replaced the balance-sheet formula with the EDGAR period-end value so annual and 4Q instant balances are not derived from quarterly activity.</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</si>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</sst>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117154</v>
      </c>
      <c r="G28" s="353">
        <f>'Segment Analysis'!G7</f>
        <v>94836</v>
      </c>
      <c r="H28" s="353">
        <f>'Segment Analysis'!H7</f>
        <v>81797</v>
      </c>
      <c r="I28" s="353">
        <f>'Segment Analysis'!I7</f>
        <v>89498</v>
      </c>
      <c r="J28" s="282">
        <f>SUM(F28:I28)</f>
        <v>383285</v>
      </c>
      <c r="K28" s="353">
        <f>'Segment Analysis'!K7</f>
        <v>119575</v>
      </c>
      <c r="L28" s="353">
        <f>'Segment Analysis'!L7</f>
        <v>90753</v>
      </c>
      <c r="M28" s="353">
        <f>'Segment Analysis'!M7</f>
        <v>85777</v>
      </c>
      <c r="N28" s="353">
        <f>'Segment Analysis'!N7</f>
        <v>94930</v>
      </c>
      <c r="O28" s="282">
        <f>SUM(K28:N28)</f>
        <v>391035</v>
      </c>
      <c r="P28" s="353">
        <f>'Segment Analysis'!P7</f>
        <v>124300</v>
      </c>
      <c r="Q28" s="353">
        <f>'Segment Analysis'!Q7</f>
        <v>95359</v>
      </c>
      <c r="R28" s="353">
        <f>'Segment Analysis'!R7</f>
        <v>94036</v>
      </c>
      <c r="S28" s="353">
        <f>'Segment Analysis'!S7</f>
        <v>102466</v>
      </c>
      <c r="T28" s="282">
        <f>SUM(P28:S28)</f>
        <v>416161</v>
      </c>
      <c r="U28" s="353">
        <f>'Segment Analysis'!U7</f>
        <v>143756</v>
      </c>
      <c r="V28" s="353">
        <f>'Segment Analysis'!V7</f>
        <v>111184</v>
      </c>
      <c r="W28" s="353">
        <f>'Segment Analysis'!W7</f>
        <v>22918</v>
      </c>
      <c r="X28" s="281">
        <f>'Segment Analysis'!X7</f>
        <v>21772.1</v>
      </c>
      <c r="Y28" s="282">
        <f t="shared" ref="Y28:Y30" si="7">SUM(U28:X28)</f>
        <v>96682.1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-66822</v>
      </c>
      <c r="G29" s="354">
        <v>-52860</v>
      </c>
      <c r="H29" s="354">
        <v>-45384</v>
      </c>
      <c r="I29" s="354">
        <f>-214137-SUM(F29:H29)</f>
        <v>-49071</v>
      </c>
      <c r="J29" s="355">
        <f>SUM(F29:I29)</f>
        <v>-214137</v>
      </c>
      <c r="K29" s="354">
        <v>-64720</v>
      </c>
      <c r="L29" s="354">
        <v>-48482</v>
      </c>
      <c r="M29" s="354">
        <v>-46099</v>
      </c>
      <c r="N29" s="354">
        <v>-51051</v>
      </c>
      <c r="O29" s="355">
        <f>SUM(K29:N29)</f>
        <v>-210352</v>
      </c>
      <c r="P29" s="354">
        <v>-66025</v>
      </c>
      <c r="Q29" s="354">
        <v>-50492</v>
      </c>
      <c r="R29" s="354">
        <v>-50318</v>
      </c>
      <c r="S29" s="354">
        <v>-54125</v>
      </c>
      <c r="T29" s="355">
        <f>SUM(P29:S29)</f>
        <v>-220960</v>
      </c>
      <c r="U29" s="354">
        <v>-74525</v>
      </c>
      <c r="V29" s="354">
        <v>-56403</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50332</v>
      </c>
      <c r="G30" s="353">
        <f>SUM(G28:G29)</f>
        <v>41976</v>
      </c>
      <c r="H30" s="353">
        <f>SUM(H28:H29)</f>
        <v>36413</v>
      </c>
      <c r="I30" s="353">
        <f>SUM(I28:I29)</f>
        <v>40427</v>
      </c>
      <c r="J30" s="282">
        <f>SUM(F30:I30)</f>
        <v>169148</v>
      </c>
      <c r="K30" s="353">
        <f>SUM(K28:K29)</f>
        <v>54855</v>
      </c>
      <c r="L30" s="353">
        <f>SUM(L28:L29)</f>
        <v>42271</v>
      </c>
      <c r="M30" s="353">
        <f>SUM(M28:M29)</f>
        <v>39678</v>
      </c>
      <c r="N30" s="353">
        <f>SUM(N28:N29)</f>
        <v>43879</v>
      </c>
      <c r="O30" s="282">
        <f>SUM(K30:N30)</f>
        <v>180683</v>
      </c>
      <c r="P30" s="353">
        <f>SUM(P28:P29)</f>
        <v>58275</v>
      </c>
      <c r="Q30" s="353">
        <f>SUM(Q28:Q29)</f>
        <v>44867</v>
      </c>
      <c r="R30" s="353">
        <f>SUM(R28:R29)</f>
        <v>43718</v>
      </c>
      <c r="S30" s="353">
        <f>SUM(S28:S29)</f>
        <v>48341</v>
      </c>
      <c r="T30" s="282">
        <f>SUM(P30:S30)</f>
        <v>195201</v>
      </c>
      <c r="U30" s="353">
        <f>SUM(U28:U29)</f>
        <v>69231</v>
      </c>
      <c r="V30" s="353">
        <f>SUM(V28:V29)</f>
        <v>54781</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-6607</v>
      </c>
      <c r="G32" s="358">
        <v>-6201</v>
      </c>
      <c r="H32" s="358">
        <v>-5973</v>
      </c>
      <c r="I32" s="358">
        <f>-24932-SUM(F32:H32)</f>
        <v>-6151</v>
      </c>
      <c r="J32" s="162">
        <f t="shared" ref="J32:J36" si="9">SUM(F32:I32)</f>
        <v>-24932</v>
      </c>
      <c r="K32" s="358">
        <v>-6786</v>
      </c>
      <c r="L32" s="358">
        <v>-6468</v>
      </c>
      <c r="M32" s="358">
        <v>-6320</v>
      </c>
      <c r="N32" s="358">
        <v>-6523</v>
      </c>
      <c r="O32" s="162">
        <f t="shared" ref="O32:O36" si="10">SUM(K32:N32)</f>
        <v>-26097</v>
      </c>
      <c r="P32" s="358">
        <v>-7175</v>
      </c>
      <c r="Q32" s="358">
        <v>-6728</v>
      </c>
      <c r="R32" s="358">
        <v>-6650</v>
      </c>
      <c r="S32" s="358">
        <v>-7048</v>
      </c>
      <c r="T32" s="162">
        <f t="shared" ref="T32:T36" si="11">SUM(P32:S32)</f>
        <v>-27601</v>
      </c>
      <c r="U32" s="358">
        <v>-7492</v>
      </c>
      <c r="V32" s="358">
        <v>-7477</v>
      </c>
      <c r="W32" s="358">
        <v>-4373</v>
      </c>
      <c r="X32" s="359">
        <f t="shared" ref="X32:X33" si="12">X67*X$28</f>
        <v>-4789.862</v>
      </c>
      <c r="Y32" s="162">
        <f t="shared" ref="Y32:Y36" si="13">SUM(U32:X32)</f>
        <v>-18349.862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-7709</v>
      </c>
      <c r="G33" s="358">
        <v>-7457</v>
      </c>
      <c r="H33" s="358">
        <v>-7442</v>
      </c>
      <c r="I33" s="358">
        <v>-7307</v>
      </c>
      <c r="J33" s="162">
        <f>SUM(F33:I33)</f>
        <v>-29915</v>
      </c>
      <c r="K33" s="358">
        <v>-7696</v>
      </c>
      <c r="L33" s="358">
        <v>-7903</v>
      </c>
      <c r="M33" s="358">
        <v>-8006</v>
      </c>
      <c r="N33" s="358">
        <v>-7765</v>
      </c>
      <c r="O33" s="162">
        <f>SUM(K33:N33)</f>
        <v>-31370</v>
      </c>
      <c r="P33" s="358">
        <v>-8268</v>
      </c>
      <c r="Q33" s="358">
        <v>-8550</v>
      </c>
      <c r="R33" s="358">
        <v>-8866</v>
      </c>
      <c r="S33" s="358">
        <v>-8866</v>
      </c>
      <c r="T33" s="162">
        <f>SUM(P33:S33)</f>
        <v>-34550</v>
      </c>
      <c r="U33" s="358">
        <v>-10887</v>
      </c>
      <c r="V33" s="358">
        <v>-11419</v>
      </c>
      <c r="W33" s="358">
        <v>0</v>
      </c>
      <c r="X33" s="359">
        <f>X68*X$28</f>
      </c>
      <c r="Y33" s="162">
        <f>SUM(U33:X33)</f>
      </c>
      <c r="Z33" s="359">
        <f t="shared" ref="Z33:AC33" si="17">Z68*Z$28</f>
        <v>0</v>
      </c>
      <c r="AA33" s="359">
        <f>AA68*AA$28</f>
      </c>
      <c r="AB33" s="359">
        <f>AB68*AB$28</f>
      </c>
      <c r="AC33" s="359">
        <f>AC68*AC$28</f>
      </c>
      <c r="AD33" s="162">
        <f>SUM(Z33:AC33)</f>
      </c>
      <c r="AE33" s="162">
        <f t="shared" ref="AE33:AG33" si="18">AE68*AE$28</f>
        <v>0</v>
      </c>
      <c r="AF33" s="162">
        <f>AF68*AF$28</f>
      </c>
      <c r="AG33" s="162">
        <f>AG68*AG$28</f>
      </c>
      <c r="AH33" s="16"/>
      <c r="AI33" s="16"/>
      <c r="AJ33" s="16"/>
      <c r="AK33" s="16"/>
    </row>
    <row r="34" ht="13.5" customHeight="1" spans="1:37" x14ac:dyDescent="0.25">
      <c r="A34" s="264"/>
      <c r="B34" s="16"/>
      <c r="C34" s="139" t="s">
        <v>273</v>
      </c>
      <c r="D34" s="16"/>
      <c r="E34" s="16"/>
      <c r="F34" s="358">
        <v>0</v>
      </c>
      <c r="G34" s="358">
        <v>0</v>
      </c>
      <c r="H34" s="358">
        <v>0</v>
      </c>
      <c r="I34" s="358">
        <v>0</v>
      </c>
      <c r="J34" s="162">
        <f>SUM(F34:I34)</f>
        <v>1e-12</v>
      </c>
      <c r="K34" s="358">
        <v>0</v>
      </c>
      <c r="L34" s="358">
        <v>0</v>
      </c>
      <c r="M34" s="358">
        <v>0</v>
      </c>
      <c r="N34" s="358">
        <v>0</v>
      </c>
      <c r="O34" s="162">
        <f>SUM(K34:N34)</f>
        <v>1e-12</v>
      </c>
      <c r="P34" s="358">
        <v>0</v>
      </c>
      <c r="Q34" s="358">
        <v>0</v>
      </c>
      <c r="R34" s="358">
        <v>0</v>
      </c>
      <c r="S34" s="358">
        <v>0</v>
      </c>
      <c r="T34" s="162">
        <f>SUM(P34:S34)</f>
        <v>1e-12</v>
      </c>
      <c r="U34" s="358">
        <v>0</v>
      </c>
      <c r="V34" s="358">
        <v>0</v>
      </c>
      <c r="W34" s="358">
        <v>-425</v>
      </c>
      <c r="X34" s="359">
        <f>-X76</f>
        <v>-331.18750000000006</v>
      </c>
      <c r="Y34" s="162">
        <f>SUM(U34:X34)</f>
        <v>-1556.1875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SUM(F35:I35)</f>
        <v>1e-12</v>
      </c>
      <c r="K35" s="354">
        <v>0</v>
      </c>
      <c r="L35" s="354">
        <v>0</v>
      </c>
      <c r="M35" s="354">
        <v>0</v>
      </c>
      <c r="N35" s="354">
        <v>0</v>
      </c>
      <c r="O35" s="355">
        <f>SUM(K35:N35)</f>
        <v>1e-12</v>
      </c>
      <c r="P35" s="354">
        <v>0</v>
      </c>
      <c r="Q35" s="354">
        <v>0</v>
      </c>
      <c r="R35" s="354">
        <v>0</v>
      </c>
      <c r="S35" s="354">
        <v>0</v>
      </c>
      <c r="T35" s="355">
        <f>SUM(P35:S35)</f>
        <v>1e-12</v>
      </c>
      <c r="U35" s="354">
        <v>0</v>
      </c>
      <c r="V35" s="354">
        <v>0</v>
      </c>
      <c r="W35" s="354">
        <v>0</v>
      </c>
      <c r="X35" s="356">
        <f>X69*X$28</f>
        <v>0</v>
      </c>
      <c r="Y35" s="355">
        <f>SUM(U35:X35)</f>
      </c>
      <c r="Z35" s="356">
        <f t="shared" ref="Z35:AC35" si="21">Z69*Z$28</f>
        <v>0</v>
      </c>
      <c r="AA35" s="356">
        <f>AA69*AA$28</f>
      </c>
      <c r="AB35" s="356">
        <f>AB69*AB$28</f>
      </c>
      <c r="AC35" s="356">
        <f>AC69*AC$28</f>
      </c>
      <c r="AD35" s="355">
        <f>SUM(Z35:AC35)</f>
      </c>
      <c r="AE35" s="355">
        <f t="shared" ref="AE35:AG35" si="22">AE69*AE$28</f>
        <v>0</v>
      </c>
      <c r="AF35" s="355">
        <f>AF69*AF$28</f>
      </c>
      <c r="AG35" s="355">
        <f>AG69*AG$28</f>
      </c>
      <c r="AH35" s="16"/>
      <c r="AI35" s="16"/>
      <c r="AJ35" s="16"/>
      <c r="AK35" s="16"/>
    </row>
    <row r="36" ht="13.5" customHeight="1" spans="1:37" x14ac:dyDescent="0.25">
      <c r="A36" s="264"/>
      <c r="B36" s="16"/>
      <c r="C36" s="139" t="s">
        <v>275</v>
      </c>
      <c r="D36" s="16"/>
      <c r="E36" s="16"/>
      <c r="F36" s="353">
        <f t="shared" ref="F36:I36" si="23">IF($C$34="Depreciation &amp; Amortization (incl. in SG&amp;A)",F30+SUM(F32:F33,F35),F30+SUM(F32:F35))</f>
        <v>36016</v>
      </c>
      <c r="G36" s="353">
        <f>IF($C$34="Depreciation &amp; Amortization (incl. in SG&amp;A)",G30+SUM(G32:G33,G35),G30+SUM(G32:G35))</f>
        <v>28318</v>
      </c>
      <c r="H36" s="353">
        <f>IF($C$34="Depreciation &amp; Amortization (incl. in SG&amp;A)",H30+SUM(H32:H33,H35),H30+SUM(H32:H35))</f>
        <v>22998</v>
      </c>
      <c r="I36" s="353">
        <f>IF($C$34="Depreciation &amp; Amortization (incl. in SG&amp;A)",I30+SUM(I32:I33,I35),I30+SUM(I32:I35))</f>
        <v>26969</v>
      </c>
      <c r="J36" s="282">
        <f>SUM(F36:I36)</f>
        <v>114301</v>
      </c>
      <c r="K36" s="353">
        <f t="shared" ref="K36:N36" si="24">IF($C$34="Depreciation &amp; Amortization (incl. in SG&amp;A)",K30+SUM(K32:K33,K35),K30+SUM(K32:K35))</f>
        <v>40373</v>
      </c>
      <c r="L36" s="353">
        <f>IF($C$34="Depreciation &amp; Amortization (incl. in SG&amp;A)",L30+SUM(L32:L33,L35),L30+SUM(L32:L35))</f>
        <v>27900</v>
      </c>
      <c r="M36" s="353">
        <f>IF($C$34="Depreciation &amp; Amortization (incl. in SG&amp;A)",M30+SUM(M32:M33,M35),M30+SUM(M32:M35))</f>
        <v>25352</v>
      </c>
      <c r="N36" s="353">
        <f>IF($C$34="Depreciation &amp; Amortization (incl. in SG&amp;A)",N30+SUM(N32:N33,N35),N30+SUM(N32:N35))</f>
        <v>29591</v>
      </c>
      <c r="O36" s="282">
        <f>SUM(K36:N36)</f>
        <v>123216</v>
      </c>
      <c r="P36" s="353">
        <f t="shared" ref="P36:S36" si="25">IF($C$34="Depreciation &amp; Amortization (incl. in SG&amp;A)",P30+SUM(P32:P33,P35),P30+SUM(P32:P35))</f>
        <v>42832</v>
      </c>
      <c r="Q36" s="353">
        <f>IF($C$34="Depreciation &amp; Amortization (incl. in SG&amp;A)",Q30+SUM(Q32:Q33,Q35),Q30+SUM(Q32:Q35))</f>
        <v>29589</v>
      </c>
      <c r="R36" s="353">
        <f>IF($C$34="Depreciation &amp; Amortization (incl. in SG&amp;A)",R30+SUM(R32:R33,R35),R30+SUM(R32:R35))</f>
        <v>28202</v>
      </c>
      <c r="S36" s="353">
        <f>IF($C$34="Depreciation &amp; Amortization (incl. in SG&amp;A)",S30+SUM(S32:S33,S35),S30+SUM(S32:S35))</f>
        <v>32427</v>
      </c>
      <c r="T36" s="282">
        <f>SUM(P36:S36)</f>
        <v>133050</v>
      </c>
      <c r="U36" s="353">
        <f t="shared" ref="U36:W36" si="26">IF($C$34="Depreciation &amp; Amortization (incl. in SG&amp;A)",U30+SUM(U32:U33,U35),U30+SUM(U32:U35))</f>
        <v>50852</v>
      </c>
      <c r="V36" s="353">
        <f>IF($C$34="Depreciation &amp; Amortization (incl. in SG&amp;A)",V30+SUM(V32:V33,V35),V30+SUM(V32:V35))</f>
        <v>35885</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SUM(F38:I38)</f>
        <v>1e-12</v>
      </c>
      <c r="K38" s="358">
        <v>0</v>
      </c>
      <c r="L38" s="358">
        <v>0</v>
      </c>
      <c r="M38" s="358">
        <v>0</v>
      </c>
      <c r="N38" s="358">
        <v>0</v>
      </c>
      <c r="O38" s="162">
        <f t="shared" ref="O38:O42" si="28">SUM(K38:N38)</f>
        <v>1e-12</v>
      </c>
      <c r="P38" s="358">
        <v>0</v>
      </c>
      <c r="Q38" s="358">
        <v>0</v>
      </c>
      <c r="R38" s="358">
        <v>0</v>
      </c>
      <c r="S38" s="358">
        <v>0</v>
      </c>
      <c r="T38" s="162">
        <f t="shared" ref="T38:T42" si="29">SUM(P38:S38)</f>
        <v>1e-12</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-1003</v>
      </c>
      <c r="G39" s="358">
        <v>-930</v>
      </c>
      <c r="H39" s="358">
        <v>-998</v>
      </c>
      <c r="I39" s="358">
        <f>-3933-SUM(F39:H39)</f>
        <v>-1002</v>
      </c>
      <c r="J39" s="162">
        <f>SUM(F39:I39)</f>
        <v>-3933</v>
      </c>
      <c r="K39" s="358">
        <v>-162</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v>1e-12</v>
      </c>
      <c r="K40" s="358">
        <v>0</v>
      </c>
      <c r="L40" s="358">
        <v>0</v>
      </c>
      <c r="M40" s="358">
        <v>0</v>
      </c>
      <c r="N40" s="358">
        <v>0</v>
      </c>
      <c r="O40" s="162">
        <f>SUM(K40:N40)</f>
        <v>1e-12</v>
      </c>
      <c r="P40" s="358">
        <v>0</v>
      </c>
      <c r="Q40" s="358">
        <v>0</v>
      </c>
      <c r="R40" s="358">
        <v>0</v>
      </c>
      <c r="S40" s="358">
        <v>0</v>
      </c>
      <c r="T40" s="162">
        <f>SUM(P40:S40)</f>
        <v>1e-12</v>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610</v>
      </c>
      <c r="G41" s="354">
        <v>994</v>
      </c>
      <c r="H41" s="354">
        <v>733</v>
      </c>
      <c r="I41" s="354">
        <v>1031</v>
      </c>
      <c r="J41" s="355">
        <f>SUM(F41:I41)</f>
        <v>3368</v>
      </c>
      <c r="K41" s="354">
        <v>112</v>
      </c>
      <c r="L41" s="354">
        <v>327</v>
      </c>
      <c r="M41" s="354">
        <v>319</v>
      </c>
      <c r="N41" s="354">
        <v>202</v>
      </c>
      <c r="O41" s="355">
        <f>SUM(K41:N41)</f>
        <v>960</v>
      </c>
      <c r="P41" s="354">
        <v>-43</v>
      </c>
      <c r="Q41" s="354">
        <v>-60</v>
      </c>
      <c r="R41" s="354">
        <v>50</v>
      </c>
      <c r="S41" s="354">
        <v>581</v>
      </c>
      <c r="T41" s="355">
        <f>SUM(P41:S41)</f>
        <v>528</v>
      </c>
      <c r="U41" s="354">
        <v>361</v>
      </c>
      <c r="V41" s="354">
        <v>164</v>
      </c>
      <c r="W41" s="354">
        <v>0</v>
      </c>
      <c r="X41" s="356">
        <f>X70*X28</f>
        <v>0</v>
      </c>
      <c r="Y41" s="355">
        <f>SUM(U41:X41)</f>
      </c>
      <c r="Z41" s="356">
        <f t="shared" ref="Z41:AC41" si="30">Z70*Z28</f>
        <v>0</v>
      </c>
      <c r="AA41" s="356">
        <f>AA70*AA28</f>
      </c>
      <c r="AB41" s="356">
        <f>AB70*AB28</f>
      </c>
      <c r="AC41" s="356">
        <f>AC70*AC28</f>
      </c>
      <c r="AD41" s="355">
        <f>SUM(Z41:AC41)</f>
      </c>
      <c r="AE41" s="355">
        <f t="shared" ref="AE41:AG41" si="31">AE70*AE28</f>
        <v>0</v>
      </c>
      <c r="AF41" s="355">
        <f>AF70*AF28</f>
      </c>
      <c r="AG41" s="355">
        <f>AG70*AG28</f>
      </c>
      <c r="AH41" s="16"/>
      <c r="AI41" s="16"/>
      <c r="AJ41" s="16"/>
      <c r="AK41" s="16"/>
    </row>
    <row r="42" ht="13.5" customHeight="1" spans="1:37" x14ac:dyDescent="0.25">
      <c r="A42" s="264"/>
      <c r="B42" s="16"/>
      <c r="C42" s="139" t="s">
        <v>280</v>
      </c>
      <c r="D42" s="16"/>
      <c r="E42" s="16"/>
      <c r="F42" s="353">
        <f t="shared" ref="F42:I42" si="32">F36+SUM(F38:F41)</f>
        <v>35623</v>
      </c>
      <c r="G42" s="353">
        <f>G36+SUM(G38:G41)</f>
        <v>28382</v>
      </c>
      <c r="H42" s="353">
        <f>H36+SUM(H38:H41)</f>
        <v>22733</v>
      </c>
      <c r="I42" s="353">
        <f>I36+SUM(I38:I41)</f>
        <v>26998</v>
      </c>
      <c r="J42" s="282">
        <f>SUM(F42:I42)</f>
        <v>113736</v>
      </c>
      <c r="K42" s="353">
        <f t="shared" ref="K42:N42" si="33">K36+SUM(K38:K41)</f>
        <v>40323</v>
      </c>
      <c r="L42" s="353">
        <f>L36+SUM(L38:L41)</f>
        <v>28058</v>
      </c>
      <c r="M42" s="353">
        <f>M36+SUM(M38:M41)</f>
        <v>25494</v>
      </c>
      <c r="N42" s="353">
        <f>N36+SUM(N38:N41)</f>
        <v>29610</v>
      </c>
      <c r="O42" s="282">
        <f>SUM(K42:N42)</f>
        <v>123485</v>
      </c>
      <c r="P42" s="353">
        <f t="shared" ref="P42:Q42" si="34">P36+SUM(P38:P41)</f>
        <v>42584</v>
      </c>
      <c r="Q42" s="353">
        <f>Q36+SUM(Q38:Q41)</f>
        <v>29310</v>
      </c>
      <c r="R42" s="353">
        <f t="shared" ref="R42:S42" si="35">IF($C$8="On",R36+SUM(R38:R41),IF($C$8="off",R36+SUM(R40:R41),"N/A"))</f>
        <v>28031</v>
      </c>
      <c r="S42" s="353">
        <f>IF($C$8="On",S36+SUM(S38:S41),IF($C$8="off",S36+SUM(S40:S41),"N/A"))</f>
        <v>32804</v>
      </c>
      <c r="T42" s="282">
        <f>SUM(P42:S42)</f>
        <v>132729</v>
      </c>
      <c r="U42" s="353">
        <f t="shared" ref="U42:V42" si="36">U36+SUM(U38:U41)</f>
        <v>51002</v>
      </c>
      <c r="V42" s="353">
        <f>V36+SUM(V38:V41)</f>
        <v>35833</v>
      </c>
      <c r="W42" s="353">
        <f>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-5625</v>
      </c>
      <c r="G44" s="354">
        <v>-4222</v>
      </c>
      <c r="H44" s="354">
        <v>-2852</v>
      </c>
      <c r="I44" s="354">
        <f>-16741-SUM(F44:H44)</f>
        <v>-4042</v>
      </c>
      <c r="J44" s="355">
        <f t="shared" ref="J44:J45" si="37">SUM(F44:I44)</f>
        <v>-16741</v>
      </c>
      <c r="K44" s="354">
        <v>-6407</v>
      </c>
      <c r="L44" s="354">
        <v>-4422</v>
      </c>
      <c r="M44" s="354">
        <v>-4046</v>
      </c>
      <c r="N44" s="354">
        <v>-14874</v>
      </c>
      <c r="O44" s="355">
        <f t="shared" ref="O44:O45" si="38">SUM(K44:N44)</f>
        <v>-29749</v>
      </c>
      <c r="P44" s="354">
        <v>-6254</v>
      </c>
      <c r="Q44" s="354">
        <v>-4530</v>
      </c>
      <c r="R44" s="354">
        <v>-4597</v>
      </c>
      <c r="S44" s="354">
        <v>-5338</v>
      </c>
      <c r="T44" s="355">
        <f t="shared" ref="T44:T45" si="39">SUM(P44:S44)</f>
        <v>-20719</v>
      </c>
      <c r="U44" s="354">
        <v>-8905</v>
      </c>
      <c r="V44" s="354">
        <v>-6255</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0">F42+F44</f>
        <v>29998</v>
      </c>
      <c r="G45" s="353">
        <f>G42+G44</f>
        <v>24160</v>
      </c>
      <c r="H45" s="353">
        <f>H42+H44</f>
        <v>19881</v>
      </c>
      <c r="I45" s="353">
        <f>I42+I44</f>
        <v>22956</v>
      </c>
      <c r="J45" s="282">
        <f>SUM(F45:I45)</f>
        <v>96995</v>
      </c>
      <c r="K45" s="353">
        <f t="shared" ref="K45:N45" si="41">K42+K44</f>
        <v>33916</v>
      </c>
      <c r="L45" s="353">
        <f>L42+L44</f>
        <v>23636</v>
      </c>
      <c r="M45" s="353">
        <f>M42+M44</f>
        <v>21448</v>
      </c>
      <c r="N45" s="353">
        <f>N42+N44</f>
        <v>14736</v>
      </c>
      <c r="O45" s="282">
        <f>SUM(K45:N45)</f>
        <v>93736</v>
      </c>
      <c r="P45" s="353">
        <f t="shared" ref="P45:S45" si="42">P42+P44</f>
        <v>36330</v>
      </c>
      <c r="Q45" s="353">
        <f>Q42+Q44</f>
        <v>24780</v>
      </c>
      <c r="R45" s="353">
        <f>R42+R44</f>
        <v>23434</v>
      </c>
      <c r="S45" s="353">
        <f>S42+S44</f>
        <v>27466</v>
      </c>
      <c r="T45" s="282">
        <f>SUM(P45:S45)</f>
        <v>112010</v>
      </c>
      <c r="U45" s="353">
        <f t="shared" ref="U45:X45" si="43">U42+U44</f>
        <v>42097</v>
      </c>
      <c r="V45" s="353">
        <f>V42+V44</f>
        <v>29578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0</v>
      </c>
      <c r="K47" s="358">
        <v>0</v>
      </c>
      <c r="L47" s="358">
        <v>0</v>
      </c>
      <c r="M47" s="358">
        <v>0</v>
      </c>
      <c r="N47" s="358">
        <v>0</v>
      </c>
      <c r="O47" s="162">
        <f>SUM(K47:N47)</f>
        <v>0</v>
      </c>
      <c r="P47" s="358">
        <v>0</v>
      </c>
      <c r="Q47" s="358">
        <v>0</v>
      </c>
      <c r="R47" s="358">
        <v>0</v>
      </c>
      <c r="S47" s="358">
        <v>0</v>
      </c>
      <c r="T47" s="162">
        <f>SUM(P47:S47)</f>
        <v>0</v>
      </c>
      <c r="U47" s="358">
        <v>0</v>
      </c>
      <c r="V47" s="358">
        <v>0</v>
      </c>
      <c r="W47" s="358">
        <v>0</v>
      </c>
      <c r="X47" s="365">
        <v>0</v>
      </c>
      <c r="Y47" s="162">
        <f t="shared" ref="Y47:Y51" si="44">SUM(U47:X47)</f>
        <v>0</v>
      </c>
      <c r="Z47" s="365">
        <v>0</v>
      </c>
      <c r="AA47" s="365">
        <v>0</v>
      </c>
      <c r="AB47" s="365">
        <v>0</v>
      </c>
      <c r="AC47" s="365">
        <v>0</v>
      </c>
      <c r="AD47" s="162">
        <f t="shared" ref="AD47:AD51" si="45">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SUM(F48:I48)</f>
        <v>0</v>
      </c>
      <c r="K48" s="358">
        <v>0</v>
      </c>
      <c r="L48" s="358">
        <v>0</v>
      </c>
      <c r="M48" s="358">
        <v>0</v>
      </c>
      <c r="N48" s="358">
        <v>0</v>
      </c>
      <c r="O48" s="162">
        <f>SUM(K48:N48)</f>
        <v>0</v>
      </c>
      <c r="P48" s="358">
        <v>0</v>
      </c>
      <c r="Q48" s="358">
        <v>0</v>
      </c>
      <c r="R48" s="358">
        <v>0</v>
      </c>
      <c r="S48" s="358">
        <v>0</v>
      </c>
      <c r="T48" s="162">
        <f>SUM(P48:S48)</f>
        <v>0</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0</v>
      </c>
      <c r="K49" s="358">
        <v>0</v>
      </c>
      <c r="L49" s="358">
        <v>0</v>
      </c>
      <c r="M49" s="358">
        <v>0</v>
      </c>
      <c r="N49" s="358">
        <v>0</v>
      </c>
      <c r="O49" s="162">
        <f>SUM(K49:N49)</f>
        <v>0</v>
      </c>
      <c r="P49" s="358">
        <v>0</v>
      </c>
      <c r="Q49" s="358">
        <v>0</v>
      </c>
      <c r="R49" s="358">
        <v>0</v>
      </c>
      <c r="S49" s="358">
        <v>0</v>
      </c>
      <c r="T49" s="162">
        <f>SUM(P49:S49)</f>
        <v>0</v>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0</v>
      </c>
      <c r="K50" s="354">
        <v>0</v>
      </c>
      <c r="L50" s="354">
        <v>0</v>
      </c>
      <c r="M50" s="354">
        <v>0</v>
      </c>
      <c r="N50" s="354">
        <v>0</v>
      </c>
      <c r="O50" s="355">
        <f>SUM(K50:N50)</f>
        <v>0</v>
      </c>
      <c r="P50" s="354">
        <v>0</v>
      </c>
      <c r="Q50" s="354">
        <v>0</v>
      </c>
      <c r="R50" s="354">
        <v>0</v>
      </c>
      <c r="S50" s="354">
        <v>0</v>
      </c>
      <c r="T50" s="355">
        <f>SUM(P50:S50)</f>
        <v>0</v>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SUM(F45:F50)</f>
        <v>29998</v>
      </c>
      <c r="G51" s="353">
        <f>SUM(G45:G50)</f>
        <v>24160</v>
      </c>
      <c r="H51" s="353">
        <f>SUM(H45:H50)</f>
        <v>19881</v>
      </c>
      <c r="I51" s="353">
        <f>SUM(I45:I50)</f>
        <v>22956</v>
      </c>
      <c r="J51" s="282">
        <f>SUM(F51:I51)</f>
        <v>96995</v>
      </c>
      <c r="K51" s="353">
        <f>SUM(K45:K50)</f>
        <v>33916</v>
      </c>
      <c r="L51" s="353">
        <f>SUM(L45:L50)</f>
        <v>23636</v>
      </c>
      <c r="M51" s="353">
        <f>SUM(M45:M50)</f>
        <v>21448</v>
      </c>
      <c r="N51" s="353">
        <f>SUM(N45:N50)</f>
        <v>14736</v>
      </c>
      <c r="O51" s="282">
        <f>SUM(K51:N51)</f>
        <v>93736</v>
      </c>
      <c r="P51" s="353">
        <f>SUM(P45:P50)</f>
        <v>36330</v>
      </c>
      <c r="Q51" s="353">
        <f>SUM(Q45:Q50)</f>
        <v>24780</v>
      </c>
      <c r="R51" s="353">
        <f>SUM(R45:R50)</f>
        <v>23434</v>
      </c>
      <c r="S51" s="353">
        <f>SUM(S45:S50)</f>
        <v>27466</v>
      </c>
      <c r="T51" s="282">
        <f>SUM(P51:S51)</f>
        <v>112010</v>
      </c>
      <c r="U51" s="353">
        <f>SUM(U45:U50)</f>
        <v>42097</v>
      </c>
      <c r="V51" s="353">
        <f>SUM(V45:V50)</f>
        <v>29578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(F45)/F282</f>
        <v>36.36121212121212</v>
      </c>
      <c r="G53" s="370">
        <f>(G45)/G282</f>
        <v>29.71709717097171</v>
      </c>
      <c r="H53" s="370">
        <f>(H45)/H282</f>
        <v>24.666253101736974</v>
      </c>
      <c r="I53" s="370">
        <f>(I45)/I282</f>
        <v>28.65917602996255</v>
      </c>
      <c r="J53" s="127">
        <f>J45/J282</f>
        <v>121.09238451935082</v>
      </c>
      <c r="K53" s="370">
        <f t="shared" ref="K53:N53" si="47">(K45)/K282</f>
        <v>41.11030303030303</v>
      </c>
      <c r="L53" s="370">
        <f>(L45)/L282</f>
        <v>29.07257072570726</v>
      </c>
      <c r="M53" s="370">
        <f>(M45)/M282</f>
        <v>26.610421836228287</v>
      </c>
      <c r="N53" s="370">
        <f>(N45)/N282</f>
        <v>18.39700374531835</v>
      </c>
      <c r="O53" s="127">
        <f>O45/O282</f>
        <v>117.02372034956305</v>
      </c>
      <c r="P53" s="370">
        <f t="shared" ref="P53:S53" si="48">(P45)/P282</f>
        <v>48.11920529801324</v>
      </c>
      <c r="Q53" s="370">
        <f>(Q45)/Q282</f>
        <v>32.952127659574465</v>
      </c>
      <c r="R53" s="370">
        <f>(R45)/R282</f>
        <v>31.16223404255319</v>
      </c>
      <c r="S53" s="370">
        <f>(S45)/S282</f>
        <v>36.719251336898395</v>
      </c>
      <c r="T53" s="127">
        <f>T45/T282</f>
        <v>149.74598930481284</v>
      </c>
      <c r="U53" s="370">
        <f t="shared" ref="U53:W53" si="49">(U45)/U282</f>
        <v>58.63091922005571</v>
      </c>
      <c r="V53" s="370">
        <f>(V45)/V282</f>
        <v>41.95460992907802</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50">(F45)/F284</f>
        <v>36.31719128329298</v>
      </c>
      <c r="G54" s="370">
        <f>(G45)/G284</f>
        <v>29.68058968058968</v>
      </c>
      <c r="H54" s="370">
        <f>(H45)/H284</f>
        <v>24.635687732342006</v>
      </c>
      <c r="I54" s="370">
        <f>(I45)/I284</f>
        <v>28.65917602996255</v>
      </c>
      <c r="J54" s="127">
        <f>J45/J284</f>
        <v>121.09238451935082</v>
      </c>
      <c r="K54" s="370">
        <f t="shared" ref="K54:N54" si="51">(K45)/K284</f>
        <v>41.06053268765133</v>
      </c>
      <c r="L54" s="370">
        <f>(L45)/L284</f>
        <v>29.036855036855037</v>
      </c>
      <c r="M54" s="370">
        <f>(M45)/M284</f>
        <v>26.577447335811648</v>
      </c>
      <c r="N54" s="370">
        <f>(N45)/N284</f>
        <v>18.39700374531835</v>
      </c>
      <c r="O54" s="127">
        <f>O45/O284</f>
        <v>117.02372034956305</v>
      </c>
      <c r="P54" s="370">
        <f t="shared" ref="P54:S54" si="52">(P45)/P284</f>
        <v>48.05555555555556</v>
      </c>
      <c r="Q54" s="370">
        <f>(Q45)/Q284</f>
        <v>32.908366533864545</v>
      </c>
      <c r="R54" s="370">
        <f>(R45)/R284</f>
        <v>31.079575596816976</v>
      </c>
      <c r="S54" s="370">
        <f>(S45)/S284</f>
        <v>36.62133333333333</v>
      </c>
      <c r="T54" s="127">
        <f>T45/T284</f>
        <v>149.34666666666666</v>
      </c>
      <c r="U54" s="370">
        <f t="shared" ref="U54:W54" si="53">(U45)/U284</f>
        <v>58.46805555555556</v>
      </c>
      <c r="V54" s="370">
        <f>(V45)/V284</f>
        <v>41.835926449787834</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F51/F282</f>
        <v>36.36121212121212</v>
      </c>
      <c r="G56" s="370">
        <f>G51/G282</f>
        <v>29.71709717097171</v>
      </c>
      <c r="H56" s="370">
        <f>H51/H282</f>
        <v>24.666253101736974</v>
      </c>
      <c r="I56" s="370">
        <f>I51/I282</f>
        <v>28.65917602996255</v>
      </c>
      <c r="J56" s="127">
        <f>J51/J282</f>
        <v>121.09238451935082</v>
      </c>
      <c r="K56" s="370">
        <f>K51/K282</f>
        <v>41.11030303030303</v>
      </c>
      <c r="L56" s="370">
        <f>L51/L282</f>
        <v>29.07257072570726</v>
      </c>
      <c r="M56" s="370">
        <f>M51/M282</f>
        <v>26.610421836228287</v>
      </c>
      <c r="N56" s="370">
        <f>N51/N282</f>
        <v>18.39700374531835</v>
      </c>
      <c r="O56" s="127">
        <f>O51/O282</f>
        <v>117.02372034956305</v>
      </c>
      <c r="P56" s="370">
        <f>P51/P282</f>
        <v>48.11920529801324</v>
      </c>
      <c r="Q56" s="370">
        <f>Q51/Q282</f>
        <v>32.952127659574465</v>
      </c>
      <c r="R56" s="370">
        <f>R51/R282</f>
        <v>31.16223404255319</v>
      </c>
      <c r="S56" s="370">
        <f>S51/S282</f>
        <v>36.719251336898395</v>
      </c>
      <c r="T56" s="127">
        <f>T51/T282</f>
        <v>149.74598930481284</v>
      </c>
      <c r="U56" s="370">
        <f>U51/U282</f>
        <v>58.63091922005571</v>
      </c>
      <c r="V56" s="370">
        <f>V51/V282</f>
        <v>41.95460992907802</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55">F51/F284</f>
        <v>36.31719128329298</v>
      </c>
      <c r="G57" s="370">
        <f>G51/G284</f>
        <v>29.68058968058968</v>
      </c>
      <c r="H57" s="370">
        <f>H51/H284</f>
        <v>24.635687732342006</v>
      </c>
      <c r="I57" s="370">
        <f>I51/I284</f>
        <v>28.65917602996255</v>
      </c>
      <c r="J57" s="127">
        <f>J51/J284</f>
        <v>121.09238451935082</v>
      </c>
      <c r="K57" s="370">
        <f>K51/K284</f>
        <v>41.06053268765133</v>
      </c>
      <c r="L57" s="370">
        <f>L51/L284</f>
        <v>29.036855036855037</v>
      </c>
      <c r="M57" s="370">
        <f>M51/M284</f>
        <v>26.577447335811648</v>
      </c>
      <c r="N57" s="370">
        <f>N51/N284</f>
        <v>18.39700374531835</v>
      </c>
      <c r="O57" s="127">
        <f>O51/O284</f>
        <v>117.02372034956305</v>
      </c>
      <c r="P57" s="370">
        <f>P51/P284</f>
        <v>48.05555555555556</v>
      </c>
      <c r="Q57" s="370">
        <f>Q51/Q284</f>
        <v>32.908366533864545</v>
      </c>
      <c r="R57" s="370">
        <f>R51/R284</f>
        <v>31.079575596816976</v>
      </c>
      <c r="S57" s="370">
        <f>S51/S284</f>
        <v>36.62133333333333</v>
      </c>
      <c r="T57" s="127">
        <f>T51/T284</f>
        <v>149.34666666666666</v>
      </c>
      <c r="U57" s="370">
        <f>U51/U284</f>
        <v>58.46805555555556</v>
      </c>
      <c r="V57" s="370">
        <f>V51/V284</f>
        <v>41.835926449787834</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F51-F44-F41-F40-F39-F38</f>
        <v>36016</v>
      </c>
      <c r="G59" s="353">
        <f>G51-G44-G41-G40-G39-G38</f>
        <v>28318</v>
      </c>
      <c r="H59" s="353">
        <f>H51-H44-H41-H40-H39-H38</f>
        <v>22998</v>
      </c>
      <c r="I59" s="353">
        <f>I51-I44-I41-I40-I39-I38</f>
        <v>26969</v>
      </c>
      <c r="J59" s="282">
        <f t="shared" ref="J59:J61" si="57">SUM(F59:I59)</f>
        <v>114301</v>
      </c>
      <c r="K59" s="353">
        <f t="shared" ref="K59:N59" si="58">K51-K44-K41-K40-K39-K38</f>
        <v>40373</v>
      </c>
      <c r="L59" s="353">
        <f>L51-L44-L41-L40-L39-L38</f>
        <v>27900</v>
      </c>
      <c r="M59" s="353">
        <f>M51-M44-M41-M40-M39-M38</f>
        <v>25352</v>
      </c>
      <c r="N59" s="353">
        <f>N51-N44-N41-N40-N39-N38</f>
        <v>29591</v>
      </c>
      <c r="O59" s="282">
        <f t="shared" ref="O59:O61" si="59">SUM(K59:N59)</f>
        <v>123216</v>
      </c>
      <c r="P59" s="353">
        <f t="shared" ref="P59:S59" si="60">P51-P44-P41-P40-P39-P38</f>
        <v>42832</v>
      </c>
      <c r="Q59" s="353">
        <f>Q51-Q44-Q41-Q40-Q39-Q38</f>
        <v>29589</v>
      </c>
      <c r="R59" s="353">
        <f>R51-R44-R41-R40-R39-R38</f>
        <v>28202</v>
      </c>
      <c r="S59" s="353">
        <f>S51-S44-S41-S40-S39-S38</f>
        <v>32427</v>
      </c>
      <c r="T59" s="282">
        <f t="shared" ref="T59:T61" si="61">SUM(P59:S59)</f>
        <v>133050</v>
      </c>
      <c r="U59" s="353">
        <f t="shared" ref="U59:X59" si="62">U51-U44-U41-U40-U39-U38</f>
        <v>50852</v>
      </c>
      <c r="V59" s="353">
        <f>V51-V44-V41-V40-V39-V38</f>
        <v>35885</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63">-F34</f>
        <v>1e-12</v>
      </c>
      <c r="G60" s="372">
        <f>-G34</f>
        <v>1e-12</v>
      </c>
      <c r="H60" s="372">
        <f>-H34</f>
        <v>1e-12</v>
      </c>
      <c r="I60" s="372">
        <f>-I34</f>
        <v>1e-12</v>
      </c>
      <c r="J60" s="355">
        <f>SUM(F60:I60)</f>
        <v>1477</v>
      </c>
      <c r="K60" s="372">
        <f t="shared" ref="K60:N60" si="64">-K34</f>
        <v>1e-12</v>
      </c>
      <c r="L60" s="372">
        <f>-L34</f>
        <v>1e-12</v>
      </c>
      <c r="M60" s="372">
        <f>-M34</f>
        <v>1e-12</v>
      </c>
      <c r="N60" s="372">
        <f>-N34</f>
        <v>1e-12</v>
      </c>
      <c r="O60" s="355">
        <f>SUM(K60:N60)</f>
        <v>1262</v>
      </c>
      <c r="P60" s="372">
        <f t="shared" ref="P60:S60" si="65">-P34</f>
        <v>1e-12</v>
      </c>
      <c r="Q60" s="372">
        <f>-Q34</f>
        <v>1e-12</v>
      </c>
      <c r="R60" s="372">
        <f>-R34</f>
        <v>1e-12</v>
      </c>
      <c r="S60" s="372">
        <f>-S34</f>
        <v>1e-12</v>
      </c>
      <c r="T60" s="355">
        <f>SUM(P60:S60)</f>
        <v>1398</v>
      </c>
      <c r="U60" s="372">
        <f t="shared" ref="U60:X60" si="66">-U34</f>
        <v>1e-12</v>
      </c>
      <c r="V60" s="372">
        <f>-V34</f>
        <v>1e-12</v>
      </c>
      <c r="W60" s="372">
        <f>-W34</f>
        <v>425</v>
      </c>
      <c r="X60" s="356">
        <f>-X34</f>
        <v>331.18750000000006</v>
      </c>
      <c r="Y60" s="355">
        <f>SUM(U60:X60)</f>
        <v>1556.1875</v>
      </c>
      <c r="Z60" s="356">
        <f t="shared" ref="Z60:AC60" si="67">-Z34</f>
        <v>331.86891850000006</v>
      </c>
      <c r="AA60" s="356">
        <f>-AA34</f>
        <v>336.85146518625004</v>
      </c>
      <c r="AB60" s="356">
        <f>-AB34</f>
        <v>342.23237867969067</v>
      </c>
      <c r="AC60" s="356">
        <f>-AC34</f>
        <v>343.91086566405204</v>
      </c>
      <c r="AD60" s="355">
        <f>SUM(Z60:AC60)</f>
        <v>1354.863628029993</v>
      </c>
      <c r="AE60" s="355">
        <f t="shared" ref="AE60:AG60" si="68">-AE34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9">SUM(F59:F60)</f>
        <v>36016</v>
      </c>
      <c r="G61" s="353">
        <f>SUM(G59:G60)</f>
        <v>28318</v>
      </c>
      <c r="H61" s="353">
        <f>SUM(H59:H60)</f>
        <v>22998</v>
      </c>
      <c r="I61" s="353">
        <f>SUM(I59:I60)</f>
        <v>26969</v>
      </c>
      <c r="J61" s="282">
        <f>SUM(F61:I61)</f>
        <v>114301</v>
      </c>
      <c r="K61" s="353">
        <f t="shared" ref="K61:N61" si="70">SUM(K59:K60)</f>
        <v>40373</v>
      </c>
      <c r="L61" s="353">
        <f>SUM(L59:L60)</f>
        <v>27900</v>
      </c>
      <c r="M61" s="353">
        <f>SUM(M59:M60)</f>
        <v>25352</v>
      </c>
      <c r="N61" s="353">
        <f>SUM(N59:N60)</f>
        <v>29591</v>
      </c>
      <c r="O61" s="282">
        <f>SUM(K61:N61)</f>
        <v>123216</v>
      </c>
      <c r="P61" s="353">
        <f t="shared" ref="P61:S61" si="71">SUM(P59:P60)</f>
        <v>42832</v>
      </c>
      <c r="Q61" s="353">
        <f>SUM(Q59:Q60)</f>
        <v>29589</v>
      </c>
      <c r="R61" s="353">
        <f>SUM(R59:R60)</f>
        <v>28202</v>
      </c>
      <c r="S61" s="353">
        <f>SUM(S59:S60)</f>
        <v>32427</v>
      </c>
      <c r="T61" s="282">
        <f>SUM(P61:S61)</f>
        <v>133050</v>
      </c>
      <c r="U61" s="353">
        <f t="shared" ref="U61:X61" si="72">SUM(U59:U60)</f>
        <v>50852</v>
      </c>
      <c r="V61" s="353">
        <f>SUM(V59:V60)</f>
        <v>35885</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F30/F28</f>
        <v>0.42962254809908323</v>
      </c>
      <c r="G66" s="377">
        <f>G30/G28</f>
        <v>0.44261672782487665</v>
      </c>
      <c r="H66" s="377">
        <f>H30/H28</f>
        <v>0.44516302553883397</v>
      </c>
      <c r="I66" s="377">
        <f>I30/I28</f>
        <v>0.4517084180652082</v>
      </c>
      <c r="J66" s="378">
        <f>J30/J28</f>
        <v>0.4413112957720756</v>
      </c>
      <c r="K66" s="377">
        <f>K30/K28</f>
        <v>0.4587497386577462</v>
      </c>
      <c r="L66" s="377">
        <f>L30/L28</f>
        <v>0.46578074554009236</v>
      </c>
      <c r="M66" s="377">
        <f>M30/M28</f>
        <v>0.462571551814589</v>
      </c>
      <c r="N66" s="377">
        <f>N30/N28</f>
        <v>0.4622247972190035</v>
      </c>
      <c r="O66" s="378">
        <f>O30/O28</f>
        <v>0.4620634981523393</v>
      </c>
      <c r="P66" s="377">
        <f>P30/P28</f>
        <v>0.4688254223652454</v>
      </c>
      <c r="Q66" s="377">
        <f>Q30/Q28</f>
        <v>0.47050619238876246</v>
      </c>
      <c r="R66" s="377">
        <f>R30/R28</f>
        <v>0.4649070568718363</v>
      </c>
      <c r="S66" s="377">
        <f>S30/S28</f>
        <v>0.47177600374758455</v>
      </c>
      <c r="T66" s="378">
        <f>T30/T28</f>
        <v>0.4690516410716045</v>
      </c>
      <c r="U66" s="377">
        <f>U30/U28</f>
        <v>0.4815868555051615</v>
      </c>
      <c r="V66" s="377">
        <f>V30/V28</f>
        <v>0.4927057850050367</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75">F32/F28</f>
        <v>-0.056395855028424126</v>
      </c>
      <c r="G67" s="377">
        <f>G32/G28</f>
        <v>-0.0653865620650386</v>
      </c>
      <c r="H67" s="377">
        <f>H32/H28</f>
        <v>-0.07302223797938799</v>
      </c>
      <c r="I67" s="377">
        <f>I32/I28</f>
        <v>-0.06872779279983911</v>
      </c>
      <c r="J67" s="378">
        <f>J32/J28</f>
        <v>-0.06504820172978332</v>
      </c>
      <c r="K67" s="377">
        <f>K32/K28</f>
        <v>-0.0567509931005645</v>
      </c>
      <c r="L67" s="377">
        <f>L32/L28</f>
        <v>-0.07127037122739745</v>
      </c>
      <c r="M67" s="377">
        <f>M32/M28</f>
        <v>-0.07367942455436773</v>
      </c>
      <c r="N67" s="377">
        <f>N32/N28</f>
        <v>-0.06871378910776361</v>
      </c>
      <c r="O67" s="378">
        <f>O32/O28</f>
        <v>-0.06673827151022287</v>
      </c>
      <c r="P67" s="377">
        <f>P32/P28</f>
        <v>-0.05772325020112631</v>
      </c>
      <c r="Q67" s="377">
        <f>Q32/Q28</f>
        <v>-0.07055443114965551</v>
      </c>
      <c r="R67" s="377">
        <f>R32/R28</f>
        <v>-0.070717597515845</v>
      </c>
      <c r="S67" s="377">
        <f>S32/S28</f>
        <v>-0.06878379169675795</v>
      </c>
      <c r="T67" s="378">
        <f>T32/T28</f>
        <v>-0.06632288945864702</v>
      </c>
      <c r="U67" s="377">
        <f>U32/U28</f>
        <v>-0.05211608558947105</v>
      </c>
      <c r="V67" s="377">
        <f>V32/V28</f>
        <v>-0.06724888473161605</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76">F33/F28</f>
        <v>-0.06580227734435017</v>
      </c>
      <c r="G68" s="377">
        <f>G33/G28</f>
        <v>-0.07863047787759922</v>
      </c>
      <c r="H68" s="377">
        <f>H33/H28</f>
        <v>-0.09098133183368583</v>
      </c>
      <c r="I68" s="377">
        <f>I33/I28</f>
        <v>-0.08164428255380009</v>
      </c>
      <c r="J68" s="378">
        <f>J33/J28</f>
        <v>-0.07804897139204509</v>
      </c>
      <c r="K68" s="377">
        <f>K33/K28</f>
        <v>-0.06436127953167468</v>
      </c>
      <c r="L68" s="377">
        <f>L33/L28</f>
        <v>-0.08708252068802133</v>
      </c>
      <c r="M68" s="377">
        <f>M33/M28</f>
        <v>-0.09333504319339683</v>
      </c>
      <c r="N68" s="377">
        <f>N33/N28</f>
        <v>-0.08179711366269883</v>
      </c>
      <c r="O68" s="378">
        <f>O33/O28</f>
        <v>-0.08022299794136074</v>
      </c>
      <c r="P68" s="377">
        <f>P33/P28</f>
        <v>-0.06651649235720032</v>
      </c>
      <c r="Q68" s="377">
        <f>Q33/Q28</f>
        <v>-0.0896611751381621</v>
      </c>
      <c r="R68" s="377">
        <f>R33/R28</f>
        <v>-0.09428304053766642</v>
      </c>
      <c r="S68" s="377">
        <f>S33/S28</f>
        <v>-0.08652626236995686</v>
      </c>
      <c r="T68" s="378">
        <f>T33/T28</f>
        <v>-0.08302075398703868</v>
      </c>
      <c r="U68" s="377">
        <f>U33/U28</f>
        <v>-0.07573249116558613</v>
      </c>
      <c r="V68" s="377">
        <f>V33/V28</f>
        <v>-0.10270362642106778</v>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77">F35/F28</f>
        <v>1e-12</v>
      </c>
      <c r="G69" s="377">
        <f>G35/G28</f>
        <v>1e-12</v>
      </c>
      <c r="H69" s="377">
        <f>H35/H28</f>
        <v>1e-12</v>
      </c>
      <c r="I69" s="377">
        <f>I35/I28</f>
        <v>1e-12</v>
      </c>
      <c r="J69" s="378">
        <f>J35/J28</f>
        <v>1e-12</v>
      </c>
      <c r="K69" s="377">
        <f>K35/K28</f>
        <v>1e-12</v>
      </c>
      <c r="L69" s="377">
        <f>L35/L28</f>
        <v>1e-12</v>
      </c>
      <c r="M69" s="377">
        <f>M35/M28</f>
        <v>1e-12</v>
      </c>
      <c r="N69" s="377">
        <f>N35/N28</f>
        <v>1e-12</v>
      </c>
      <c r="O69" s="378">
        <f>O35/O28</f>
        <v>1e-12</v>
      </c>
      <c r="P69" s="377">
        <f>P35/P28</f>
        <v>1e-12</v>
      </c>
      <c r="Q69" s="377">
        <f>Q35/Q28</f>
        <v>1e-12</v>
      </c>
      <c r="R69" s="377">
        <f>R35/R28</f>
        <v>1e-12</v>
      </c>
      <c r="S69" s="377">
        <f>S35/S28</f>
        <v>1e-12</v>
      </c>
      <c r="T69" s="378">
        <f>T35/T28</f>
        <v>1e-12</v>
      </c>
      <c r="U69" s="377">
        <f>U35/U28</f>
        <v>1e-12</v>
      </c>
      <c r="V69" s="377">
        <f>V35/V28</f>
        <v>1e-12</v>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78">F41/F28</f>
        <v>0.005206821790122403</v>
      </c>
      <c r="G70" s="377">
        <f>G41/G28</f>
        <v>0.010481251845290819</v>
      </c>
      <c r="H70" s="377">
        <f>H41/H28</f>
        <v>0.008961208846290206</v>
      </c>
      <c r="I70" s="377">
        <f>I41/I28</f>
        <v>0.011519810498558627</v>
      </c>
      <c r="J70" s="378">
        <f>J41/J28</f>
        <v>0.00878719490718395</v>
      </c>
      <c r="K70" s="377">
        <f>K41/K28</f>
        <v>0.0009366506376750993</v>
      </c>
      <c r="L70" s="377">
        <f>L41/L28</f>
        <v>0.003603186671514991</v>
      </c>
      <c r="M70" s="377">
        <f>M41/M28</f>
        <v>0.0037189456381081175</v>
      </c>
      <c r="N70" s="377">
        <f>N41/N28</f>
        <v>0.002127883703781734</v>
      </c>
      <c r="O70" s="378">
        <f>O41/O28</f>
        <v>0.00245502320764126</v>
      </c>
      <c r="P70" s="377">
        <f>P41/P28</f>
        <v>-0.00034593724859211585</v>
      </c>
      <c r="Q70" s="377">
        <f>Q41/Q28</f>
        <v>-0.000629201229039734</v>
      </c>
      <c r="R70" s="377">
        <f>R41/R28</f>
        <v>0.0005317112595176316</v>
      </c>
      <c r="S70" s="377">
        <f>S41/S28</f>
        <v>0.005670173520972811</v>
      </c>
      <c r="T70" s="378">
        <f>T41/T28</f>
        <v>0.0012687397425515607</v>
      </c>
      <c r="U70" s="377">
        <f>U41/U28</f>
        <v>0.0025111995325412507</v>
      </c>
      <c r="V70" s="377">
        <f>V41/V28</f>
        <v>0.0014750323787595338</v>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79">-F44/F42</f>
        <v>0.15790360160570419</v>
      </c>
      <c r="G71" s="377">
        <f>-G44/G42</f>
        <v>0.14875625396377987</v>
      </c>
      <c r="H71" s="377">
        <f>-H44/H42</f>
        <v>0.12545638499098227</v>
      </c>
      <c r="I71" s="377">
        <f>-I44/I42</f>
        <v>0.14971479368842136</v>
      </c>
      <c r="J71" s="378">
        <f>-J44/J42</f>
        <v>0.14719174228036858</v>
      </c>
      <c r="K71" s="377">
        <f>-K44/K42</f>
        <v>0.15889194752374575</v>
      </c>
      <c r="L71" s="377">
        <f>-L44/L42</f>
        <v>0.1576021099151757</v>
      </c>
      <c r="M71" s="377">
        <f>-M44/M42</f>
        <v>0.1587040087863811</v>
      </c>
      <c r="N71" s="377">
        <f>-N44/N42</f>
        <v>0.5023302938196555</v>
      </c>
      <c r="O71" s="378">
        <f>-O44/O42</f>
        <v>0.24091185164189982</v>
      </c>
      <c r="P71" s="377">
        <f>-P44/P42</f>
        <v>0.14686267142588766</v>
      </c>
      <c r="Q71" s="377">
        <f>-Q44/Q42</f>
        <v>0.15455475946775846</v>
      </c>
      <c r="R71" s="377">
        <f>-R44/R42</f>
        <v>0.16399700331775535</v>
      </c>
      <c r="S71" s="377">
        <f>-S44/S42</f>
        <v>0.16272405804170223</v>
      </c>
      <c r="T71" s="378">
        <f>-T44/T42</f>
        <v>0.15610002335586043</v>
      </c>
      <c r="U71" s="377">
        <f>-U44/U42</f>
        <v>0.17460099603937101</v>
      </c>
      <c r="V71" s="377">
        <f>-V44/V42</f>
        <v>0.17455976334663578</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80">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81">-(Z194+Z208)</f>
        <v>331.86891850000006</v>
      </c>
      <c r="AA76" s="359">
        <f>-(AA194+AA208)</f>
        <v>336.85146518625004</v>
      </c>
      <c r="AB76" s="359">
        <f>-(AB194+AB208)</f>
        <v>342.23237867969067</v>
      </c>
      <c r="AC76" s="359">
        <f>-(AC194+AC208)</f>
        <v>343.91086566405204</v>
      </c>
      <c r="AD76" s="162">
        <f>SUM(Z76:AC76)</f>
        <v>1354.863628029993</v>
      </c>
      <c r="AE76" s="162">
        <f t="shared" ref="AE76:AG76" si="82">-(AE194+AE208)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83">Z246</f>
        <v>60.534</v>
      </c>
      <c r="AA77" s="359">
        <f>AA246</f>
        <v>69.00876</v>
      </c>
      <c r="AB77" s="359">
        <f>AB246</f>
        <v>60.7277088</v>
      </c>
      <c r="AC77" s="359">
        <f>AC246</f>
        <v>57.69132336</v>
      </c>
      <c r="AD77" s="162">
        <f>SUM(Z77:AC77)</f>
        <v>247.96179216000002</v>
      </c>
      <c r="AE77" s="162">
        <f t="shared" ref="AE77:AG77" si="84">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85">Z174</f>
        <v>-3218.803117167892</v>
      </c>
      <c r="AA78" s="359">
        <f>AA174</f>
        <v>1362.6979720093877</v>
      </c>
      <c r="AB78" s="359">
        <f>AB174</f>
        <v>1373.9746146900507</v>
      </c>
      <c r="AC78" s="359">
        <f>AC174</f>
        <v>-901.3647696096486</v>
      </c>
      <c r="AD78" s="162">
        <f>SUM(Z78:AC78)</f>
        <v>-1383.4953000781024</v>
      </c>
      <c r="AE78" s="162">
        <f t="shared" ref="AE78:AG78" si="86">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7">Z228</f>
        <v>-114.77040000000034</v>
      </c>
      <c r="AA79" s="356">
        <f>AA228</f>
        <v>-117.06580800000029</v>
      </c>
      <c r="AB79" s="356">
        <f>AB228</f>
        <v>-119.40712416000042</v>
      </c>
      <c r="AC79" s="356">
        <f>AC228</f>
        <v>-121.7952666432002</v>
      </c>
      <c r="AD79" s="355">
        <f>SUM(Z79:AC79)</f>
        <v>-473.03859880320124</v>
      </c>
      <c r="AE79" s="355">
        <f t="shared" ref="AE79:AG79" si="88">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9">SUM(U82:X82)</f>
        <v>-370.1257</v>
      </c>
      <c r="Z82" s="359">
        <f t="shared" ref="Z82:AC82" si="90">-Z193</f>
        <v>-616.585872</v>
      </c>
      <c r="AA82" s="359">
        <f>-AA193</f>
        <v>-644.3322362399999</v>
      </c>
      <c r="AB82" s="359">
        <f>-AB193</f>
        <v>-438.14592064320004</v>
      </c>
      <c r="AC82" s="359">
        <f>-AC193</f>
        <v>-416.23862461104</v>
      </c>
      <c r="AD82" s="162">
        <f t="shared" ref="AD82:AD85" si="91">SUM(Z82:AC82)</f>
        <v>-2115.30265349424</v>
      </c>
      <c r="AE82" s="162">
        <f t="shared" ref="AE82:AG82" si="92">-AE193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93">-Z207</f>
        <v>0</v>
      </c>
      <c r="AA83" s="359">
        <f>-AA207</f>
      </c>
      <c r="AB83" s="359">
        <f>-AB207</f>
      </c>
      <c r="AC83" s="359">
        <f>-AC207</f>
      </c>
      <c r="AD83" s="162">
        <f>SUM(Z83:AC83)</f>
      </c>
      <c r="AE83" s="162">
        <f t="shared" ref="AE83:AG83" si="94">-AE207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95">SUM(Z82:Z84)</f>
        <v>-616.585872</v>
      </c>
      <c r="AA85" s="281">
        <f>SUM(AA82:AA84)</f>
        <v>-644.3322362399999</v>
      </c>
      <c r="AB85" s="281">
        <f>SUM(AB82:AB84)</f>
        <v>-438.14592064320004</v>
      </c>
      <c r="AC85" s="281">
        <f>SUM(AC82:AC84)</f>
        <v>-416.23862461104</v>
      </c>
      <c r="AD85" s="282">
        <f>SUM(Z85:AC85)</f>
        <v>-2115.30265349424</v>
      </c>
      <c r="AE85" s="282">
        <f t="shared" ref="AE85:AG85" si="96">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X308</f>
        <v>0</v>
      </c>
      <c r="Y90" s="162">
        <f>SUM(U90:X90)</f>
      </c>
      <c r="Z90" s="359">
        <f t="shared" ref="Z90:AC90" si="98">Z308</f>
        <v>0</v>
      </c>
      <c r="AA90" s="359">
        <f>AA308</f>
      </c>
      <c r="AB90" s="359">
        <f>AB308</f>
      </c>
      <c r="AC90" s="359">
        <f>AC308</f>
      </c>
      <c r="AD90" s="162">
        <f>SUM(Z90:AC90)</f>
      </c>
      <c r="AE90" s="162">
        <f t="shared" ref="AE90:AG90" si="99">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00">Z309</f>
        <v>-500</v>
      </c>
      <c r="AA91" s="359">
        <f>AA309</f>
        <v>-500</v>
      </c>
      <c r="AB91" s="359">
        <f>AB309</f>
        <v>-500</v>
      </c>
      <c r="AC91" s="359">
        <f>AC309</f>
        <v>-500</v>
      </c>
      <c r="AD91" s="162">
        <f>SUM(Z91:AC91)</f>
        <v>-2000</v>
      </c>
      <c r="AE91" s="162">
        <f t="shared" ref="AE91:AG91" si="101">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02">Z245</f>
        <v>0</v>
      </c>
      <c r="AA92" s="359">
        <f>AA245</f>
      </c>
      <c r="AB92" s="359">
        <f>AB245</f>
      </c>
      <c r="AC92" s="359">
        <f>AC245</f>
      </c>
      <c r="AD92" s="162">
        <f>SUM(Z92:AC92)</f>
      </c>
      <c r="AE92" s="162">
        <f t="shared" ref="AE92:AG92" si="103">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04">-Z241</f>
        <v>-500</v>
      </c>
      <c r="AA93" s="359">
        <f>-AA241</f>
        <v>-500</v>
      </c>
      <c r="AB93" s="359">
        <f>-AB241</f>
        <v>-500</v>
      </c>
      <c r="AC93" s="359">
        <f>-AC241</f>
        <v>-500</v>
      </c>
      <c r="AD93" s="162">
        <f>SUM(Z93:AC93)</f>
        <v>-2000</v>
      </c>
      <c r="AE93" s="162">
        <f t="shared" ref="AE93:AG93" si="105">-AE241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06">-Z267</f>
        <v>-505.99999999999994</v>
      </c>
      <c r="AA94" s="359">
        <f>-AA267</f>
        <v>-494.49999999999994</v>
      </c>
      <c r="AB94" s="359">
        <f>-AB267</f>
        <v>-647.4499999999999</v>
      </c>
      <c r="AC94" s="359">
        <f>-AC267</f>
        <v>-597.7699999999999</v>
      </c>
      <c r="AD94" s="162">
        <f>SUM(Z94:AC94)</f>
        <v>-2245.72</v>
      </c>
      <c r="AE94" s="162">
        <f t="shared" ref="AE94:AG94" si="107">-AE267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08">SUM(U98:X98)</f>
        <v>0</v>
      </c>
      <c r="Z98" s="361">
        <f>Drivers!Z108</f>
        <v>0</v>
      </c>
      <c r="AA98" s="361">
        <f>Drivers!AA108</f>
        <v>0</v>
      </c>
      <c r="AB98" s="361">
        <f>Drivers!AB108</f>
        <v>0</v>
      </c>
      <c r="AC98" s="361">
        <f>Drivers!AC108</f>
        <v>0</v>
      </c>
      <c r="AD98" s="162">
        <f t="shared" ref="AD98:AD100" si="109">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F45</f>
        <v>29998</v>
      </c>
      <c r="G108" s="384">
        <f>G45</f>
        <v>24160</v>
      </c>
      <c r="H108" s="384">
        <f>H45</f>
        <v>19881</v>
      </c>
      <c r="I108" s="384">
        <f>I45</f>
        <v>22956</v>
      </c>
      <c r="J108" s="162">
        <f>J45</f>
        <v>96995</v>
      </c>
      <c r="K108" s="384">
        <f>K45</f>
        <v>33916</v>
      </c>
      <c r="L108" s="384">
        <f>L45</f>
        <v>23636</v>
      </c>
      <c r="M108" s="384">
        <f>M45</f>
        <v>21448</v>
      </c>
      <c r="N108" s="384">
        <f>N45</f>
        <v>14736</v>
      </c>
      <c r="O108" s="162">
        <f>O45</f>
        <v>93736</v>
      </c>
      <c r="P108" s="384">
        <f>P45</f>
        <v>36330</v>
      </c>
      <c r="Q108" s="384">
        <f>Q45</f>
        <v>24780</v>
      </c>
      <c r="R108" s="384">
        <f>R45</f>
        <v>23434</v>
      </c>
      <c r="S108" s="384">
        <f>S45</f>
        <v>27466</v>
      </c>
      <c r="T108" s="162">
        <f>T45</f>
        <v>112010</v>
      </c>
      <c r="U108" s="384">
        <f>U45</f>
        <v>42097</v>
      </c>
      <c r="V108" s="384">
        <f>V45</f>
        <v>29578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11">-F194+-F208</f>
        <v>1e-12</v>
      </c>
      <c r="G109" s="384">
        <f>-G194+-G208</f>
        <v>1e-12</v>
      </c>
      <c r="H109" s="384">
        <f>-H194+-H208</f>
        <v>1e-12</v>
      </c>
      <c r="I109" s="384">
        <f>-I194+-I208</f>
        <v>1e-12</v>
      </c>
      <c r="J109" s="162">
        <f t="shared" ref="J109:J111" si="112">SUM(F109:I109)</f>
        <v>1477</v>
      </c>
      <c r="K109" s="384">
        <f t="shared" ref="K109:N109" si="113">-K194+-K208</f>
        <v>1e-12</v>
      </c>
      <c r="L109" s="384">
        <f>-L194+-L208</f>
        <v>1e-12</v>
      </c>
      <c r="M109" s="384">
        <f>-M194+-M208</f>
        <v>1e-12</v>
      </c>
      <c r="N109" s="384">
        <f>-N194+-N208</f>
        <v>1e-12</v>
      </c>
      <c r="O109" s="162">
        <f t="shared" ref="O109:O111" si="114">SUM(K109:N109)</f>
        <v>1262</v>
      </c>
      <c r="P109" s="384">
        <f t="shared" ref="P109:S109" si="115">-P194+-P208</f>
        <v>1e-12</v>
      </c>
      <c r="Q109" s="384">
        <f>-Q194+-Q208</f>
        <v>1e-12</v>
      </c>
      <c r="R109" s="384">
        <f>-R194+-R208</f>
        <v>1e-12</v>
      </c>
      <c r="S109" s="384">
        <f>-S194+-S208</f>
        <v>1e-12</v>
      </c>
      <c r="T109" s="162">
        <f t="shared" ref="T109:T111" si="116">SUM(P109:S109)</f>
        <v>1398</v>
      </c>
      <c r="U109" s="384">
        <f t="shared" ref="U109:X109" si="117">-U194+-U208</f>
        <v>1e-12</v>
      </c>
      <c r="V109" s="384">
        <f>-V194+-V208</f>
        <v>1e-12</v>
      </c>
      <c r="W109" s="384">
        <f>-W194+-W208</f>
        <v>425</v>
      </c>
      <c r="X109" s="359">
        <f>-X194+-X208</f>
        <v>331.18750000000006</v>
      </c>
      <c r="Y109" s="162">
        <f t="shared" ref="Y109:Y111" si="118">SUM(U109:X109)</f>
        <v>1556.1875</v>
      </c>
      <c r="Z109" s="359">
        <f t="shared" ref="Z109:AC109" si="119">-Z194+-Z208</f>
        <v>331.86891850000006</v>
      </c>
      <c r="AA109" s="359">
        <f>-AA194+-AA208</f>
        <v>336.85146518625004</v>
      </c>
      <c r="AB109" s="359">
        <f>-AB194+-AB208</f>
        <v>342.23237867969067</v>
      </c>
      <c r="AC109" s="359">
        <f>-AC194+-AC208</f>
        <v>343.91086566405204</v>
      </c>
      <c r="AD109" s="162">
        <f t="shared" ref="AD109:AD111" si="120">SUM(Z109:AC109)</f>
        <v>1354.863628029993</v>
      </c>
      <c r="AE109" s="162">
        <f t="shared" ref="AE109:AG109" si="121">-AE194+-AE208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22">F178</f>
        <v>1e-12</v>
      </c>
      <c r="G110" s="384">
        <f>G178</f>
        <v>9819</v>
      </c>
      <c r="H110" s="384">
        <f>H178</f>
        <v>-2272</v>
      </c>
      <c r="I110" s="384">
        <f>I178</f>
        <v>-6973</v>
      </c>
      <c r="J110" s="162">
        <f>SUM(F110:I110)</f>
        <v>574.0000000000018</v>
      </c>
      <c r="K110" s="384">
        <f t="shared" ref="K110:N110" si="123">K178</f>
        <v>1669</v>
      </c>
      <c r="L110" s="384">
        <f>L178</f>
        <v>-10757</v>
      </c>
      <c r="M110" s="384">
        <f>M178</f>
        <v>930</v>
      </c>
      <c r="N110" s="384">
        <f>N178</f>
        <v>9650</v>
      </c>
      <c r="O110" s="162">
        <f>SUM(K110:N110)</f>
        <v>1492</v>
      </c>
      <c r="P110" s="384">
        <f t="shared" ref="P110:S110" si="124">P178</f>
        <v>-2904</v>
      </c>
      <c r="Q110" s="384">
        <f>Q178</f>
        <v>-3639</v>
      </c>
      <c r="R110" s="384">
        <f>R178</f>
        <v>-4829</v>
      </c>
      <c r="S110" s="384">
        <f>S178</f>
        <v>7473</v>
      </c>
      <c r="T110" s="162">
        <f>SUM(P110:S110)</f>
        <v>-3899</v>
      </c>
      <c r="U110" s="384">
        <f t="shared" ref="U110:X110" si="125">U178</f>
        <v>426</v>
      </c>
      <c r="V110" s="384">
        <f>V178</f>
        <v>-4528</v>
      </c>
      <c r="W110" s="384">
        <f>W178</f>
        <v>-40</v>
      </c>
      <c r="X110" s="359">
        <f>X178</f>
        <v>-1855.091793478261</v>
      </c>
      <c r="Y110" s="162">
        <f>SUM(U110:X110)</f>
        <v>-1897.091793478261</v>
      </c>
      <c r="Z110" s="359">
        <f t="shared" ref="Z110:AC110" si="126">Z178</f>
        <v>-1777.3159203678952</v>
      </c>
      <c r="AA110" s="359">
        <f>AA178</f>
        <v>177.7483814153893</v>
      </c>
      <c r="AB110" s="359">
        <f>AB178</f>
        <v>916.7916052488508</v>
      </c>
      <c r="AC110" s="359">
        <f>AC178</f>
        <v>-168.43685088664824</v>
      </c>
      <c r="AD110" s="162">
        <f>SUM(Z110:AC110)</f>
        <v>-851.2127845903033</v>
      </c>
      <c r="AE110" s="162">
        <f t="shared" ref="AE110:AG110" si="127">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8">-F193</f>
        <v>-224</v>
      </c>
      <c r="G111" s="372">
        <f>-G193</f>
        <v>-319</v>
      </c>
      <c r="H111" s="372">
        <f>-H193</f>
        <v>-303</v>
      </c>
      <c r="I111" s="372">
        <f>-I193</f>
        <v>-328</v>
      </c>
      <c r="J111" s="355">
        <f>SUM(F111:I111)</f>
        <v>-1174</v>
      </c>
      <c r="K111" s="372">
        <f t="shared" ref="K111:N111" si="129">-K193</f>
        <v>-205</v>
      </c>
      <c r="L111" s="372">
        <f>-L193</f>
        <v>-321</v>
      </c>
      <c r="M111" s="372">
        <f>-M193</f>
        <v>-401</v>
      </c>
      <c r="N111" s="372">
        <f>-N193</f>
        <v>-557</v>
      </c>
      <c r="O111" s="355">
        <f>SUM(K111:N111)</f>
        <v>-1484</v>
      </c>
      <c r="P111" s="372">
        <f t="shared" ref="P111:S111" si="130">-P193</f>
        <v>-328</v>
      </c>
      <c r="Q111" s="372">
        <f>-Q193</f>
        <v>-382</v>
      </c>
      <c r="R111" s="372">
        <f>-R193</f>
        <v>-462</v>
      </c>
      <c r="S111" s="372">
        <f>-S193</f>
        <v>-557</v>
      </c>
      <c r="T111" s="355">
        <f>SUM(P111:S111)</f>
        <v>-1729</v>
      </c>
      <c r="U111" s="372">
        <f t="shared" ref="U111:X111" si="131">-U193</f>
        <v>-461</v>
      </c>
      <c r="V111" s="372">
        <f>-V193</f>
        <v>-385</v>
      </c>
      <c r="W111" s="372">
        <f>-W193</f>
        <v>-410</v>
      </c>
      <c r="X111" s="356">
        <f>-X193</f>
        <v>-370.1257</v>
      </c>
      <c r="Y111" s="355">
        <f>SUM(U111:X111)</f>
        <v>-1626.1257</v>
      </c>
      <c r="Z111" s="356">
        <f t="shared" ref="Z111:AC111" si="132">-Z193</f>
        <v>-616.585872</v>
      </c>
      <c r="AA111" s="356">
        <f>-AA193</f>
        <v>-644.3322362399999</v>
      </c>
      <c r="AB111" s="356">
        <f>-AB193</f>
        <v>-438.14592064320004</v>
      </c>
      <c r="AC111" s="356">
        <f>-AC193</f>
        <v>-416.23862461104</v>
      </c>
      <c r="AD111" s="355">
        <f>SUM(Z111:AC111)</f>
        <v>-2115.30265349424</v>
      </c>
      <c r="AE111" s="355">
        <f t="shared" ref="AE111:AG111" si="133">-AE193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34">SUM(F108:F111)</f>
        <v>29774</v>
      </c>
      <c r="G112" s="353">
        <f>SUM(G108:G111)</f>
        <v>33660</v>
      </c>
      <c r="H112" s="353">
        <f>SUM(H108:H111)</f>
        <v>17306</v>
      </c>
      <c r="I112" s="353">
        <f>SUM(I108:I111)</f>
        <v>15655</v>
      </c>
      <c r="J112" s="282">
        <f>SUM(J108:J111)</f>
        <v>97872</v>
      </c>
      <c r="K112" s="353">
        <f>SUM(K108:K111)</f>
        <v>35380</v>
      </c>
      <c r="L112" s="353">
        <f>SUM(L108:L111)</f>
        <v>12558</v>
      </c>
      <c r="M112" s="353">
        <f>SUM(M108:M111)</f>
        <v>21977</v>
      </c>
      <c r="N112" s="353">
        <f>SUM(N108:N111)</f>
        <v>23829</v>
      </c>
      <c r="O112" s="282">
        <f>SUM(O108:O111)</f>
        <v>95006</v>
      </c>
      <c r="P112" s="353">
        <f>SUM(P108:P111)</f>
        <v>33098</v>
      </c>
      <c r="Q112" s="353">
        <f>SUM(Q108:Q111)</f>
        <v>20759</v>
      </c>
      <c r="R112" s="353">
        <f>SUM(R108:R111)</f>
        <v>18143</v>
      </c>
      <c r="S112" s="353">
        <f>SUM(S108:S111)</f>
        <v>34382</v>
      </c>
      <c r="T112" s="282">
        <f>SUM(T108:T111)</f>
        <v>107780</v>
      </c>
      <c r="U112" s="353">
        <f>SUM(U108:U111)</f>
        <v>42062</v>
      </c>
      <c r="V112" s="353">
        <f>SUM(V108:V111)</f>
        <v>24665</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F112/F28</f>
        <v>0.25414411799853187</v>
      </c>
      <c r="G114" s="397">
        <f>G112/G28</f>
        <v>0.35492850816145766</v>
      </c>
      <c r="H114" s="397">
        <f>H112/H28</f>
        <v>0.21157255156057067</v>
      </c>
      <c r="I114" s="397">
        <f>I112/I28</f>
        <v>0.174920109946591</v>
      </c>
      <c r="J114" s="398">
        <f>J112/J28</f>
        <v>0.25535045723156397</v>
      </c>
      <c r="K114" s="397">
        <f>K112/K28</f>
        <v>0.2958812460798662</v>
      </c>
      <c r="L114" s="397">
        <f>L112/L28</f>
        <v>0.13837559088955736</v>
      </c>
      <c r="M114" s="397">
        <f>M112/M28</f>
        <v>0.2562108723783765</v>
      </c>
      <c r="N114" s="397">
        <f>N112/N28</f>
        <v>0.25101653850205413</v>
      </c>
      <c r="O114" s="398">
        <f>O112/O28</f>
        <v>0.24296034881788076</v>
      </c>
      <c r="P114" s="397">
        <f>P112/P28</f>
        <v>0.26627514078841513</v>
      </c>
      <c r="Q114" s="397">
        <f>Q112/Q28</f>
        <v>0.21769313856059733</v>
      </c>
      <c r="R114" s="397">
        <f>R112/R28</f>
        <v>0.19293674762856777</v>
      </c>
      <c r="S114" s="397">
        <f>S112/S28</f>
        <v>0.335545449222181</v>
      </c>
      <c r="T114" s="398">
        <f>T112/T28</f>
        <v>0.2589863057806954</v>
      </c>
      <c r="U114" s="397">
        <f>U112/U28</f>
        <v>0.29259300481371214</v>
      </c>
      <c r="V114" s="397">
        <f>V112/V28</f>
        <v>0.2218394733055116</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36">F112/F282</f>
        <v>36.089696969696966</v>
      </c>
      <c r="G115" s="370">
        <f>G112/G282</f>
        <v>41.40221402214022</v>
      </c>
      <c r="H115" s="370">
        <f>H112/H282</f>
        <v>21.471464019851116</v>
      </c>
      <c r="I115" s="370">
        <f>I112/I282</f>
        <v>19.544319600499374</v>
      </c>
      <c r="J115" s="127">
        <f>J112/J282</f>
        <v>122.187265917603</v>
      </c>
      <c r="K115" s="370">
        <f>K112/K282</f>
        <v>42.88484848484848</v>
      </c>
      <c r="L115" s="370">
        <f>L112/L282</f>
        <v>15.44649446494465</v>
      </c>
      <c r="M115" s="370">
        <f>M112/M282</f>
        <v>27.266749379652605</v>
      </c>
      <c r="N115" s="370">
        <f>N112/N282</f>
        <v>29.749063670411985</v>
      </c>
      <c r="O115" s="127">
        <f>O112/O282</f>
        <v>118.60923845193508</v>
      </c>
      <c r="P115" s="370">
        <f>P112/P282</f>
        <v>43.83841059602649</v>
      </c>
      <c r="Q115" s="370">
        <f>Q112/Q282</f>
        <v>27.60505319148936</v>
      </c>
      <c r="R115" s="370">
        <f>R112/R282</f>
        <v>24.12632978723404</v>
      </c>
      <c r="S115" s="370">
        <f>S112/S282</f>
        <v>45.96524064171123</v>
      </c>
      <c r="T115" s="127">
        <f>T112/T282</f>
        <v>144.0909090909091</v>
      </c>
      <c r="U115" s="370">
        <f>U112/U282</f>
        <v>58.58217270194986</v>
      </c>
      <c r="V115" s="370">
        <f>V112/V282</f>
        <v>34.98581560283688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37">F115*4/F239</f>
        <v>1.6789810174318196</v>
      </c>
      <c r="G116" s="397">
        <f>G115*4/G239</f>
        <v>1.8040180401804018</v>
      </c>
      <c r="H116" s="397">
        <f>H115*4/H239</f>
        <v>0.8977302820048548</v>
      </c>
      <c r="I116" s="397">
        <f>I115*4/I239</f>
        <v>0.7025908007728721</v>
      </c>
      <c r="J116" s="398">
        <f>J115/J239</f>
        <v>1.2997193102158096</v>
      </c>
      <c r="K116" s="397">
        <f t="shared" ref="K116:N116" si="138">K115*4/K239</f>
        <v>1.6760077571020415</v>
      </c>
      <c r="L116" s="397">
        <f>L115*4/L239</f>
        <v>0.6022612131765143</v>
      </c>
      <c r="M116" s="397">
        <f>M115*4/M239</f>
        <v>1.006060303649206</v>
      </c>
      <c r="N116" s="397">
        <f>N115*4/N239</f>
        <v>1.1293181615416905</v>
      </c>
      <c r="O116" s="398">
        <f>O115/O239</f>
        <v>1.139321738193233</v>
      </c>
      <c r="P116" s="397">
        <f t="shared" ref="P116:S116" si="139">P115*4/P239</f>
        <v>1.7751937880553348</v>
      </c>
      <c r="Q116" s="397">
        <f>Q115*4/Q239</f>
        <v>1.117839772888818</v>
      </c>
      <c r="R116" s="397">
        <f>R115*4/R239</f>
        <v>0.5702215026273515</v>
      </c>
      <c r="S116" s="397">
        <f>S115*4/S239</f>
        <v>0.8775397884552851</v>
      </c>
      <c r="T116" s="398">
        <f>T115/T239</f>
        <v>0.8560496765066983</v>
      </c>
      <c r="U116" s="397">
        <f t="shared" ref="U116:X116" si="140">U115*4/U239</f>
        <v>1.2861069747958258</v>
      </c>
      <c r="V116" s="397">
        <f>V115*4/V239</f>
        <v>0.7330070723784293</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41">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20535</v>
      </c>
      <c r="G120" s="392">
        <v>24687</v>
      </c>
      <c r="H120" s="392">
        <v>28408</v>
      </c>
      <c r="I120" s="392">
        <v>29965</v>
      </c>
      <c r="J120" s="282">
        <v>29965</v>
      </c>
      <c r="K120" s="392">
        <v>40760</v>
      </c>
      <c r="L120" s="392">
        <v>32695</v>
      </c>
      <c r="M120" s="392">
        <v>25565</v>
      </c>
      <c r="N120" s="392">
        <v>29943</v>
      </c>
      <c r="O120" s="282">
        <v>29943</v>
      </c>
      <c r="P120" s="392">
        <v>30299</v>
      </c>
      <c r="Q120" s="392">
        <v>28162</v>
      </c>
      <c r="R120" s="392">
        <v>36269</v>
      </c>
      <c r="S120" s="392">
        <v>35934</v>
      </c>
      <c r="T120" s="282">
        <v>35934</v>
      </c>
      <c r="U120" s="392">
        <v>45317</v>
      </c>
      <c r="V120" s="392">
        <v>45572</v>
      </c>
      <c r="W120" s="392">
        <f>6121+552</f>
        <v>6673</v>
      </c>
      <c r="X120" s="281">
        <f>X104</f>
      </c>
      <c r="Y120" s="282" t="str">
        <f t="shared" ref="Y120:Y124" si="142">X120</f>
        <v>#REF!</v>
      </c>
      <c r="Z120" s="281" t="str">
        <f t="shared" ref="Z120:AC120" si="143">Z104</f>
        <v>#REF!</v>
      </c>
      <c r="AA120" s="281">
        <f t="shared" si="143"/>
      </c>
      <c r="AB120" s="281">
        <f t="shared" si="143"/>
      </c>
      <c r="AC120" s="281">
        <f t="shared" si="143"/>
      </c>
      <c r="AD120" s="282" t="str">
        <f t="shared" ref="AD120:AD124" si="144">AC120</f>
        <v>#REF!</v>
      </c>
      <c r="AE120" s="282" t="str">
        <f t="shared" ref="AE120:AG120" si="145">AE104</f>
        <v>#REF!</v>
      </c>
      <c r="AF120" s="282">
        <f t="shared" si="145"/>
      </c>
      <c r="AG120" s="282">
        <f t="shared" si="145"/>
      </c>
      <c r="AH120" s="16"/>
      <c r="AI120" s="16"/>
      <c r="AJ120" s="16"/>
      <c r="AK120" s="16"/>
    </row>
    <row r="121" ht="13.5" customHeight="1" spans="1:37" x14ac:dyDescent="0.25">
      <c r="A121" s="264"/>
      <c r="B121" s="16"/>
      <c r="C121" s="16" t="s">
        <v>331</v>
      </c>
      <c r="D121" s="16"/>
      <c r="E121" s="16"/>
      <c r="F121" s="358">
        <v>23752</v>
      </c>
      <c r="G121" s="358">
        <v>17936</v>
      </c>
      <c r="H121" s="358">
        <v>19549</v>
      </c>
      <c r="I121" s="358">
        <v>29508</v>
      </c>
      <c r="J121" s="162">
        <v>29508</v>
      </c>
      <c r="K121" s="358">
        <v>23194</v>
      </c>
      <c r="L121" s="358">
        <v>21837</v>
      </c>
      <c r="M121" s="358">
        <v>22795</v>
      </c>
      <c r="N121" s="358">
        <v>33410</v>
      </c>
      <c r="O121" s="162">
        <v>33410</v>
      </c>
      <c r="P121" s="358">
        <v>29639</v>
      </c>
      <c r="Q121" s="358">
        <v>26136</v>
      </c>
      <c r="R121" s="358">
        <v>27557</v>
      </c>
      <c r="S121" s="358">
        <v>39777</v>
      </c>
      <c r="T121" s="162">
        <v>39777</v>
      </c>
      <c r="U121" s="358">
        <v>39921</v>
      </c>
      <c r="V121" s="358">
        <v>30339</v>
      </c>
      <c r="W121" s="358">
        <v>0</v>
      </c>
      <c r="X121" s="359">
        <f t="shared" ref="X121:X123" si="146">X162</f>
        <v>0</v>
      </c>
      <c r="Y121" s="162">
        <f t="shared" si="142"/>
        <v>0</v>
      </c>
      <c r="Z121" s="359">
        <f t="shared" ref="Z121:AC121" si="147">Z162</f>
        <v>0</v>
      </c>
      <c r="AA121" s="359">
        <f t="shared" si="147"/>
        <v>0</v>
      </c>
      <c r="AB121" s="359">
        <f t="shared" si="147"/>
        <v>0</v>
      </c>
      <c r="AC121" s="359">
        <f t="shared" si="147"/>
        <v>0</v>
      </c>
      <c r="AD121" s="162">
        <f t="shared" si="144"/>
        <v>0</v>
      </c>
      <c r="AE121" s="162">
        <f t="shared" ref="AE121:AG121" si="148">AE162</f>
        <v>0</v>
      </c>
      <c r="AF121" s="162">
        <f t="shared" si="148"/>
        <v>0</v>
      </c>
      <c r="AG121" s="162">
        <f t="shared" si="148"/>
        <v>0</v>
      </c>
      <c r="AH121" s="16"/>
      <c r="AI121" s="16"/>
      <c r="AJ121" s="16"/>
      <c r="AK121" s="16"/>
    </row>
    <row r="122" ht="13.5" customHeight="1" spans="1:37" x14ac:dyDescent="0.25">
      <c r="A122" s="264"/>
      <c r="B122" s="16"/>
      <c r="C122" s="16" t="s">
        <v>332</v>
      </c>
      <c r="D122" s="16"/>
      <c r="E122" s="16"/>
      <c r="F122" s="358">
        <v>6820</v>
      </c>
      <c r="G122" s="358">
        <v>7482</v>
      </c>
      <c r="H122" s="358">
        <v>7351</v>
      </c>
      <c r="I122" s="358">
        <v>6331</v>
      </c>
      <c r="J122" s="162">
        <v>6331</v>
      </c>
      <c r="K122" s="358">
        <v>6511</v>
      </c>
      <c r="L122" s="358">
        <v>6232</v>
      </c>
      <c r="M122" s="358">
        <v>6165</v>
      </c>
      <c r="N122" s="358">
        <v>7286</v>
      </c>
      <c r="O122" s="162">
        <v>7286</v>
      </c>
      <c r="P122" s="358">
        <v>6911</v>
      </c>
      <c r="Q122" s="358">
        <v>6269</v>
      </c>
      <c r="R122" s="358">
        <v>5925</v>
      </c>
      <c r="S122" s="358">
        <v>5718</v>
      </c>
      <c r="T122" s="162">
        <v>5718</v>
      </c>
      <c r="U122" s="358">
        <v>5875</v>
      </c>
      <c r="V122" s="358">
        <v>6747</v>
      </c>
      <c r="W122" s="358">
        <v>16685</v>
      </c>
      <c r="X122" s="359">
        <f t="shared" si="146"/>
        <v>18529.950326086957</v>
      </c>
      <c r="Y122" s="162">
        <f t="shared" si="142"/>
        <v>18529.950326086957</v>
      </c>
      <c r="Z122" s="359">
        <f t="shared" ref="Z122:AC122" si="149">Z163</f>
        <v>23065.506292307695</v>
      </c>
      <c r="AA122" s="359">
        <f t="shared" si="149"/>
        <v>22014.14833107692</v>
      </c>
      <c r="AB122" s="359">
        <f t="shared" si="149"/>
        <v>20954.80490032696</v>
      </c>
      <c r="AC122" s="359">
        <f t="shared" si="149"/>
        <v>20718.783200747737</v>
      </c>
      <c r="AD122" s="162">
        <f t="shared" si="144"/>
        <v>20718.783200747737</v>
      </c>
      <c r="AE122" s="162">
        <f t="shared" ref="AE122:AG122" si="150">AE163</f>
        <v>21269.509108004873</v>
      </c>
      <c r="AF122" s="162">
        <f t="shared" si="150"/>
        <v>21669.70196230183</v>
      </c>
      <c r="AG122" s="162">
        <f t="shared" si="150"/>
        <v>22051.69345270706</v>
      </c>
      <c r="AH122" s="16"/>
      <c r="AI122" s="16"/>
      <c r="AJ122" s="16"/>
      <c r="AK122" s="16"/>
    </row>
    <row r="123" ht="13.5" customHeight="1" spans="1:37" x14ac:dyDescent="0.25">
      <c r="A123" s="264"/>
      <c r="B123" s="16"/>
      <c r="C123" s="16" t="s">
        <v>333</v>
      </c>
      <c r="D123" s="16"/>
      <c r="E123" s="16"/>
      <c r="F123" s="354">
        <v>77670</v>
      </c>
      <c r="G123" s="354">
        <v>62808</v>
      </c>
      <c r="H123" s="354">
        <v>67351</v>
      </c>
      <c r="I123" s="354">
        <v>77762</v>
      </c>
      <c r="J123" s="355">
        <v>77762</v>
      </c>
      <c r="K123" s="354">
        <v>73227</v>
      </c>
      <c r="L123" s="354">
        <v>67652</v>
      </c>
      <c r="M123" s="354">
        <v>70910</v>
      </c>
      <c r="N123" s="354">
        <v>82348</v>
      </c>
      <c r="O123" s="355">
        <v>82348</v>
      </c>
      <c r="P123" s="354">
        <v>66391</v>
      </c>
      <c r="Q123" s="354">
        <v>58107</v>
      </c>
      <c r="R123" s="354">
        <v>52740</v>
      </c>
      <c r="S123" s="354">
        <v>66528</v>
      </c>
      <c r="T123" s="355">
        <v>66528</v>
      </c>
      <c r="U123" s="354">
        <v>66991</v>
      </c>
      <c r="V123" s="354">
        <v>61456</v>
      </c>
      <c r="W123" s="354">
        <v>1491</v>
      </c>
      <c r="X123" s="356">
        <f t="shared" si="146"/>
        <v>0</v>
      </c>
      <c r="Y123" s="355">
        <f t="shared" si="142"/>
        <v>0</v>
      </c>
      <c r="Z123" s="356">
        <f t="shared" ref="Z123:AC123" si="151">Z164</f>
        <v>1849.7576159999996</v>
      </c>
      <c r="AA123" s="356">
        <f t="shared" si="151"/>
        <v>2108.72368224</v>
      </c>
      <c r="AB123" s="356">
        <f t="shared" si="151"/>
        <v>1855.6768403712</v>
      </c>
      <c r="AC123" s="356">
        <f t="shared" si="151"/>
        <v>1762.8929983526398</v>
      </c>
      <c r="AD123" s="355">
        <f t="shared" si="144"/>
        <v>1762.8929983526398</v>
      </c>
      <c r="AE123" s="355">
        <f t="shared" ref="AE123:AG123" si="152">AE164</f>
        <v>1932.1480399257787</v>
      </c>
      <c r="AF123" s="355">
        <f t="shared" si="152"/>
        <v>1970.7910007242942</v>
      </c>
      <c r="AG123" s="355">
        <f t="shared" si="152"/>
        <v>2010.2068207387802</v>
      </c>
      <c r="AH123" s="16"/>
      <c r="AI123" s="16"/>
      <c r="AJ123" s="16"/>
      <c r="AK123" s="16"/>
    </row>
    <row r="124" ht="13.5" customHeight="1" spans="1:37" x14ac:dyDescent="0.25">
      <c r="A124" s="264"/>
      <c r="B124" s="16"/>
      <c r="C124" s="139" t="s">
        <v>334</v>
      </c>
      <c r="D124" s="16"/>
      <c r="E124" s="16"/>
      <c r="F124" s="353">
        <f t="shared" ref="F124:I124" si="153">SUM(F120:F123)</f>
        <v>128777</v>
      </c>
      <c r="G124" s="353">
        <f>SUM(G120:G123)</f>
        <v>112913</v>
      </c>
      <c r="H124" s="353">
        <f>SUM(H120:H123)</f>
        <v>122659</v>
      </c>
      <c r="I124" s="353">
        <f>SUM(I120:I123)</f>
        <v>143566</v>
      </c>
      <c r="J124" s="282">
        <f>I124</f>
        <v>143566</v>
      </c>
      <c r="K124" s="353">
        <f t="shared" ref="K124:N124" si="154">SUM(K120:K123)</f>
        <v>143692</v>
      </c>
      <c r="L124" s="353">
        <f>SUM(L120:L123)</f>
        <v>128416</v>
      </c>
      <c r="M124" s="353">
        <f>SUM(M120:M123)</f>
        <v>125435</v>
      </c>
      <c r="N124" s="353">
        <f>SUM(N120:N123)</f>
        <v>152987</v>
      </c>
      <c r="O124" s="282">
        <f>N124</f>
        <v>152987</v>
      </c>
      <c r="P124" s="353">
        <f t="shared" ref="P124:S124" si="155">SUM(P120:P123)</f>
        <v>133240</v>
      </c>
      <c r="Q124" s="353">
        <f>SUM(Q120:Q123)</f>
        <v>118674</v>
      </c>
      <c r="R124" s="353">
        <f>SUM(R120:R123)</f>
        <v>122491</v>
      </c>
      <c r="S124" s="353">
        <f>SUM(S120:S123)</f>
        <v>147957</v>
      </c>
      <c r="T124" s="282">
        <f>S124</f>
        <v>147957</v>
      </c>
      <c r="U124" s="353">
        <f t="shared" ref="U124:X124" si="156">SUM(U120:U123)</f>
        <v>158104</v>
      </c>
      <c r="V124" s="353">
        <f>SUM(V120:V123)</f>
        <v>144114</v>
      </c>
      <c r="W124" s="353">
        <f t="shared" si="156"/>
        <v>24849</v>
      </c>
      <c r="X124" s="281">
        <f t="shared" si="156"/>
      </c>
      <c r="Y124" s="282">
        <f t="shared" si="142"/>
      </c>
      <c r="Z124" s="281" t="str">
        <f t="shared" ref="Z124:AC124" si="157">SUM(Z120:Z123)</f>
        <v>#REF!</v>
      </c>
      <c r="AA124" s="281">
        <f t="shared" si="157"/>
      </c>
      <c r="AB124" s="281">
        <f t="shared" si="157"/>
      </c>
      <c r="AC124" s="281">
        <f t="shared" si="157"/>
      </c>
      <c r="AD124" s="282">
        <f t="shared" si="144"/>
      </c>
      <c r="AE124" s="282" t="str">
        <f t="shared" ref="AE124:AG124" si="158">SUM(AE120:AE123)</f>
        <v>#REF!</v>
      </c>
      <c r="AF124" s="282">
        <f t="shared" si="158"/>
      </c>
      <c r="AG124" s="282">
        <f t="shared" si="158"/>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42951</v>
      </c>
      <c r="G126" s="392">
        <v>43398</v>
      </c>
      <c r="H126" s="392">
        <v>43550</v>
      </c>
      <c r="I126" s="392">
        <v>43715</v>
      </c>
      <c r="J126" s="282">
        <v>43715</v>
      </c>
      <c r="K126" s="392">
        <v>43666</v>
      </c>
      <c r="L126" s="392">
        <v>43546</v>
      </c>
      <c r="M126" s="392">
        <v>44502</v>
      </c>
      <c r="N126" s="392">
        <v>45680</v>
      </c>
      <c r="O126" s="282">
        <v>45680</v>
      </c>
      <c r="P126" s="392">
        <v>46069</v>
      </c>
      <c r="Q126" s="392">
        <v>46876</v>
      </c>
      <c r="R126" s="392">
        <v>48508</v>
      </c>
      <c r="S126" s="392">
        <v>49834</v>
      </c>
      <c r="T126" s="282">
        <v>49834</v>
      </c>
      <c r="U126" s="392">
        <v>50159</v>
      </c>
      <c r="V126" s="392">
        <v>50116</v>
      </c>
      <c r="W126" s="392">
        <v>18925</v>
      </c>
      <c r="X126" s="281">
        <f>X196</f>
        <v>18963.9382</v>
      </c>
      <c r="Y126" s="282">
        <f t="shared" ref="Y126:Y130" si="159">X126</f>
        <v>18963.9382</v>
      </c>
      <c r="Z126" s="281">
        <f t="shared" ref="Z126:AC126" si="160">Z196</f>
        <v>19248.6551535</v>
      </c>
      <c r="AA126" s="281">
        <f t="shared" si="160"/>
        <v>19556.13592455375</v>
      </c>
      <c r="AB126" s="281">
        <f t="shared" si="160"/>
        <v>19652.04946651726</v>
      </c>
      <c r="AC126" s="281">
        <f t="shared" si="160"/>
        <v>19724.377225464246</v>
      </c>
      <c r="AD126" s="282">
        <f t="shared" ref="AD126:AD130" si="161">AC126</f>
        <v>19724.377225464246</v>
      </c>
      <c r="AE126" s="282">
        <f t="shared" ref="AE126:AG126" si="162">AE196</f>
        <v>20451.053220703907</v>
      </c>
      <c r="AF126" s="282">
        <f t="shared" si="162"/>
        <v>21168.345167395775</v>
      </c>
      <c r="AG126" s="282">
        <f t="shared" si="162"/>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v>0</v>
      </c>
      <c r="K127" s="358">
        <v>0</v>
      </c>
      <c r="L127" s="358">
        <v>0</v>
      </c>
      <c r="M127" s="358">
        <v>0</v>
      </c>
      <c r="N127" s="358">
        <v>0</v>
      </c>
      <c r="O127" s="162">
        <v>0</v>
      </c>
      <c r="P127" s="358">
        <v>0</v>
      </c>
      <c r="Q127" s="358">
        <v>0</v>
      </c>
      <c r="R127" s="358">
        <v>0</v>
      </c>
      <c r="S127" s="358">
        <v>13301</v>
      </c>
      <c r="T127" s="162">
        <v>13301</v>
      </c>
      <c r="U127" s="358">
        <v>0</v>
      </c>
      <c r="V127" s="358">
        <v>25797</v>
      </c>
      <c r="W127" s="358">
        <v>0</v>
      </c>
      <c r="X127" s="359">
        <f>X210</f>
        <v>0</v>
      </c>
      <c r="Y127" s="162">
        <f t="shared" si="159"/>
        <v>0</v>
      </c>
      <c r="Z127" s="359">
        <f t="shared" ref="Z127:AC127" si="163">Z210</f>
        <v>0</v>
      </c>
      <c r="AA127" s="359">
        <f t="shared" si="163"/>
        <v>0</v>
      </c>
      <c r="AB127" s="359">
        <f t="shared" si="163"/>
        <v>0</v>
      </c>
      <c r="AC127" s="359">
        <f t="shared" si="163"/>
        <v>0</v>
      </c>
      <c r="AD127" s="162">
        <f t="shared" si="161"/>
        <v>0</v>
      </c>
      <c r="AE127" s="162">
        <f t="shared" ref="AE127:AG127" si="164">AE210</f>
        <v>0</v>
      </c>
      <c r="AF127" s="162">
        <f t="shared" si="164"/>
        <v>0</v>
      </c>
      <c r="AG127" s="162">
        <f t="shared" si="164"/>
        <v>0</v>
      </c>
      <c r="AH127" s="16"/>
      <c r="AI127" s="16"/>
      <c r="AJ127" s="16"/>
      <c r="AK127" s="16"/>
    </row>
    <row r="128" ht="13.5" customHeight="1" spans="1:37" x14ac:dyDescent="0.25">
      <c r="A128" s="264"/>
      <c r="B128" s="16"/>
      <c r="C128" s="16" t="s">
        <v>337</v>
      </c>
      <c r="D128" s="16"/>
      <c r="E128" s="16"/>
      <c r="F128" s="358">
        <v>0</v>
      </c>
      <c r="G128" s="358">
        <v>0</v>
      </c>
      <c r="H128" s="358">
        <v>0</v>
      </c>
      <c r="I128" s="358">
        <v>0</v>
      </c>
      <c r="J128" s="162">
        <v>0</v>
      </c>
      <c r="K128" s="358">
        <v>0</v>
      </c>
      <c r="L128" s="358">
        <v>0</v>
      </c>
      <c r="M128" s="358">
        <v>0</v>
      </c>
      <c r="N128" s="358">
        <v>0</v>
      </c>
      <c r="O128" s="162">
        <v>0</v>
      </c>
      <c r="P128" s="358">
        <v>0</v>
      </c>
      <c r="Q128" s="358">
        <v>0</v>
      </c>
      <c r="R128" s="358">
        <v>0</v>
      </c>
      <c r="S128" s="358">
        <v>0</v>
      </c>
      <c r="T128" s="162">
        <v>0</v>
      </c>
      <c r="U128" s="358">
        <v>0</v>
      </c>
      <c r="V128" s="358">
        <v>0</v>
      </c>
      <c r="W128" s="358">
        <v>0</v>
      </c>
      <c r="X128" s="359">
        <f t="shared" ref="X128:X129" si="165">X218</f>
        <v>0</v>
      </c>
      <c r="Y128" s="162">
        <f t="shared" si="159"/>
        <v>0</v>
      </c>
      <c r="Z128" s="359">
        <f t="shared" ref="Z128:AC128" si="166">Z218</f>
        <v>0</v>
      </c>
      <c r="AA128" s="359">
        <f t="shared" si="166"/>
        <v>0</v>
      </c>
      <c r="AB128" s="359">
        <f t="shared" si="166"/>
        <v>0</v>
      </c>
      <c r="AC128" s="359">
        <f t="shared" si="166"/>
        <v>0</v>
      </c>
      <c r="AD128" s="162">
        <f t="shared" si="161"/>
        <v>0</v>
      </c>
      <c r="AE128" s="162">
        <f t="shared" ref="AE128:AG128" si="167">AE218</f>
        <v>0</v>
      </c>
      <c r="AF128" s="162">
        <f t="shared" si="167"/>
        <v>0</v>
      </c>
      <c r="AG128" s="162">
        <f t="shared" si="167"/>
        <v>0</v>
      </c>
      <c r="AH128" s="16"/>
      <c r="AI128" s="16"/>
      <c r="AJ128" s="16"/>
      <c r="AK128" s="16"/>
    </row>
    <row r="129" ht="13.5" customHeight="1" spans="1:37" x14ac:dyDescent="0.25">
      <c r="A129" s="264"/>
      <c r="B129" s="16"/>
      <c r="C129" s="16" t="s">
        <v>338</v>
      </c>
      <c r="D129" s="16"/>
      <c r="E129" s="16"/>
      <c r="F129" s="354">
        <v>175019</v>
      </c>
      <c r="G129" s="354">
        <v>175849</v>
      </c>
      <c r="H129" s="354">
        <v>168829</v>
      </c>
      <c r="I129" s="354">
        <v>165302</v>
      </c>
      <c r="J129" s="355">
        <v>165302</v>
      </c>
      <c r="K129" s="354">
        <v>166156</v>
      </c>
      <c r="L129" s="354">
        <v>165449</v>
      </c>
      <c r="M129" s="354">
        <v>161675</v>
      </c>
      <c r="N129" s="354">
        <v>166313</v>
      </c>
      <c r="O129" s="355">
        <v>166313</v>
      </c>
      <c r="P129" s="354">
        <v>164776</v>
      </c>
      <c r="Q129" s="354">
        <v>165683</v>
      </c>
      <c r="R129" s="354">
        <v>160496</v>
      </c>
      <c r="S129" s="354">
        <v>148149</v>
      </c>
      <c r="T129" s="355">
        <v>148149</v>
      </c>
      <c r="U129" s="354">
        <v>171034</v>
      </c>
      <c r="V129" s="354">
        <v>151055</v>
      </c>
      <c r="W129" s="354">
        <f>4161+213+220+1032</f>
        <v>5626</v>
      </c>
      <c r="X129" s="356">
        <f t="shared" si="165"/>
        <v>5738.52</v>
      </c>
      <c r="Y129" s="355">
        <f t="shared" si="159"/>
        <v>5738.52</v>
      </c>
      <c r="Z129" s="356">
        <f t="shared" ref="Z129:AC129" si="168">Z219</f>
        <v>5853.290400000001</v>
      </c>
      <c r="AA129" s="356">
        <f t="shared" si="168"/>
        <v>5970.356208000001</v>
      </c>
      <c r="AB129" s="356">
        <f t="shared" si="168"/>
        <v>6089.7633321600015</v>
      </c>
      <c r="AC129" s="356">
        <f t="shared" si="168"/>
        <v>6211.558598803202</v>
      </c>
      <c r="AD129" s="355">
        <f t="shared" si="161"/>
        <v>6211.558598803202</v>
      </c>
      <c r="AE129" s="355">
        <f t="shared" ref="AE129:AG129" si="169">AE219</f>
        <v>6335.789770779265</v>
      </c>
      <c r="AF129" s="355">
        <f t="shared" si="169"/>
        <v>6462.505566194851</v>
      </c>
      <c r="AG129" s="355">
        <f t="shared" si="169"/>
        <v>6591.755677518748</v>
      </c>
      <c r="AH129" s="16"/>
      <c r="AI129" s="16"/>
      <c r="AJ129" s="16"/>
      <c r="AK129" s="16"/>
    </row>
    <row r="130" ht="13.5" customHeight="1" spans="1:37" x14ac:dyDescent="0.25">
      <c r="A130" s="264"/>
      <c r="B130" s="16"/>
      <c r="C130" s="139" t="s">
        <v>339</v>
      </c>
      <c r="D130" s="16"/>
      <c r="E130" s="16"/>
      <c r="F130" s="353">
        <f t="shared" ref="F130:I130" si="170">SUM(F126:F129)</f>
        <v>217970</v>
      </c>
      <c r="G130" s="353">
        <f>SUM(G126:G129)</f>
        <v>219247</v>
      </c>
      <c r="H130" s="353">
        <f>SUM(H126:H129)</f>
        <v>212379</v>
      </c>
      <c r="I130" s="353">
        <f>SUM(I126:I129)</f>
        <v>209017</v>
      </c>
      <c r="J130" s="282">
        <f>I130</f>
        <v>209017</v>
      </c>
      <c r="K130" s="353">
        <f t="shared" ref="K130:N130" si="171">SUM(K126:K129)</f>
        <v>209822</v>
      </c>
      <c r="L130" s="353">
        <f>SUM(L126:L129)</f>
        <v>208995</v>
      </c>
      <c r="M130" s="353">
        <f>SUM(M126:M129)</f>
        <v>206177</v>
      </c>
      <c r="N130" s="353">
        <f>SUM(N126:N129)</f>
        <v>211993</v>
      </c>
      <c r="O130" s="282">
        <f>N130</f>
        <v>211993</v>
      </c>
      <c r="P130" s="353">
        <f t="shared" ref="P130:S130" si="172">SUM(P126:P129)</f>
        <v>210845</v>
      </c>
      <c r="Q130" s="353">
        <f>SUM(Q126:Q129)</f>
        <v>212559</v>
      </c>
      <c r="R130" s="353">
        <f>SUM(R126:R129)</f>
        <v>209004</v>
      </c>
      <c r="S130" s="353">
        <f>SUM(S126:S129)</f>
        <v>211284</v>
      </c>
      <c r="T130" s="282">
        <f>S130</f>
        <v>211284</v>
      </c>
      <c r="U130" s="353">
        <f t="shared" ref="U130:X130" si="173">SUM(U126:U129)</f>
        <v>221193</v>
      </c>
      <c r="V130" s="353">
        <f>SUM(V126:V129)</f>
        <v>226968</v>
      </c>
      <c r="W130" s="353">
        <f t="shared" si="173"/>
        <v>24551</v>
      </c>
      <c r="X130" s="281">
        <f t="shared" si="173"/>
        <v>24702.4582</v>
      </c>
      <c r="Y130" s="282">
        <f t="shared" si="159"/>
        <v>24702.4582</v>
      </c>
      <c r="Z130" s="281">
        <f t="shared" ref="Z130:AC130" si="174">SUM(Z126:Z129)</f>
        <v>25101.9455535</v>
      </c>
      <c r="AA130" s="281">
        <f t="shared" si="174"/>
        <v>25526.49213255375</v>
      </c>
      <c r="AB130" s="281">
        <f t="shared" si="174"/>
        <v>25741.81279867726</v>
      </c>
      <c r="AC130" s="281">
        <f t="shared" si="174"/>
        <v>25935.93582426745</v>
      </c>
      <c r="AD130" s="282">
        <f t="shared" si="161"/>
        <v>25935.93582426745</v>
      </c>
      <c r="AE130" s="282">
        <f t="shared" ref="AE130:AG130" si="175">SUM(AE126:AE129)</f>
        <v>26786.842991483172</v>
      </c>
      <c r="AF130" s="282">
        <f t="shared" si="175"/>
        <v>27630.850733590625</v>
      </c>
      <c r="AG130" s="282">
        <f t="shared" si="175"/>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76">SUM(F124,F130)</f>
        <v>346747</v>
      </c>
      <c r="G132" s="353">
        <f>SUM(G124,G130)</f>
        <v>332160</v>
      </c>
      <c r="H132" s="353">
        <f>SUM(H124,H130)</f>
        <v>335038</v>
      </c>
      <c r="I132" s="353">
        <f>SUM(I124,I130)</f>
        <v>352583</v>
      </c>
      <c r="J132" s="282">
        <f>SUM(J124,J130)</f>
        <v>352583</v>
      </c>
      <c r="K132" s="353">
        <f>SUM(K124,K130)</f>
        <v>353514</v>
      </c>
      <c r="L132" s="353">
        <f>SUM(L124,L130)</f>
        <v>337411</v>
      </c>
      <c r="M132" s="353">
        <f>SUM(M124,M130)</f>
        <v>331612</v>
      </c>
      <c r="N132" s="353">
        <f>SUM(N124,N130)</f>
        <v>364980</v>
      </c>
      <c r="O132" s="282">
        <f>SUM(O124,O130)</f>
        <v>364980</v>
      </c>
      <c r="P132" s="353">
        <f>SUM(P124,P130)</f>
        <v>344085</v>
      </c>
      <c r="Q132" s="353">
        <f>SUM(Q124,Q130)</f>
        <v>331233</v>
      </c>
      <c r="R132" s="353">
        <f>SUM(R124,R130)</f>
        <v>331495</v>
      </c>
      <c r="S132" s="353">
        <f>SUM(S124,S130)</f>
        <v>359241</v>
      </c>
      <c r="T132" s="282">
        <f>SUM(T124,T130)</f>
        <v>359241</v>
      </c>
      <c r="U132" s="353">
        <f>SUM(U124,U130)</f>
        <v>379297</v>
      </c>
      <c r="V132" s="353">
        <f>SUM(V124,V130)</f>
        <v>371082</v>
      </c>
      <c r="W132" s="353">
        <f t="shared" si="176"/>
        <v>49400</v>
      </c>
      <c r="X132" s="281">
        <f t="shared" si="176"/>
      </c>
      <c r="Y132" s="282">
        <f t="shared" si="176"/>
      </c>
      <c r="Z132" s="281">
        <f t="shared" si="176"/>
      </c>
      <c r="AA132" s="281">
        <f t="shared" si="176"/>
      </c>
      <c r="AB132" s="281">
        <f t="shared" si="176"/>
      </c>
      <c r="AC132" s="281">
        <f t="shared" si="176"/>
      </c>
      <c r="AD132" s="282">
        <f t="shared" si="176"/>
      </c>
      <c r="AE132" s="282">
        <f t="shared" si="176"/>
      </c>
      <c r="AF132" s="282">
        <f t="shared" si="176"/>
      </c>
      <c r="AG132" s="282">
        <f t="shared" si="176"/>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57918</v>
      </c>
      <c r="G134" s="392">
        <v>42945</v>
      </c>
      <c r="H134" s="392">
        <v>46699</v>
      </c>
      <c r="I134" s="392">
        <v>62611</v>
      </c>
      <c r="J134" s="282">
        <v>62611</v>
      </c>
      <c r="K134" s="392">
        <v>58146</v>
      </c>
      <c r="L134" s="392">
        <v>45753</v>
      </c>
      <c r="M134" s="392">
        <v>47574</v>
      </c>
      <c r="N134" s="392">
        <v>68960</v>
      </c>
      <c r="O134" s="282">
        <v>68960</v>
      </c>
      <c r="P134" s="392">
        <v>61910</v>
      </c>
      <c r="Q134" s="392">
        <v>54126</v>
      </c>
      <c r="R134" s="392">
        <v>50374</v>
      </c>
      <c r="S134" s="392">
        <v>69860</v>
      </c>
      <c r="T134" s="282">
        <v>69860</v>
      </c>
      <c r="U134" s="392">
        <v>70587</v>
      </c>
      <c r="V134" s="392">
        <v>57349</v>
      </c>
      <c r="W134" s="392">
        <v>11334</v>
      </c>
      <c r="X134" s="281">
        <f t="shared" ref="X134:X136" si="177">X167</f>
        <v>11323.858532608696</v>
      </c>
      <c r="Y134" s="282">
        <f t="shared" ref="Y134:Y137" si="178">X134</f>
        <v>11323.858532608696</v>
      </c>
      <c r="Z134" s="281">
        <f t="shared" ref="Z134:AC134" si="179">Z167</f>
        <v>14082.098578461539</v>
      </c>
      <c r="AA134" s="281">
        <f t="shared" si="179"/>
        <v>13208.488998646155</v>
      </c>
      <c r="AB134" s="281">
        <f t="shared" si="179"/>
        <v>13065.937173145043</v>
      </c>
      <c r="AC134" s="281">
        <f t="shared" si="179"/>
        <v>12661.478622679173</v>
      </c>
      <c r="AD134" s="282">
        <f t="shared" ref="AD134:AD137" si="180">AC134</f>
        <v>12661.478622679173</v>
      </c>
      <c r="AE134" s="282">
        <f t="shared" ref="AE134:AG134" si="181">AE167</f>
        <v>13673.255855145992</v>
      </c>
      <c r="AF134" s="282">
        <f t="shared" si="181"/>
        <v>13930.522690051177</v>
      </c>
      <c r="AG134" s="282">
        <f t="shared" si="181"/>
        <v>14176.088648168821</v>
      </c>
      <c r="AH134" s="16"/>
      <c r="AI134" s="16"/>
      <c r="AJ134" s="16"/>
      <c r="AK134" s="16"/>
    </row>
    <row r="135" ht="13.5" customHeight="1" spans="1:37" x14ac:dyDescent="0.25">
      <c r="A135" s="264"/>
      <c r="B135" s="16"/>
      <c r="C135" s="16" t="s">
        <v>342</v>
      </c>
      <c r="D135" s="16"/>
      <c r="E135" s="16"/>
      <c r="F135" s="358">
        <v>71376</v>
      </c>
      <c r="G135" s="358">
        <v>68999</v>
      </c>
      <c r="H135" s="358">
        <v>70106</v>
      </c>
      <c r="I135" s="358">
        <v>74636</v>
      </c>
      <c r="J135" s="162">
        <v>74636</v>
      </c>
      <c r="K135" s="358">
        <v>67563</v>
      </c>
      <c r="L135" s="358">
        <v>70057</v>
      </c>
      <c r="M135" s="358">
        <v>75997</v>
      </c>
      <c r="N135" s="358">
        <v>99183</v>
      </c>
      <c r="O135" s="162">
        <v>99183</v>
      </c>
      <c r="P135" s="358">
        <v>73994</v>
      </c>
      <c r="Q135" s="358">
        <v>81469</v>
      </c>
      <c r="R135" s="358">
        <v>81767</v>
      </c>
      <c r="S135" s="358">
        <v>86716</v>
      </c>
      <c r="T135" s="162">
        <v>86716</v>
      </c>
      <c r="U135" s="358">
        <v>82367</v>
      </c>
      <c r="V135" s="358">
        <v>67961</v>
      </c>
      <c r="W135" s="358">
        <v>1353</v>
      </c>
      <c r="X135" s="281">
        <f t="shared" si="177"/>
        <v>947.08635</v>
      </c>
      <c r="Y135" s="162">
        <f t="shared" si="178"/>
        <v>947.08635</v>
      </c>
      <c r="Z135" s="281">
        <f t="shared" ref="Z135:AC135" si="182">Z168</f>
        <v>1104.716354</v>
      </c>
      <c r="AA135" s="281">
        <f t="shared" si="182"/>
        <v>1252.05468633</v>
      </c>
      <c r="AB135" s="281">
        <f t="shared" si="182"/>
        <v>1134.0247357824</v>
      </c>
      <c r="AC135" s="281">
        <f t="shared" si="182"/>
        <v>1058.9600302604401</v>
      </c>
      <c r="AD135" s="162">
        <f t="shared" si="180"/>
        <v>1058.9600302604401</v>
      </c>
      <c r="AE135" s="282">
        <f t="shared" ref="AE135:AG135" si="183">AE168</f>
        <v>1201.4740561605136</v>
      </c>
      <c r="AF135" s="282">
        <f t="shared" si="183"/>
        <v>1224.080188227645</v>
      </c>
      <c r="AG135" s="282">
        <f t="shared" si="183"/>
        <v>1245.6581599177973</v>
      </c>
      <c r="AH135" s="16"/>
      <c r="AI135" s="16"/>
      <c r="AJ135" s="16"/>
      <c r="AK135" s="16"/>
    </row>
    <row r="136" ht="13.5" customHeight="1" spans="1:37" x14ac:dyDescent="0.25">
      <c r="A136" s="264"/>
      <c r="B136" s="16"/>
      <c r="C136" s="16" t="s">
        <v>343</v>
      </c>
      <c r="D136" s="16"/>
      <c r="E136" s="16"/>
      <c r="F136" s="354">
        <v>7992</v>
      </c>
      <c r="G136" s="354">
        <v>8131</v>
      </c>
      <c r="H136" s="354">
        <v>8158</v>
      </c>
      <c r="I136" s="354">
        <v>8061</v>
      </c>
      <c r="J136" s="355">
        <v>8061</v>
      </c>
      <c r="K136" s="354">
        <v>8264</v>
      </c>
      <c r="L136" s="354">
        <v>8012</v>
      </c>
      <c r="M136" s="354">
        <v>8053</v>
      </c>
      <c r="N136" s="354">
        <v>8249</v>
      </c>
      <c r="O136" s="355">
        <v>8249</v>
      </c>
      <c r="P136" s="354">
        <v>8461</v>
      </c>
      <c r="Q136" s="354">
        <v>8976</v>
      </c>
      <c r="R136" s="354">
        <v>8979</v>
      </c>
      <c r="S136" s="354">
        <v>9055</v>
      </c>
      <c r="T136" s="355">
        <v>9055</v>
      </c>
      <c r="U136" s="354">
        <v>9413</v>
      </c>
      <c r="V136" s="354">
        <v>9331</v>
      </c>
      <c r="W136" s="354">
        <f>1000+573+1954+3268</f>
        <v>6795</v>
      </c>
      <c r="X136" s="356">
        <f t="shared" si="177"/>
        <v>9470.8635</v>
      </c>
      <c r="Y136" s="355">
        <f t="shared" si="178"/>
        <v>9470.8635</v>
      </c>
      <c r="Z136" s="356">
        <f t="shared" ref="Z136:AC136" si="184">Z169</f>
        <v>9721.503915199999</v>
      </c>
      <c r="AA136" s="356">
        <f t="shared" si="184"/>
        <v>11018.081239704</v>
      </c>
      <c r="AB136" s="356">
        <f t="shared" si="184"/>
        <v>11340.247357824</v>
      </c>
      <c r="AC136" s="356">
        <f t="shared" si="184"/>
        <v>10589.6003026044</v>
      </c>
      <c r="AD136" s="355">
        <f t="shared" si="180"/>
        <v>10589.6003026044</v>
      </c>
      <c r="AE136" s="355">
        <f t="shared" ref="AE136:AG136" si="185">AE169</f>
        <v>11090.529749173971</v>
      </c>
      <c r="AF136" s="355">
        <f t="shared" si="185"/>
        <v>11299.201737485955</v>
      </c>
      <c r="AG136" s="355">
        <f t="shared" si="185"/>
        <v>11498.383014625822</v>
      </c>
      <c r="AH136" s="16"/>
      <c r="AI136" s="16"/>
      <c r="AJ136" s="16"/>
      <c r="AK136" s="16"/>
    </row>
    <row r="137" ht="13.5" customHeight="1" spans="1:37" x14ac:dyDescent="0.25">
      <c r="A137" s="264"/>
      <c r="B137" s="16"/>
      <c r="C137" s="139" t="s">
        <v>344</v>
      </c>
      <c r="D137" s="16"/>
      <c r="E137" s="16"/>
      <c r="F137" s="353">
        <f t="shared" ref="F137:I137" si="186">SUM(F134:F136)</f>
        <v>137286</v>
      </c>
      <c r="G137" s="353">
        <f>SUM(G134:G136)</f>
        <v>120075</v>
      </c>
      <c r="H137" s="353">
        <f>SUM(H134:H136)</f>
        <v>124963</v>
      </c>
      <c r="I137" s="353">
        <f>SUM(I134:I136)</f>
        <v>145308</v>
      </c>
      <c r="J137" s="282">
        <f>I137</f>
        <v>145308</v>
      </c>
      <c r="K137" s="353">
        <f t="shared" ref="K137:N137" si="187">SUM(K134:K136)</f>
        <v>133973</v>
      </c>
      <c r="L137" s="353">
        <f>SUM(L134:L136)</f>
        <v>123822</v>
      </c>
      <c r="M137" s="353">
        <f>SUM(M134:M136)</f>
        <v>131624</v>
      </c>
      <c r="N137" s="353">
        <f>SUM(N134:N136)</f>
        <v>176392</v>
      </c>
      <c r="O137" s="282">
        <f>N137</f>
        <v>176392</v>
      </c>
      <c r="P137" s="353">
        <f t="shared" ref="P137:S137" si="188">SUM(P134:P136)</f>
        <v>144365</v>
      </c>
      <c r="Q137" s="353">
        <f>SUM(Q134:Q136)</f>
        <v>144571</v>
      </c>
      <c r="R137" s="353">
        <f>SUM(R134:R136)</f>
        <v>141120</v>
      </c>
      <c r="S137" s="353">
        <f>SUM(S134:S136)</f>
        <v>165631</v>
      </c>
      <c r="T137" s="282">
        <f>S137</f>
        <v>165631</v>
      </c>
      <c r="U137" s="353">
        <f t="shared" ref="U137:X137" si="189">SUM(U134:U136)</f>
        <v>162367</v>
      </c>
      <c r="V137" s="353">
        <f>SUM(V134:V136)</f>
        <v>134641</v>
      </c>
      <c r="W137" s="353">
        <f t="shared" si="189"/>
        <v>19482</v>
      </c>
      <c r="X137" s="281">
        <f t="shared" si="189"/>
        <v>21741.808382608695</v>
      </c>
      <c r="Y137" s="282">
        <f t="shared" si="178"/>
        <v>21741.808382608695</v>
      </c>
      <c r="Z137" s="281">
        <f t="shared" ref="Z137:AC137" si="190">SUM(Z134:Z136)</f>
        <v>24908.31884766154</v>
      </c>
      <c r="AA137" s="281">
        <f t="shared" si="190"/>
        <v>25478.624924680156</v>
      </c>
      <c r="AB137" s="281">
        <f t="shared" si="190"/>
        <v>25540.209266751444</v>
      </c>
      <c r="AC137" s="281">
        <f t="shared" si="190"/>
        <v>24310.038955544012</v>
      </c>
      <c r="AD137" s="282">
        <f t="shared" si="180"/>
        <v>24310.038955544012</v>
      </c>
      <c r="AE137" s="282">
        <f t="shared" ref="AE137:AG137" si="191">SUM(AE134:AE136)</f>
        <v>25965.25966048048</v>
      </c>
      <c r="AF137" s="282">
        <f t="shared" si="191"/>
        <v>26453.804615764777</v>
      </c>
      <c r="AG137" s="282">
        <f t="shared" si="19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2">I139</f>
        <v>1e-12</v>
      </c>
      <c r="K139" s="392">
        <v>0</v>
      </c>
      <c r="L139" s="392">
        <v>0</v>
      </c>
      <c r="M139" s="392">
        <v>0</v>
      </c>
      <c r="N139" s="392">
        <v>0</v>
      </c>
      <c r="O139" s="282">
        <f t="shared" ref="O139:O143" si="193">N139</f>
        <v>1e-12</v>
      </c>
      <c r="P139" s="392">
        <v>0</v>
      </c>
      <c r="Q139" s="392">
        <v>0</v>
      </c>
      <c r="R139" s="392">
        <v>0</v>
      </c>
      <c r="S139" s="392">
        <v>0</v>
      </c>
      <c r="T139" s="282">
        <f t="shared" ref="T139:T143" si="194">S139</f>
        <v>1e-12</v>
      </c>
      <c r="U139" s="392">
        <v>0</v>
      </c>
      <c r="V139" s="392">
        <v>0</v>
      </c>
      <c r="W139" s="392">
        <v>0</v>
      </c>
      <c r="X139" s="281">
        <f>X304</f>
      </c>
      <c r="Y139" s="282" t="str">
        <f t="shared" ref="Y139:Y143" si="195">X139</f>
        <v>#REF!</v>
      </c>
      <c r="Z139" s="281" t="str">
        <f t="shared" ref="Z139:AC139" si="196">Z304</f>
        <v>#REF!</v>
      </c>
      <c r="AA139" s="281">
        <f t="shared" si="196"/>
      </c>
      <c r="AB139" s="281">
        <f t="shared" si="196"/>
      </c>
      <c r="AC139" s="281">
        <f t="shared" si="196"/>
      </c>
      <c r="AD139" s="282" t="str">
        <f t="shared" ref="AD139:AD143" si="197">AC139</f>
        <v>#REF!</v>
      </c>
      <c r="AE139" s="282" t="str">
        <f t="shared" ref="AE139:AG139" si="198">AE304</f>
        <v>#REF!</v>
      </c>
      <c r="AF139" s="282">
        <f t="shared" si="198"/>
      </c>
      <c r="AG139" s="282">
        <f t="shared" si="198"/>
      </c>
      <c r="AH139" s="16"/>
      <c r="AI139" s="16"/>
      <c r="AJ139" s="16"/>
      <c r="AK139" s="16"/>
    </row>
    <row r="140" ht="13.5" customHeight="1" spans="1:37" x14ac:dyDescent="0.25">
      <c r="A140" s="264"/>
      <c r="B140" s="16"/>
      <c r="C140" s="16" t="s">
        <v>346</v>
      </c>
      <c r="D140" s="16"/>
      <c r="E140" s="16"/>
      <c r="F140" s="358">
        <v>99627</v>
      </c>
      <c r="G140" s="358">
        <v>97041</v>
      </c>
      <c r="H140" s="358">
        <v>98071</v>
      </c>
      <c r="I140" s="358">
        <v>95281</v>
      </c>
      <c r="J140" s="162">
        <v>95281</v>
      </c>
      <c r="K140" s="358">
        <v>95088</v>
      </c>
      <c r="L140" s="358">
        <v>91831</v>
      </c>
      <c r="M140" s="358">
        <v>86196</v>
      </c>
      <c r="N140" s="358">
        <v>85750</v>
      </c>
      <c r="O140" s="162">
        <v>85750</v>
      </c>
      <c r="P140" s="358">
        <v>83956</v>
      </c>
      <c r="Q140" s="358">
        <v>78566</v>
      </c>
      <c r="R140" s="358">
        <v>82430</v>
      </c>
      <c r="S140" s="358">
        <v>78328</v>
      </c>
      <c r="T140" s="162">
        <v>78328</v>
      </c>
      <c r="U140" s="358">
        <v>76685</v>
      </c>
      <c r="V140" s="358">
        <v>74404</v>
      </c>
      <c r="W140" s="358">
        <f>23881+1352</f>
        <v>25233</v>
      </c>
      <c r="X140" s="359">
        <f>X310</f>
        <v>24733</v>
      </c>
      <c r="Y140" s="162">
        <f t="shared" si="195"/>
        <v>24733</v>
      </c>
      <c r="Z140" s="359">
        <f t="shared" ref="Z140:AC140" si="199">Z310</f>
        <v>24233</v>
      </c>
      <c r="AA140" s="359">
        <f t="shared" si="199"/>
        <v>23733</v>
      </c>
      <c r="AB140" s="359">
        <f t="shared" si="199"/>
        <v>23233</v>
      </c>
      <c r="AC140" s="359">
        <f t="shared" si="199"/>
        <v>22733</v>
      </c>
      <c r="AD140" s="162">
        <f t="shared" si="197"/>
        <v>22733</v>
      </c>
      <c r="AE140" s="162">
        <f t="shared" ref="AE140:AG140" si="200">AE310</f>
        <v>21333</v>
      </c>
      <c r="AF140" s="162">
        <f t="shared" si="200"/>
        <v>20033</v>
      </c>
      <c r="AG140" s="162">
        <f t="shared" si="200"/>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v>1e-12</v>
      </c>
      <c r="K141" s="358">
        <v>0</v>
      </c>
      <c r="L141" s="358">
        <v>0</v>
      </c>
      <c r="M141" s="358">
        <v>0</v>
      </c>
      <c r="N141" s="358">
        <v>0</v>
      </c>
      <c r="O141" s="162">
        <f>N141</f>
        <v>1e-12</v>
      </c>
      <c r="P141" s="358">
        <v>0</v>
      </c>
      <c r="Q141" s="358">
        <v>0</v>
      </c>
      <c r="R141" s="358">
        <v>0</v>
      </c>
      <c r="S141" s="358">
        <v>0</v>
      </c>
      <c r="T141" s="162">
        <f>S141</f>
        <v>1e-12</v>
      </c>
      <c r="U141" s="358">
        <v>0</v>
      </c>
      <c r="V141" s="358">
        <v>0</v>
      </c>
      <c r="W141" s="358">
        <v>0</v>
      </c>
      <c r="X141" s="359">
        <f t="shared" ref="X141:X142" si="201">X223</f>
        <v>0</v>
      </c>
      <c r="Y141" s="162">
        <f t="shared" si="195"/>
        <v>0</v>
      </c>
      <c r="Z141" s="359">
        <f t="shared" ref="Z141:AC141" si="202">Z223</f>
        <v>0</v>
      </c>
      <c r="AA141" s="359">
        <f t="shared" si="202"/>
        <v>0</v>
      </c>
      <c r="AB141" s="359">
        <f t="shared" si="202"/>
        <v>0</v>
      </c>
      <c r="AC141" s="359">
        <f t="shared" si="202"/>
        <v>0</v>
      </c>
      <c r="AD141" s="162">
        <f t="shared" si="197"/>
        <v>0</v>
      </c>
      <c r="AE141" s="162">
        <f t="shared" ref="AE141:AG141" si="203">AE223</f>
        <v>0</v>
      </c>
      <c r="AF141" s="162">
        <f t="shared" si="203"/>
        <v>0</v>
      </c>
      <c r="AG141" s="162">
        <f t="shared" si="203"/>
        <v>0</v>
      </c>
      <c r="AH141" s="16"/>
      <c r="AI141" s="16"/>
      <c r="AJ141" s="16"/>
      <c r="AK141" s="16"/>
    </row>
    <row r="142" ht="13.5" customHeight="1" spans="1:37" x14ac:dyDescent="0.25">
      <c r="A142" s="264"/>
      <c r="B142" s="16"/>
      <c r="C142" s="16" t="s">
        <v>348</v>
      </c>
      <c r="D142" s="16"/>
      <c r="E142" s="16"/>
      <c r="F142" s="354">
        <v>53107</v>
      </c>
      <c r="G142" s="354">
        <v>52886</v>
      </c>
      <c r="H142" s="354">
        <v>51730</v>
      </c>
      <c r="I142" s="354">
        <v>49848</v>
      </c>
      <c r="J142" s="355">
        <v>49848</v>
      </c>
      <c r="K142" s="354">
        <v>50353</v>
      </c>
      <c r="L142" s="354">
        <v>47564</v>
      </c>
      <c r="M142" s="354">
        <v>47084</v>
      </c>
      <c r="N142" s="354">
        <v>45888</v>
      </c>
      <c r="O142" s="355">
        <v>45888</v>
      </c>
      <c r="P142" s="354">
        <v>49006</v>
      </c>
      <c r="Q142" s="354">
        <v>41300</v>
      </c>
      <c r="R142" s="354">
        <v>42115</v>
      </c>
      <c r="S142" s="354">
        <v>41549</v>
      </c>
      <c r="T142" s="355">
        <v>41549</v>
      </c>
      <c r="U142" s="354">
        <v>52055</v>
      </c>
      <c r="V142" s="354">
        <v>55546</v>
      </c>
      <c r="W142" s="354">
        <f>4136+1119+1006</f>
        <v>6261</v>
      </c>
      <c r="X142" s="356">
        <f t="shared" si="201"/>
        <v>6261</v>
      </c>
      <c r="Y142" s="355">
        <f t="shared" si="195"/>
        <v>6261</v>
      </c>
      <c r="Z142" s="356">
        <f t="shared" ref="Z142:AC142" si="204">Z224</f>
        <v>6261</v>
      </c>
      <c r="AA142" s="356">
        <f t="shared" si="204"/>
        <v>6261</v>
      </c>
      <c r="AB142" s="356">
        <f t="shared" si="204"/>
        <v>6261</v>
      </c>
      <c r="AC142" s="356">
        <f t="shared" si="204"/>
        <v>6261</v>
      </c>
      <c r="AD142" s="355">
        <f t="shared" si="197"/>
        <v>6261</v>
      </c>
      <c r="AE142" s="355">
        <f t="shared" ref="AE142:AG142" si="205">AE224</f>
        <v>6261</v>
      </c>
      <c r="AF142" s="355">
        <f t="shared" si="205"/>
        <v>6261</v>
      </c>
      <c r="AG142" s="355">
        <f t="shared" si="205"/>
        <v>6261</v>
      </c>
      <c r="AH142" s="16"/>
      <c r="AI142" s="16"/>
      <c r="AJ142" s="16"/>
      <c r="AK142" s="16"/>
    </row>
    <row r="143" ht="13.5" customHeight="1" spans="1:37" x14ac:dyDescent="0.25">
      <c r="A143" s="264"/>
      <c r="B143" s="16"/>
      <c r="C143" s="139" t="s">
        <v>349</v>
      </c>
      <c r="D143" s="16"/>
      <c r="E143" s="16"/>
      <c r="F143" s="353">
        <f t="shared" ref="F143:I143" si="206">SUM(F139:F142)</f>
        <v>152734</v>
      </c>
      <c r="G143" s="353">
        <f>SUM(G139:G142)</f>
        <v>149927</v>
      </c>
      <c r="H143" s="353">
        <f>SUM(H139:H142)</f>
        <v>149801</v>
      </c>
      <c r="I143" s="353">
        <f>SUM(I139:I142)</f>
        <v>145129</v>
      </c>
      <c r="J143" s="282">
        <f>I143</f>
        <v>145129</v>
      </c>
      <c r="K143" s="353">
        <f t="shared" ref="K143:N143" si="207">SUM(K139:K142)</f>
        <v>145441</v>
      </c>
      <c r="L143" s="353">
        <f>SUM(L139:L142)</f>
        <v>139395</v>
      </c>
      <c r="M143" s="353">
        <f>SUM(M139:M142)</f>
        <v>133280</v>
      </c>
      <c r="N143" s="353">
        <f>SUM(N139:N142)</f>
        <v>131638</v>
      </c>
      <c r="O143" s="282">
        <f>N143</f>
        <v>131638</v>
      </c>
      <c r="P143" s="353">
        <f t="shared" ref="P143:S143" si="208">SUM(P139:P142)</f>
        <v>132962</v>
      </c>
      <c r="Q143" s="353">
        <f>SUM(Q139:Q142)</f>
        <v>119866</v>
      </c>
      <c r="R143" s="353">
        <f>SUM(R139:R142)</f>
        <v>124545</v>
      </c>
      <c r="S143" s="353">
        <f>SUM(S139:S142)</f>
        <v>119877</v>
      </c>
      <c r="T143" s="282">
        <f>S143</f>
        <v>119877</v>
      </c>
      <c r="U143" s="353">
        <f t="shared" ref="U143:X143" si="209">SUM(U139:U142)</f>
        <v>128740</v>
      </c>
      <c r="V143" s="353">
        <f>SUM(V139:V142)</f>
        <v>129950</v>
      </c>
      <c r="W143" s="353">
        <f t="shared" si="209"/>
        <v>31494</v>
      </c>
      <c r="X143" s="281">
        <f t="shared" si="209"/>
      </c>
      <c r="Y143" s="282">
        <f t="shared" si="195"/>
      </c>
      <c r="Z143" s="281" t="str">
        <f t="shared" ref="Z143:AC143" si="210">SUM(Z139:Z142)</f>
        <v>#REF!</v>
      </c>
      <c r="AA143" s="281">
        <f t="shared" si="210"/>
      </c>
      <c r="AB143" s="281">
        <f t="shared" si="210"/>
      </c>
      <c r="AC143" s="281">
        <f t="shared" si="210"/>
      </c>
      <c r="AD143" s="282">
        <f t="shared" si="197"/>
      </c>
      <c r="AE143" s="282" t="str">
        <f t="shared" ref="AE143:AG143" si="211">SUM(AE139:AE142)</f>
        <v>#REF!</v>
      </c>
      <c r="AF143" s="282">
        <f t="shared" si="211"/>
      </c>
      <c r="AG143" s="282">
        <f t="shared" si="211"/>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12">SUM(F137,F143)</f>
        <v>290020</v>
      </c>
      <c r="G145" s="353">
        <f>SUM(G137,G143)</f>
        <v>270002</v>
      </c>
      <c r="H145" s="353">
        <f>SUM(H137,H143)</f>
        <v>274764</v>
      </c>
      <c r="I145" s="353">
        <f>SUM(I137,I143)</f>
        <v>290437</v>
      </c>
      <c r="J145" s="282">
        <f>SUM(J137,J143)</f>
        <v>290437</v>
      </c>
      <c r="K145" s="353">
        <f>SUM(K137,K143)</f>
        <v>279414</v>
      </c>
      <c r="L145" s="353">
        <f>SUM(L137,L143)</f>
        <v>263217</v>
      </c>
      <c r="M145" s="353">
        <f>SUM(M137,M143)</f>
        <v>264904</v>
      </c>
      <c r="N145" s="353">
        <f>SUM(N137,N143)</f>
        <v>308030</v>
      </c>
      <c r="O145" s="282">
        <f>SUM(O137,O143)</f>
        <v>308030</v>
      </c>
      <c r="P145" s="353">
        <f>SUM(P137,P143)</f>
        <v>277327</v>
      </c>
      <c r="Q145" s="353">
        <f>SUM(Q137,Q143)</f>
        <v>264437</v>
      </c>
      <c r="R145" s="353">
        <f>SUM(R137,R143)</f>
        <v>265665</v>
      </c>
      <c r="S145" s="353">
        <f>SUM(S137,S143)</f>
        <v>285508</v>
      </c>
      <c r="T145" s="282">
        <f>SUM(T137,T143)</f>
        <v>285508</v>
      </c>
      <c r="U145" s="353">
        <f>SUM(U137,U143)</f>
        <v>291107</v>
      </c>
      <c r="V145" s="353">
        <f>SUM(V137,V143)</f>
        <v>264591</v>
      </c>
      <c r="W145" s="353">
        <f t="shared" si="212"/>
        <v>50976</v>
      </c>
      <c r="X145" s="281">
        <f t="shared" si="212"/>
      </c>
      <c r="Y145" s="282">
        <f t="shared" si="212"/>
      </c>
      <c r="Z145" s="281">
        <f t="shared" si="212"/>
      </c>
      <c r="AA145" s="281">
        <f t="shared" si="212"/>
      </c>
      <c r="AB145" s="281">
        <f t="shared" si="212"/>
      </c>
      <c r="AC145" s="281">
        <f t="shared" si="212"/>
      </c>
      <c r="AD145" s="282">
        <f t="shared" si="212"/>
      </c>
      <c r="AE145" s="282">
        <f t="shared" si="212"/>
      </c>
      <c r="AF145" s="282">
        <f t="shared" si="212"/>
      </c>
      <c r="AG145" s="282">
        <f t="shared" si="212"/>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66399</v>
      </c>
      <c r="G147" s="392">
        <v>69568</v>
      </c>
      <c r="H147" s="392">
        <v>70667</v>
      </c>
      <c r="I147" s="392">
        <v>73812</v>
      </c>
      <c r="J147" s="282">
        <v>73812</v>
      </c>
      <c r="K147" s="392">
        <v>75236</v>
      </c>
      <c r="L147" s="392">
        <v>78815</v>
      </c>
      <c r="M147" s="392">
        <v>79850</v>
      </c>
      <c r="N147" s="392">
        <v>83276</v>
      </c>
      <c r="O147" s="282">
        <v>83276</v>
      </c>
      <c r="P147" s="392">
        <v>84768</v>
      </c>
      <c r="Q147" s="392">
        <v>88711</v>
      </c>
      <c r="R147" s="392">
        <v>89806</v>
      </c>
      <c r="S147" s="392">
        <v>93568</v>
      </c>
      <c r="T147" s="282">
        <v>93568</v>
      </c>
      <c r="U147" s="392">
        <v>95221</v>
      </c>
      <c r="V147" s="392">
        <v>99507</v>
      </c>
      <c r="W147" s="392">
        <v>343</v>
      </c>
      <c r="X147" s="281">
        <f>X247</f>
        <v>394.3</v>
      </c>
      <c r="Y147" s="282">
        <f t="shared" ref="Y147:Y151" si="213">X147</f>
        <v>394.3</v>
      </c>
      <c r="Z147" s="281">
        <f t="shared" ref="Z147:AC147" si="214">Z247</f>
        <v>454.834</v>
      </c>
      <c r="AA147" s="281">
        <f t="shared" si="214"/>
        <v>523.84276</v>
      </c>
      <c r="AB147" s="281">
        <f t="shared" si="214"/>
        <v>584.5704688</v>
      </c>
      <c r="AC147" s="281">
        <f t="shared" si="214"/>
        <v>642.2617921599999</v>
      </c>
      <c r="AD147" s="282">
        <f t="shared" ref="AD147:AD151" si="215">AC147</f>
        <v>642.2617921599999</v>
      </c>
      <c r="AE147" s="282">
        <f t="shared" ref="AE147:AG147" si="216">AE247</f>
        <v>895.1828201632</v>
      </c>
      <c r="AF147" s="282">
        <f t="shared" si="216"/>
        <v>1153.162268726464</v>
      </c>
      <c r="AG147" s="282">
        <f t="shared" si="216"/>
        <v>1416.3013062609932</v>
      </c>
      <c r="AH147" s="16"/>
      <c r="AI147" s="16"/>
      <c r="AJ147" s="16"/>
      <c r="AK147" s="16"/>
    </row>
    <row r="148" ht="13.5" customHeight="1" spans="1:37" x14ac:dyDescent="0.25">
      <c r="A148" s="264"/>
      <c r="B148" s="16"/>
      <c r="C148" s="16" t="s">
        <v>352</v>
      </c>
      <c r="D148" s="16"/>
      <c r="E148" s="16"/>
      <c r="F148" s="358">
        <v>3240</v>
      </c>
      <c r="G148" s="358">
        <v>4336</v>
      </c>
      <c r="H148" s="358">
        <v>1408</v>
      </c>
      <c r="I148" s="358">
        <v>-214</v>
      </c>
      <c r="J148" s="162">
        <v>-214</v>
      </c>
      <c r="K148" s="358">
        <v>8242</v>
      </c>
      <c r="L148" s="358">
        <v>4339</v>
      </c>
      <c r="M148" s="358">
        <v>-4726</v>
      </c>
      <c r="N148" s="358">
        <v>-19154</v>
      </c>
      <c r="O148" s="162">
        <v>-19154</v>
      </c>
      <c r="P148" s="358">
        <v>-11221</v>
      </c>
      <c r="Q148" s="358">
        <v>-15552</v>
      </c>
      <c r="R148" s="358">
        <v>-17607</v>
      </c>
      <c r="S148" s="358">
        <v>-14264</v>
      </c>
      <c r="T148" s="162">
        <v>-14264</v>
      </c>
      <c r="U148" s="358">
        <v>-2177</v>
      </c>
      <c r="V148" s="358">
        <v>12359</v>
      </c>
      <c r="W148" s="358">
        <f>-1913</f>
        <v>-1913</v>
      </c>
      <c r="X148" s="359">
        <f>X256</f>
      </c>
      <c r="Y148" s="162">
        <f t="shared" si="213"/>
      </c>
      <c r="Z148" s="359" t="str">
        <f t="shared" ref="Z148:AC148" si="217">Z256</f>
        <v>#REF!</v>
      </c>
      <c r="AA148" s="359">
        <f t="shared" si="217"/>
      </c>
      <c r="AB148" s="359">
        <f t="shared" si="217"/>
      </c>
      <c r="AC148" s="359">
        <f t="shared" si="217"/>
      </c>
      <c r="AD148" s="162">
        <f t="shared" si="215"/>
      </c>
      <c r="AE148" s="162" t="str">
        <f t="shared" ref="AE148:AG148" si="218">AE256</f>
        <v>#REF!</v>
      </c>
      <c r="AF148" s="162">
        <f t="shared" si="218"/>
      </c>
      <c r="AG148" s="162">
        <f t="shared" si="218"/>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-X241+W149</f>
        <v>-500</v>
      </c>
      <c r="Y149" s="162">
        <f t="shared" si="213"/>
        <v>-500</v>
      </c>
      <c r="Z149" s="359">
        <f t="shared" ref="Z149:AC149" si="219">-Z241+Y149</f>
        <v>-1000</v>
      </c>
      <c r="AA149" s="359">
        <f t="shared" si="219"/>
        <v>-1500</v>
      </c>
      <c r="AB149" s="359">
        <f t="shared" si="219"/>
        <v>-2000</v>
      </c>
      <c r="AC149" s="359">
        <f t="shared" si="219"/>
        <v>-2500</v>
      </c>
      <c r="AD149" s="162">
        <f t="shared" si="215"/>
        <v>-2500</v>
      </c>
      <c r="AE149" s="162">
        <f t="shared" ref="AE149:AG149" si="220">-AE241+AD149</f>
        <v>-5500</v>
      </c>
      <c r="AF149" s="162">
        <f t="shared" si="220"/>
        <v>-8500</v>
      </c>
      <c r="AG149" s="162">
        <f t="shared" si="220"/>
        <v>-11500</v>
      </c>
      <c r="AH149" s="16"/>
      <c r="AI149" s="16"/>
      <c r="AJ149" s="16"/>
      <c r="AK149" s="16"/>
    </row>
    <row r="150" ht="13.5" customHeight="1" spans="1:37" x14ac:dyDescent="0.25">
      <c r="A150" s="264"/>
      <c r="B150" s="16"/>
      <c r="C150" s="16" t="s">
        <v>354</v>
      </c>
      <c r="D150" s="16"/>
      <c r="E150" s="16"/>
      <c r="F150" s="354">
        <v>-12912</v>
      </c>
      <c r="G150" s="354">
        <v>-11746</v>
      </c>
      <c r="H150" s="354">
        <v>-11801</v>
      </c>
      <c r="I150" s="354">
        <v>-11452</v>
      </c>
      <c r="J150" s="355">
        <v>-11452</v>
      </c>
      <c r="K150" s="354">
        <v>-9378</v>
      </c>
      <c r="L150" s="354">
        <v>-8960</v>
      </c>
      <c r="M150" s="354">
        <v>-8416</v>
      </c>
      <c r="N150" s="354">
        <v>-7172</v>
      </c>
      <c r="O150" s="355">
        <v>-7172</v>
      </c>
      <c r="P150" s="354">
        <v>-6789</v>
      </c>
      <c r="Q150" s="354">
        <v>-6363</v>
      </c>
      <c r="R150" s="354">
        <v>-6369</v>
      </c>
      <c r="S150" s="354">
        <v>-5571</v>
      </c>
      <c r="T150" s="355">
        <v>-5571</v>
      </c>
      <c r="U150" s="354">
        <v>-4854</v>
      </c>
      <c r="V150" s="354">
        <v>-5375</v>
      </c>
      <c r="W150" s="354">
        <v>-6</v>
      </c>
      <c r="X150" s="356">
        <f>X261</f>
        <v>-6</v>
      </c>
      <c r="Y150" s="355">
        <f t="shared" si="213"/>
        <v>-6</v>
      </c>
      <c r="Z150" s="356">
        <f t="shared" ref="Z150:AC150" si="221">Z261</f>
        <v>-6</v>
      </c>
      <c r="AA150" s="356">
        <f t="shared" si="221"/>
        <v>-6</v>
      </c>
      <c r="AB150" s="356">
        <f t="shared" si="221"/>
        <v>-6</v>
      </c>
      <c r="AC150" s="356">
        <f t="shared" si="221"/>
        <v>-6</v>
      </c>
      <c r="AD150" s="355">
        <f t="shared" si="215"/>
        <v>-6</v>
      </c>
      <c r="AE150" s="355">
        <f t="shared" ref="AE150:AG150" si="222">AE261</f>
        <v>-6</v>
      </c>
      <c r="AF150" s="355">
        <f t="shared" si="222"/>
        <v>-6</v>
      </c>
      <c r="AG150" s="355">
        <f t="shared" si="222"/>
        <v>-6</v>
      </c>
      <c r="AH150" s="16"/>
      <c r="AI150" s="16"/>
      <c r="AJ150" s="16"/>
      <c r="AK150" s="16"/>
    </row>
    <row r="151" ht="13.5" customHeight="1" spans="1:37" x14ac:dyDescent="0.25">
      <c r="A151" s="264"/>
      <c r="B151" s="16"/>
      <c r="C151" s="139" t="s">
        <v>355</v>
      </c>
      <c r="D151" s="16"/>
      <c r="E151" s="16"/>
      <c r="F151" s="353">
        <f>SUM(F147:F150)</f>
        <v>56727</v>
      </c>
      <c r="G151" s="353">
        <f>SUM(G147:G150)</f>
        <v>62158</v>
      </c>
      <c r="H151" s="353">
        <f>SUM(H147:H150)</f>
        <v>60274</v>
      </c>
      <c r="I151" s="353">
        <f>SUM(I147:I150)</f>
        <v>62146</v>
      </c>
      <c r="J151" s="282">
        <f>I151</f>
        <v>62146</v>
      </c>
      <c r="K151" s="353">
        <f>SUM(K147:K150)</f>
        <v>74100</v>
      </c>
      <c r="L151" s="353">
        <f>SUM(L147:L150)</f>
        <v>74194</v>
      </c>
      <c r="M151" s="353">
        <f>SUM(M147:M150)</f>
        <v>66708</v>
      </c>
      <c r="N151" s="353">
        <f>SUM(N147:N150)</f>
        <v>56950</v>
      </c>
      <c r="O151" s="282">
        <f>N151</f>
        <v>56950</v>
      </c>
      <c r="P151" s="353">
        <f>SUM(P147:P150)</f>
        <v>66758</v>
      </c>
      <c r="Q151" s="353">
        <f>SUM(Q147:Q150)</f>
        <v>66796</v>
      </c>
      <c r="R151" s="353">
        <f>SUM(R147:R150)</f>
        <v>65830</v>
      </c>
      <c r="S151" s="353">
        <f>SUM(S147:S150)</f>
        <v>73733</v>
      </c>
      <c r="T151" s="282">
        <f>S151</f>
        <v>73733</v>
      </c>
      <c r="U151" s="353">
        <f t="shared" ref="U151:X151" si="223">SUM(U147:U150)</f>
        <v>88190</v>
      </c>
      <c r="V151" s="353">
        <f>SUM(V147:V150)</f>
        <v>106491</v>
      </c>
      <c r="W151" s="353">
        <f t="shared" si="223"/>
        <v>-1576</v>
      </c>
      <c r="X151" s="281">
        <f t="shared" si="223"/>
      </c>
      <c r="Y151" s="282">
        <f t="shared" si="213"/>
      </c>
      <c r="Z151" s="281" t="str">
        <f t="shared" ref="Z151:AC151" si="224">SUM(Z147:Z150)</f>
        <v>#REF!</v>
      </c>
      <c r="AA151" s="281">
        <f t="shared" si="224"/>
      </c>
      <c r="AB151" s="281">
        <f t="shared" si="224"/>
      </c>
      <c r="AC151" s="281">
        <f t="shared" si="224"/>
      </c>
      <c r="AD151" s="282">
        <f t="shared" si="215"/>
      </c>
      <c r="AE151" s="282" t="str">
        <f t="shared" ref="AE151:AG151" si="225">SUM(AE147:AE150)</f>
        <v>#REF!</v>
      </c>
      <c r="AF151" s="282">
        <f t="shared" si="225"/>
      </c>
      <c r="AG151" s="282">
        <f t="shared" si="225"/>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W153+Drivers!X106</f>
        <v>0</v>
      </c>
      <c r="Y153" s="355">
        <f t="shared" ref="Y153:Y154" si="226">X153</f>
        <v>0</v>
      </c>
      <c r="Z153" s="356">
        <f>Y153+Drivers!Z106</f>
        <v>0</v>
      </c>
      <c r="AA153" s="356">
        <f>Z153+Drivers!AA106</f>
        <v>0</v>
      </c>
      <c r="AB153" s="356">
        <f>AA153+Drivers!AB106</f>
        <v>0</v>
      </c>
      <c r="AC153" s="356">
        <f>AB153+Drivers!AC106</f>
        <v>0</v>
      </c>
      <c r="AD153" s="355">
        <f t="shared" ref="AD153:AD154" si="227">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SUM(F151:F153)</f>
        <v>56727</v>
      </c>
      <c r="G154" s="353">
        <f>SUM(G151:G153)</f>
        <v>62158</v>
      </c>
      <c r="H154" s="353">
        <f>SUM(H151:H153)</f>
        <v>60274</v>
      </c>
      <c r="I154" s="353">
        <f>SUM(I151:I153)</f>
        <v>62146</v>
      </c>
      <c r="J154" s="282">
        <f>I154</f>
        <v>62146</v>
      </c>
      <c r="K154" s="353">
        <f>SUM(K151:K153)</f>
        <v>74100</v>
      </c>
      <c r="L154" s="353">
        <f>SUM(L151:L153)</f>
        <v>74194</v>
      </c>
      <c r="M154" s="353">
        <f>SUM(M151:M153)</f>
        <v>66708</v>
      </c>
      <c r="N154" s="353">
        <f>SUM(N151:N153)</f>
        <v>56950</v>
      </c>
      <c r="O154" s="282">
        <f>N154</f>
        <v>56950</v>
      </c>
      <c r="P154" s="353">
        <f>SUM(P151:P153)</f>
        <v>66758</v>
      </c>
      <c r="Q154" s="353">
        <f>SUM(Q151:Q153)</f>
        <v>66796</v>
      </c>
      <c r="R154" s="353">
        <f>SUM(R151:R153)</f>
        <v>65830</v>
      </c>
      <c r="S154" s="353">
        <f>SUM(S151:S153)</f>
        <v>73733</v>
      </c>
      <c r="T154" s="282">
        <f>S154</f>
        <v>73733</v>
      </c>
      <c r="U154" s="353">
        <f t="shared" ref="U154:X154" si="228">SUM(U151:U153)</f>
        <v>88190</v>
      </c>
      <c r="V154" s="353">
        <f>SUM(V151:V153)</f>
        <v>106491</v>
      </c>
      <c r="W154" s="353">
        <f t="shared" si="228"/>
        <v>-1576</v>
      </c>
      <c r="X154" s="281">
        <f t="shared" si="228"/>
      </c>
      <c r="Y154" s="282">
        <f t="shared" si="226"/>
      </c>
      <c r="Z154" s="281" t="str">
        <f t="shared" ref="Z154:AC154" si="229">SUM(Z151:Z153)</f>
        <v>#REF!</v>
      </c>
      <c r="AA154" s="281">
        <f t="shared" si="229"/>
      </c>
      <c r="AB154" s="281">
        <f t="shared" si="229"/>
      </c>
      <c r="AC154" s="281">
        <f t="shared" si="229"/>
      </c>
      <c r="AD154" s="282">
        <f t="shared" si="227"/>
      </c>
      <c r="AE154" s="282" t="str">
        <f t="shared" ref="AE154:AG154" si="230">SUM(AE151:AE153)</f>
        <v>#REF!</v>
      </c>
      <c r="AF154" s="282">
        <f t="shared" si="230"/>
      </c>
      <c r="AG154" s="282">
        <f t="shared" si="230"/>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31">SUM(F145,F154)</f>
        <v>346747</v>
      </c>
      <c r="G156" s="353">
        <f>SUM(G145,G154)</f>
        <v>332160</v>
      </c>
      <c r="H156" s="353">
        <f>SUM(H145,H154)</f>
        <v>335038</v>
      </c>
      <c r="I156" s="353">
        <f>SUM(I145,I154)</f>
        <v>352583</v>
      </c>
      <c r="J156" s="282">
        <f>SUM(J145,J154)</f>
        <v>352583</v>
      </c>
      <c r="K156" s="353">
        <f>SUM(K145,K154)</f>
        <v>353514</v>
      </c>
      <c r="L156" s="353">
        <f>SUM(L145,L154)</f>
        <v>337411</v>
      </c>
      <c r="M156" s="353">
        <f>SUM(M145,M154)</f>
        <v>331612</v>
      </c>
      <c r="N156" s="353">
        <f>SUM(N145,N154)</f>
        <v>364980</v>
      </c>
      <c r="O156" s="282">
        <f>SUM(O145,O154)</f>
        <v>364980</v>
      </c>
      <c r="P156" s="353">
        <f>SUM(P145,P154)</f>
        <v>344085</v>
      </c>
      <c r="Q156" s="353">
        <f>SUM(Q145,Q154)</f>
        <v>331233</v>
      </c>
      <c r="R156" s="353">
        <f>SUM(R145,R154)</f>
        <v>331495</v>
      </c>
      <c r="S156" s="353">
        <f>SUM(S145,S154)</f>
        <v>359241</v>
      </c>
      <c r="T156" s="282">
        <f>SUM(T145,T154)</f>
        <v>359241</v>
      </c>
      <c r="U156" s="353">
        <f>SUM(U145,U154)</f>
        <v>379297</v>
      </c>
      <c r="V156" s="353">
        <f>SUM(V145,V154)</f>
        <v>371082</v>
      </c>
      <c r="W156" s="353">
        <f t="shared" si="231"/>
        <v>49400</v>
      </c>
      <c r="X156" s="281">
        <f t="shared" si="231"/>
      </c>
      <c r="Y156" s="282">
        <f t="shared" si="231"/>
      </c>
      <c r="Z156" s="281">
        <f t="shared" si="231"/>
      </c>
      <c r="AA156" s="281">
        <f t="shared" si="231"/>
      </c>
      <c r="AB156" s="281">
        <f t="shared" si="231"/>
      </c>
      <c r="AC156" s="281">
        <f t="shared" si="231"/>
      </c>
      <c r="AD156" s="282">
        <f t="shared" si="231"/>
      </c>
      <c r="AE156" s="282">
        <f t="shared" si="231"/>
      </c>
      <c r="AF156" s="282">
        <f t="shared" si="231"/>
      </c>
      <c r="AG156" s="282">
        <f t="shared" si="231"/>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32">F132-F156</f>
        <v>1e-12</v>
      </c>
      <c r="G158" s="402">
        <f>G132-G156</f>
        <v>1e-12</v>
      </c>
      <c r="H158" s="402">
        <f>H132-H156</f>
        <v>1e-12</v>
      </c>
      <c r="I158" s="402">
        <f>I132-I156</f>
        <v>1e-12</v>
      </c>
      <c r="J158" s="403">
        <f>J132-J156</f>
        <v>1e-12</v>
      </c>
      <c r="K158" s="402">
        <f>K132-K156</f>
        <v>1e-12</v>
      </c>
      <c r="L158" s="402">
        <f>L132-L156</f>
        <v>1e-12</v>
      </c>
      <c r="M158" s="402">
        <f>M132-M156</f>
        <v>1e-12</v>
      </c>
      <c r="N158" s="402">
        <f>N132-N156</f>
        <v>1e-12</v>
      </c>
      <c r="O158" s="403">
        <f>O132-O156</f>
        <v>1e-12</v>
      </c>
      <c r="P158" s="402">
        <f>P132-P156</f>
        <v>1e-12</v>
      </c>
      <c r="Q158" s="402">
        <f>Q132-Q156</f>
        <v>1e-12</v>
      </c>
      <c r="R158" s="402">
        <f>R132-R156</f>
        <v>1e-12</v>
      </c>
      <c r="S158" s="402">
        <f>S132-S156</f>
        <v>1e-12</v>
      </c>
      <c r="T158" s="403">
        <f>T132-T156</f>
        <v>1e-12</v>
      </c>
      <c r="U158" s="402">
        <f>U132-U156</f>
        <v>1e-12</v>
      </c>
      <c r="V158" s="402">
        <f>V132-V156</f>
        <v>1e-12</v>
      </c>
      <c r="W158" s="402">
        <f t="shared" si="232"/>
        <v>0</v>
      </c>
      <c r="X158" s="404">
        <f t="shared" si="232"/>
      </c>
      <c r="Y158" s="403">
        <f t="shared" si="232"/>
      </c>
      <c r="Z158" s="404">
        <f t="shared" si="232"/>
      </c>
      <c r="AA158" s="404">
        <f t="shared" si="232"/>
      </c>
      <c r="AB158" s="404">
        <f t="shared" si="232"/>
      </c>
      <c r="AC158" s="404">
        <f t="shared" si="232"/>
      </c>
      <c r="AD158" s="403">
        <f t="shared" si="232"/>
      </c>
      <c r="AE158" s="403">
        <f t="shared" si="232"/>
      </c>
      <c r="AF158" s="403">
        <f t="shared" si="232"/>
      </c>
      <c r="AG158" s="405">
        <f t="shared" si="232"/>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33">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34">C121</f>
        <v>Accounts Receivable</v>
      </c>
      <c r="D162" s="16"/>
      <c r="E162" s="16"/>
      <c r="F162" s="353">
        <f t="shared" ref="F162:W162" si="235">F121</f>
        <v>23752</v>
      </c>
      <c r="G162" s="353">
        <f>G121</f>
        <v>17936</v>
      </c>
      <c r="H162" s="353">
        <f>H121</f>
        <v>19549</v>
      </c>
      <c r="I162" s="353">
        <f>I121</f>
        <v>29508</v>
      </c>
      <c r="J162" s="282">
        <f>J121</f>
        <v>29508</v>
      </c>
      <c r="K162" s="353">
        <f>K121</f>
        <v>23194</v>
      </c>
      <c r="L162" s="353">
        <f>L121</f>
        <v>21837</v>
      </c>
      <c r="M162" s="353">
        <f>M121</f>
        <v>22795</v>
      </c>
      <c r="N162" s="353">
        <f>N121</f>
        <v>33410</v>
      </c>
      <c r="O162" s="282">
        <f>O121</f>
        <v>33410</v>
      </c>
      <c r="P162" s="353">
        <f>P121</f>
        <v>29639</v>
      </c>
      <c r="Q162" s="353">
        <f>Q121</f>
        <v>26136</v>
      </c>
      <c r="R162" s="353">
        <f>R121</f>
        <v>27557</v>
      </c>
      <c r="S162" s="353">
        <f>S121</f>
        <v>39777</v>
      </c>
      <c r="T162" s="282">
        <f>T121</f>
        <v>39777</v>
      </c>
      <c r="U162" s="353">
        <f>U121</f>
        <v>39921</v>
      </c>
      <c r="V162" s="353">
        <f>V121</f>
        <v>30339</v>
      </c>
      <c r="W162" s="353">
        <f>W121</f>
      </c>
      <c r="X162" s="281">
        <f>X182*X28/X$26</f>
        <v>0</v>
      </c>
      <c r="Y162" s="282">
        <f t="shared" ref="Y162:Y164" si="236">X162</f>
        <v>0</v>
      </c>
      <c r="Z162" s="281">
        <f t="shared" ref="Z162:AC162" si="237">Z182*Z28/Z$26</f>
        <v>0</v>
      </c>
      <c r="AA162" s="281">
        <f>AA182*AA28/AA$26</f>
      </c>
      <c r="AB162" s="281">
        <f>AB182*AB28/AB$26</f>
      </c>
      <c r="AC162" s="281">
        <f>AC182*AC28/AC$26</f>
      </c>
      <c r="AD162" s="282">
        <f t="shared" ref="AD162:AD164" si="238">AC162</f>
        <v>0</v>
      </c>
      <c r="AE162" s="282">
        <f t="shared" ref="AE162:AG162" si="239">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40">F122</f>
        <v>6820</v>
      </c>
      <c r="G163" s="384">
        <f>G122</f>
        <v>7482</v>
      </c>
      <c r="H163" s="384">
        <f>H122</f>
        <v>7351</v>
      </c>
      <c r="I163" s="384">
        <f>I122</f>
        <v>6331</v>
      </c>
      <c r="J163" s="162">
        <f>J122</f>
        <v>6331</v>
      </c>
      <c r="K163" s="384">
        <f>K122</f>
        <v>6511</v>
      </c>
      <c r="L163" s="384">
        <f>L122</f>
        <v>6232</v>
      </c>
      <c r="M163" s="384">
        <f>M122</f>
        <v>6165</v>
      </c>
      <c r="N163" s="384">
        <f>N122</f>
        <v>7286</v>
      </c>
      <c r="O163" s="162">
        <f>O122</f>
        <v>7286</v>
      </c>
      <c r="P163" s="384">
        <f>P122</f>
        <v>6911</v>
      </c>
      <c r="Q163" s="384">
        <f>Q122</f>
        <v>6269</v>
      </c>
      <c r="R163" s="384">
        <f>R122</f>
        <v>5925</v>
      </c>
      <c r="S163" s="384">
        <f>S122</f>
        <v>5718</v>
      </c>
      <c r="T163" s="162">
        <f>T122</f>
        <v>5718</v>
      </c>
      <c r="U163" s="384">
        <f>U122</f>
        <v>5875</v>
      </c>
      <c r="V163" s="384">
        <f>V122</f>
        <v>6747</v>
      </c>
      <c r="W163" s="384">
        <f>W122</f>
        <v>16685</v>
      </c>
      <c r="X163" s="359">
        <f>X183*-X29/X$26</f>
        <v>18529.950326086957</v>
      </c>
      <c r="Y163" s="162">
        <f>X163</f>
        <v>18529.950326086957</v>
      </c>
      <c r="Z163" s="359">
        <f t="shared" ref="Z163:AC163" si="241">Z183*-Z29/Z$26</f>
        <v>23065.506292307695</v>
      </c>
      <c r="AA163" s="359">
        <f>AA183*-AA29/AA$26</f>
        <v>22014.14833107692</v>
      </c>
      <c r="AB163" s="359">
        <f>AB183*-AB29/AB$26</f>
        <v>20954.80490032696</v>
      </c>
      <c r="AC163" s="359">
        <f>AC183*-AC29/AC$26</f>
        <v>20718.783200747737</v>
      </c>
      <c r="AD163" s="162">
        <f>AC163</f>
        <v>20718.783200747737</v>
      </c>
      <c r="AE163" s="162">
        <f t="shared" ref="AE163:AG163" si="242">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43">F123</f>
        <v>77670</v>
      </c>
      <c r="G164" s="372">
        <f>G123</f>
        <v>62808</v>
      </c>
      <c r="H164" s="372">
        <f>H123</f>
        <v>67351</v>
      </c>
      <c r="I164" s="372">
        <f>I123</f>
        <v>77762</v>
      </c>
      <c r="J164" s="355">
        <f>J123</f>
        <v>77762</v>
      </c>
      <c r="K164" s="372">
        <f>K123</f>
        <v>73227</v>
      </c>
      <c r="L164" s="372">
        <f>L123</f>
        <v>67652</v>
      </c>
      <c r="M164" s="372">
        <f>M123</f>
        <v>70910</v>
      </c>
      <c r="N164" s="372">
        <f>N123</f>
        <v>82348</v>
      </c>
      <c r="O164" s="355">
        <f>O123</f>
        <v>82348</v>
      </c>
      <c r="P164" s="372">
        <f>P123</f>
        <v>66391</v>
      </c>
      <c r="Q164" s="372">
        <f>Q123</f>
        <v>58107</v>
      </c>
      <c r="R164" s="372">
        <f>R123</f>
        <v>52740</v>
      </c>
      <c r="S164" s="372">
        <f>S123</f>
        <v>66528</v>
      </c>
      <c r="T164" s="355">
        <f>T123</f>
        <v>66528</v>
      </c>
      <c r="U164" s="372">
        <f>U123</f>
        <v>66991</v>
      </c>
      <c r="V164" s="372">
        <f>V123</f>
        <v>61456</v>
      </c>
      <c r="W164" s="372">
        <f>W123</f>
        <v>1491</v>
      </c>
      <c r="X164" s="356">
        <f>X186*X28*4</f>
        <v>0</v>
      </c>
      <c r="Y164" s="355">
        <f>X164</f>
      </c>
      <c r="Z164" s="356">
        <f t="shared" ref="Z164:AC164" si="244">Z186*Z28*4</f>
        <v>1849.7576159999996</v>
      </c>
      <c r="AA164" s="356">
        <f>AA186*AA28*4</f>
        <v>2108.72368224</v>
      </c>
      <c r="AB164" s="356">
        <f>AB186*AB28*4</f>
        <v>1855.6768403712</v>
      </c>
      <c r="AC164" s="356">
        <f>AC186*AC28*4</f>
        <v>1762.8929983526398</v>
      </c>
      <c r="AD164" s="355">
        <f>AC164</f>
        <v>1762.8929983526398</v>
      </c>
      <c r="AE164" s="355">
        <f t="shared" ref="AE164:AG164" si="245">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46">SUM(F162:F164)</f>
        <v>108242</v>
      </c>
      <c r="G165" s="353">
        <f>SUM(G162:G164)</f>
        <v>88226</v>
      </c>
      <c r="H165" s="353">
        <f>SUM(H162:H164)</f>
        <v>94251</v>
      </c>
      <c r="I165" s="353">
        <f>SUM(I162:I164)</f>
        <v>113601</v>
      </c>
      <c r="J165" s="282">
        <f>SUM(J162:J164)</f>
        <v>113601</v>
      </c>
      <c r="K165" s="353">
        <f>SUM(K162:K164)</f>
        <v>102932</v>
      </c>
      <c r="L165" s="353">
        <f>SUM(L162:L164)</f>
        <v>95721</v>
      </c>
      <c r="M165" s="353">
        <f>SUM(M162:M164)</f>
        <v>99870</v>
      </c>
      <c r="N165" s="353">
        <f>SUM(N162:N164)</f>
        <v>123044</v>
      </c>
      <c r="O165" s="282">
        <f>SUM(O162:O164)</f>
        <v>123044</v>
      </c>
      <c r="P165" s="353">
        <f>SUM(P162:P164)</f>
        <v>102941</v>
      </c>
      <c r="Q165" s="353">
        <f>SUM(Q162:Q164)</f>
        <v>90512</v>
      </c>
      <c r="R165" s="353">
        <f>SUM(R162:R164)</f>
        <v>86222</v>
      </c>
      <c r="S165" s="353">
        <f>SUM(S162:S164)</f>
        <v>112023</v>
      </c>
      <c r="T165" s="282">
        <f>SUM(T162:T164)</f>
        <v>112023</v>
      </c>
      <c r="U165" s="353">
        <f>SUM(U162:U164)</f>
        <v>112787</v>
      </c>
      <c r="V165" s="353">
        <f>SUM(V162:V164)</f>
        <v>98542</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47">C134</f>
        <v>Accounts Payable</v>
      </c>
      <c r="D167" s="16"/>
      <c r="E167" s="16"/>
      <c r="F167" s="353">
        <f t="shared" ref="F167:W167" si="248">F134</f>
        <v>57918</v>
      </c>
      <c r="G167" s="353">
        <f>G134</f>
        <v>42945</v>
      </c>
      <c r="H167" s="353">
        <f>H134</f>
        <v>46699</v>
      </c>
      <c r="I167" s="353">
        <f>I134</f>
        <v>62611</v>
      </c>
      <c r="J167" s="282">
        <f>J134</f>
        <v>62611</v>
      </c>
      <c r="K167" s="353">
        <f>K134</f>
        <v>58146</v>
      </c>
      <c r="L167" s="353">
        <f>L134</f>
        <v>45753</v>
      </c>
      <c r="M167" s="353">
        <f>M134</f>
        <v>47574</v>
      </c>
      <c r="N167" s="353">
        <f>N134</f>
        <v>68960</v>
      </c>
      <c r="O167" s="282">
        <f>O134</f>
        <v>68960</v>
      </c>
      <c r="P167" s="353">
        <f>P134</f>
        <v>61910</v>
      </c>
      <c r="Q167" s="353">
        <f>Q134</f>
        <v>54126</v>
      </c>
      <c r="R167" s="353">
        <f>R134</f>
        <v>50374</v>
      </c>
      <c r="S167" s="353">
        <f>S134</f>
        <v>69860</v>
      </c>
      <c r="T167" s="282">
        <f>T134</f>
        <v>69860</v>
      </c>
      <c r="U167" s="353">
        <f>U134</f>
        <v>70587</v>
      </c>
      <c r="V167" s="353">
        <f>V134</f>
        <v>57349</v>
      </c>
      <c r="W167" s="353">
        <f>W134</f>
        <v>11334</v>
      </c>
      <c r="X167" s="281">
        <f>X184*-X29/X26</f>
        <v>11323.858532608696</v>
      </c>
      <c r="Y167" s="282">
        <f t="shared" ref="Y167:Y169" si="249">X167</f>
        <v>11323.858532608696</v>
      </c>
      <c r="Z167" s="281">
        <f t="shared" ref="Z167:AC167" si="250">Z184*-Z29/Z26</f>
        <v>14082.098578461539</v>
      </c>
      <c r="AA167" s="281">
        <f>AA184*-AA29/AA26</f>
        <v>13208.488998646155</v>
      </c>
      <c r="AB167" s="281">
        <f>AB184*-AB29/AB26</f>
        <v>13065.937173145043</v>
      </c>
      <c r="AC167" s="281">
        <f>AC184*-AC29/AC26</f>
        <v>12661.478622679173</v>
      </c>
      <c r="AD167" s="282">
        <f t="shared" ref="AD167:AD169" si="251">AC167</f>
        <v>12661.478622679173</v>
      </c>
      <c r="AE167" s="282">
        <f t="shared" ref="AE167:AG167" si="252">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53">F135</f>
        <v>71376</v>
      </c>
      <c r="G168" s="384">
        <f>G135</f>
        <v>68999</v>
      </c>
      <c r="H168" s="384">
        <f>H135</f>
        <v>70106</v>
      </c>
      <c r="I168" s="384">
        <f>I135</f>
        <v>74636</v>
      </c>
      <c r="J168" s="162">
        <f>J135</f>
        <v>74636</v>
      </c>
      <c r="K168" s="384">
        <f>K135</f>
        <v>67563</v>
      </c>
      <c r="L168" s="384">
        <f>L135</f>
        <v>70057</v>
      </c>
      <c r="M168" s="384">
        <f>M135</f>
        <v>75997</v>
      </c>
      <c r="N168" s="384">
        <f>N135</f>
        <v>99183</v>
      </c>
      <c r="O168" s="162">
        <f>O135</f>
        <v>99183</v>
      </c>
      <c r="P168" s="384">
        <f>P135</f>
        <v>73994</v>
      </c>
      <c r="Q168" s="384">
        <f>Q135</f>
        <v>81469</v>
      </c>
      <c r="R168" s="384">
        <f>R135</f>
        <v>81767</v>
      </c>
      <c r="S168" s="384">
        <f>S135</f>
        <v>86716</v>
      </c>
      <c r="T168" s="162">
        <f>T135</f>
        <v>86716</v>
      </c>
      <c r="U168" s="384">
        <f>U135</f>
        <v>82367</v>
      </c>
      <c r="V168" s="384">
        <f>V135</f>
        <v>67961</v>
      </c>
      <c r="W168" s="384">
        <f>W135</f>
        <v>1353</v>
      </c>
      <c r="X168" s="359">
        <f>X187*-X29*4</f>
        <v>947.08635</v>
      </c>
      <c r="Y168" s="162">
        <f>X168</f>
        <v>947.08635</v>
      </c>
      <c r="Z168" s="359">
        <f t="shared" ref="Z168:AC168" si="254">Z187*-Z29*4</f>
        <v>1104.716354</v>
      </c>
      <c r="AA168" s="359">
        <f>AA187*-AA29*4</f>
        <v>1252.05468633</v>
      </c>
      <c r="AB168" s="359">
        <f>AB187*-AB29*4</f>
        <v>1134.0247357824</v>
      </c>
      <c r="AC168" s="359">
        <f>AC187*-AC29*4</f>
        <v>1058.9600302604401</v>
      </c>
      <c r="AD168" s="162">
        <f>AC168</f>
        <v>1058.9600302604401</v>
      </c>
      <c r="AE168" s="162">
        <f t="shared" ref="AE168:AG168" si="255">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56">F136</f>
        <v>7992</v>
      </c>
      <c r="G169" s="372">
        <f>G136</f>
        <v>8131</v>
      </c>
      <c r="H169" s="372">
        <f>H136</f>
        <v>8158</v>
      </c>
      <c r="I169" s="372">
        <f>I136</f>
        <v>8061</v>
      </c>
      <c r="J169" s="355">
        <f>J136</f>
        <v>8061</v>
      </c>
      <c r="K169" s="372">
        <f>K136</f>
        <v>8264</v>
      </c>
      <c r="L169" s="372">
        <f>L136</f>
        <v>8012</v>
      </c>
      <c r="M169" s="372">
        <f>M136</f>
        <v>8053</v>
      </c>
      <c r="N169" s="372">
        <f>N136</f>
        <v>8249</v>
      </c>
      <c r="O169" s="355">
        <f>O136</f>
        <v>8249</v>
      </c>
      <c r="P169" s="372">
        <f>P136</f>
        <v>8461</v>
      </c>
      <c r="Q169" s="372">
        <f>Q136</f>
        <v>8976</v>
      </c>
      <c r="R169" s="372">
        <f>R136</f>
        <v>8979</v>
      </c>
      <c r="S169" s="372">
        <f>S136</f>
        <v>9055</v>
      </c>
      <c r="T169" s="355">
        <f>T136</f>
        <v>9055</v>
      </c>
      <c r="U169" s="372">
        <f>U136</f>
        <v>9413</v>
      </c>
      <c r="V169" s="372">
        <f>V136</f>
        <v>9331</v>
      </c>
      <c r="W169" s="372">
        <f>W136</f>
        <v>6795</v>
      </c>
      <c r="X169" s="356">
        <f>X188*-X29*4</f>
        <v>9470.8635</v>
      </c>
      <c r="Y169" s="355">
        <f>X169</f>
        <v>9470.8635</v>
      </c>
      <c r="Z169" s="356">
        <f t="shared" ref="Z169:AC169" si="257">Z188*-Z29*4</f>
        <v>9721.503915199999</v>
      </c>
      <c r="AA169" s="356">
        <f>AA188*-AA29*4</f>
        <v>11018.081239704</v>
      </c>
      <c r="AB169" s="356">
        <f>AB188*-AB29*4</f>
        <v>11340.247357824</v>
      </c>
      <c r="AC169" s="356">
        <f>AC188*-AC29*4</f>
        <v>10589.6003026044</v>
      </c>
      <c r="AD169" s="355">
        <f>AC169</f>
        <v>10589.6003026044</v>
      </c>
      <c r="AE169" s="355">
        <f t="shared" ref="AE169:AG169" si="258">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59">SUM(F167:F169)</f>
        <v>137286</v>
      </c>
      <c r="G170" s="353">
        <f>SUM(G167:G169)</f>
        <v>120075</v>
      </c>
      <c r="H170" s="353">
        <f>SUM(H167:H169)</f>
        <v>124963</v>
      </c>
      <c r="I170" s="353">
        <f>SUM(I167:I169)</f>
        <v>145308</v>
      </c>
      <c r="J170" s="282">
        <f>SUM(J167:J169)</f>
        <v>145308</v>
      </c>
      <c r="K170" s="353">
        <f>SUM(K167:K169)</f>
        <v>133973</v>
      </c>
      <c r="L170" s="353">
        <f>SUM(L167:L169)</f>
        <v>123822</v>
      </c>
      <c r="M170" s="353">
        <f>SUM(M167:M169)</f>
        <v>131624</v>
      </c>
      <c r="N170" s="353">
        <f>SUM(N167:N169)</f>
        <v>176392</v>
      </c>
      <c r="O170" s="282">
        <f>SUM(O167:O169)</f>
        <v>176392</v>
      </c>
      <c r="P170" s="353">
        <f>SUM(P167:P169)</f>
        <v>144365</v>
      </c>
      <c r="Q170" s="353">
        <f>SUM(Q167:Q169)</f>
        <v>144571</v>
      </c>
      <c r="R170" s="353">
        <f>SUM(R167:R169)</f>
        <v>141120</v>
      </c>
      <c r="S170" s="353">
        <f>SUM(S167:S169)</f>
        <v>165631</v>
      </c>
      <c r="T170" s="282">
        <f>SUM(T167:T169)</f>
        <v>165631</v>
      </c>
      <c r="U170" s="353">
        <f>SUM(U167:U169)</f>
        <v>162367</v>
      </c>
      <c r="V170" s="353">
        <f>SUM(V167:V169)</f>
        <v>134641</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60">F165-F170</f>
        <v>-29044</v>
      </c>
      <c r="G172" s="353">
        <f>G165-G170</f>
        <v>-31849</v>
      </c>
      <c r="H172" s="353">
        <f>H165-H170</f>
        <v>-30712</v>
      </c>
      <c r="I172" s="353">
        <f>I165-I170</f>
        <v>-31707</v>
      </c>
      <c r="J172" s="282">
        <f>J165-J170</f>
        <v>-31707</v>
      </c>
      <c r="K172" s="353">
        <f>K165-K170</f>
        <v>-31041</v>
      </c>
      <c r="L172" s="353">
        <f>L165-L170</f>
        <v>-28101</v>
      </c>
      <c r="M172" s="353">
        <f>M165-M170</f>
        <v>-31754</v>
      </c>
      <c r="N172" s="353">
        <f>N165-N170</f>
        <v>-53348</v>
      </c>
      <c r="O172" s="282">
        <f>O165-O170</f>
        <v>-53348</v>
      </c>
      <c r="P172" s="353">
        <f>P165-P170</f>
        <v>-41424</v>
      </c>
      <c r="Q172" s="353">
        <f>Q165-Q170</f>
        <v>-54059</v>
      </c>
      <c r="R172" s="353">
        <f>R165-R170</f>
        <v>-54898</v>
      </c>
      <c r="S172" s="353">
        <f>S165-S170</f>
        <v>-53608</v>
      </c>
      <c r="T172" s="282">
        <f>T165-T170</f>
        <v>-53608</v>
      </c>
      <c r="U172" s="353">
        <f>U165-U170</f>
        <v>-49580</v>
      </c>
      <c r="V172" s="353">
        <f>V165-V170</f>
        <v>-36099</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61">G172-F172</f>
        <v>-2805</v>
      </c>
      <c r="H174" s="388">
        <f>H172-G172</f>
        <v>1137</v>
      </c>
      <c r="I174" s="388">
        <f>I172-H172</f>
        <v>-995</v>
      </c>
      <c r="J174" s="100"/>
      <c r="K174" s="388">
        <f t="shared" ref="K174:N174" si="262">-(K172-J172)</f>
        <v>-666</v>
      </c>
      <c r="L174" s="388">
        <f>-(L172-K172)</f>
        <v>-2940</v>
      </c>
      <c r="M174" s="388">
        <f>-(M172-L172)</f>
        <v>3653</v>
      </c>
      <c r="N174" s="388">
        <f>-(N172-M172)</f>
        <v>21594</v>
      </c>
      <c r="O174" s="389">
        <f>-(O172-J172)</f>
        <v>21641</v>
      </c>
      <c r="P174" s="388">
        <f t="shared" ref="P174:S174" si="263">-(P172-O172)</f>
        <v>-11924</v>
      </c>
      <c r="Q174" s="388">
        <f>-(Q172-P172)</f>
        <v>12635</v>
      </c>
      <c r="R174" s="388">
        <f>-(R172-Q172)</f>
        <v>839</v>
      </c>
      <c r="S174" s="388">
        <f>-(S172-R172)</f>
        <v>-1290</v>
      </c>
      <c r="T174" s="389">
        <f>-(T172-O172)</f>
        <v>260</v>
      </c>
      <c r="U174" s="388">
        <f t="shared" ref="U174:X174" si="264">-(U172-T172)</f>
        <v>-4028</v>
      </c>
      <c r="V174" s="388">
        <f>-(V172-U172)</f>
        <v>-13481</v>
      </c>
      <c r="W174" s="388">
        <f>-(W172-V172)</f>
        <v>-186</v>
      </c>
      <c r="X174" s="390">
        <f>-(X172-W172)</f>
        <v>1905.858056521738</v>
      </c>
      <c r="Y174" s="389">
        <f>-(Y172-T172)</f>
        <v>3432.858056521738</v>
      </c>
      <c r="Z174" s="390">
        <f t="shared" ref="Z174:AC174" si="265">-(Z172-Y172)</f>
        <v>-3218.803117167892</v>
      </c>
      <c r="AA174" s="390">
        <f>-(AA172-Z172)</f>
        <v>1362.6979720093877</v>
      </c>
      <c r="AB174" s="390">
        <f>-(AB172-AA172)</f>
        <v>1373.9746146900507</v>
      </c>
      <c r="AC174" s="390">
        <f>-(AC172-AB172)</f>
        <v>-901.3647696096486</v>
      </c>
      <c r="AD174" s="389">
        <f>-(AD172-Y172)</f>
        <v>-1383.4953000781024</v>
      </c>
      <c r="AE174" s="389">
        <f t="shared" ref="AE174:AG174" si="266">-(AE172-AD172)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67">F162+F163-F167</f>
        <v>-27346</v>
      </c>
      <c r="G176" s="353">
        <f>G162+G163-G167</f>
        <v>-17527</v>
      </c>
      <c r="H176" s="353">
        <f>H162+H163-H167</f>
        <v>-19799</v>
      </c>
      <c r="I176" s="353">
        <f>I162+I163-I167</f>
        <v>-26772</v>
      </c>
      <c r="J176" s="282">
        <f>J162+J163-J167</f>
        <v>-26772</v>
      </c>
      <c r="K176" s="353">
        <f>K162+K163-K167</f>
        <v>-28441</v>
      </c>
      <c r="L176" s="353">
        <f>L162+L163-L167</f>
        <v>-17684</v>
      </c>
      <c r="M176" s="353">
        <f>M162+M163-M167</f>
        <v>-18614</v>
      </c>
      <c r="N176" s="353">
        <f>N162+N163-N167</f>
        <v>-28264</v>
      </c>
      <c r="O176" s="282">
        <f>O162+O163-O167</f>
        <v>-28264</v>
      </c>
      <c r="P176" s="353">
        <f>P162+P163-P167</f>
        <v>-25360</v>
      </c>
      <c r="Q176" s="353">
        <f>Q162+Q163-Q167</f>
        <v>-21721</v>
      </c>
      <c r="R176" s="353">
        <f>R162+R163-R167</f>
        <v>-16892</v>
      </c>
      <c r="S176" s="353">
        <f>S162+S163-S167</f>
        <v>-24365</v>
      </c>
      <c r="T176" s="282">
        <f>T162+T163-T167</f>
        <v>-24365</v>
      </c>
      <c r="U176" s="353">
        <f>U162+U163-U167</f>
        <v>-24791</v>
      </c>
      <c r="V176" s="353">
        <f>V162+V163-V167</f>
        <v>-20263</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68">G176-F176</f>
        <v>9819</v>
      </c>
      <c r="H178" s="388">
        <f>H176-G176</f>
        <v>-2272</v>
      </c>
      <c r="I178" s="388">
        <f>I176-H176</f>
        <v>-6973</v>
      </c>
      <c r="J178" s="100"/>
      <c r="K178" s="388">
        <f t="shared" ref="K178:N178" si="269">-(K176-J176)</f>
        <v>1669</v>
      </c>
      <c r="L178" s="388">
        <f>-(L176-K176)</f>
        <v>-10757</v>
      </c>
      <c r="M178" s="388">
        <f>-(M176-L176)</f>
        <v>930</v>
      </c>
      <c r="N178" s="388">
        <f>-(N176-M176)</f>
        <v>9650</v>
      </c>
      <c r="O178" s="389">
        <f>-(O176-J176)</f>
        <v>1492</v>
      </c>
      <c r="P178" s="388">
        <f t="shared" ref="P178:S178" si="270">-(P176-O176)</f>
        <v>-2904</v>
      </c>
      <c r="Q178" s="388">
        <f>-(Q176-P176)</f>
        <v>-3639</v>
      </c>
      <c r="R178" s="388">
        <f>-(R176-Q176)</f>
        <v>-4829</v>
      </c>
      <c r="S178" s="388">
        <f>-(S176-R176)</f>
        <v>7473</v>
      </c>
      <c r="T178" s="389">
        <f>-(T176-O176)</f>
        <v>-3899</v>
      </c>
      <c r="U178" s="388">
        <f t="shared" ref="U178:X178" si="271">-(U176-T176)</f>
        <v>426</v>
      </c>
      <c r="V178" s="388">
        <f>-(V176-U176)</f>
        <v>-4528</v>
      </c>
      <c r="W178" s="388">
        <f>-(W176-V176)</f>
        <v>-40</v>
      </c>
      <c r="X178" s="390">
        <f>-(X176-W176)</f>
        <v>-1855.091793478261</v>
      </c>
      <c r="Y178" s="389">
        <f>-(Y176-T176)</f>
        <v>-1897.091793478261</v>
      </c>
      <c r="Z178" s="390">
        <f t="shared" ref="Z178:AC178" si="272">-(Z176-Y176)</f>
        <v>-1777.3159203678952</v>
      </c>
      <c r="AA178" s="390">
        <f>-(AA176-Z176)</f>
        <v>177.7483814153893</v>
      </c>
      <c r="AB178" s="390">
        <f>-(AB176-AA176)</f>
        <v>916.7916052488508</v>
      </c>
      <c r="AC178" s="390">
        <f>-(AC176-AB176)</f>
        <v>-168.43685088664824</v>
      </c>
      <c r="AD178" s="389">
        <f>-(AD176-Y176)</f>
        <v>-851.2127845903033</v>
      </c>
      <c r="AE178" s="389">
        <f t="shared" ref="AE178:AG178" si="273">-(AE176-AD176)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74">AVERAGE(F162:G162)/G$28*G$26</f>
        <v>1e-12</v>
      </c>
      <c r="H182" s="384">
        <f>AVERAGE(G162:H162)/H$28*H$26</f>
        <v>1e-12</v>
      </c>
      <c r="I182" s="384">
        <f>AVERAGE(H162:I162)/I$28*I$26</f>
        <v>1e-12</v>
      </c>
      <c r="J182" s="162">
        <f>AVERAGE(F162:I162)/J$28*J$26</f>
        <v>1e-12</v>
      </c>
      <c r="K182" s="382">
        <f>AVERAGE(I162,K162)/K$28*K$26</f>
        <v>1e-12</v>
      </c>
      <c r="L182" s="384">
        <f t="shared" ref="L182:N182" si="275">AVERAGE(K162:L162)/L$28*L$26</f>
        <v>1e-12</v>
      </c>
      <c r="M182" s="384">
        <f>AVERAGE(L162:M162)/M$28*M$26</f>
        <v>1e-12</v>
      </c>
      <c r="N182" s="384">
        <f>AVERAGE(M162:N162)/N$28*N$26</f>
        <v>1e-12</v>
      </c>
      <c r="O182" s="162">
        <f>AVERAGE(J162,O162)/O$28*O$26</f>
        <v>1e-12</v>
      </c>
      <c r="P182" s="382">
        <f>AVERAGE(N162,P162)/P$28*P$26</f>
        <v>1e-12</v>
      </c>
      <c r="Q182" s="384">
        <f t="shared" ref="Q182:S182" si="276">AVERAGE(P162:Q162)/Q$28*Q$26</f>
        <v>1e-12</v>
      </c>
      <c r="R182" s="384">
        <f>AVERAGE(Q162:R162)/R$28*R$26</f>
        <v>1e-12</v>
      </c>
      <c r="S182" s="384">
        <f>AVERAGE(R162:S162)/S$28*S$26</f>
        <v>1e-12</v>
      </c>
      <c r="T182" s="162">
        <f>AVERAGE(O162,T162)/T$28*T$26</f>
        <v>1e-12</v>
      </c>
      <c r="U182" s="382">
        <f>AVERAGE(S162,U162)/U$28*U$26</f>
        <v>1e-12</v>
      </c>
      <c r="V182" s="384">
        <f t="shared" ref="V182:W182" si="277">AVERAGE(U162:V162)/V$28*V$26</f>
        <v>1e-12</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78">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79">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80">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81">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282">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283">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284">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285">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286">SUM(G182:G183)-G184</f>
        <v>19.946343779678102</v>
      </c>
      <c r="H185" s="384">
        <f>SUM(H182:H183)-H184</f>
        <v>23.412845597619025</v>
      </c>
      <c r="I185" s="384">
        <f>SUM(I182:I183)-I184</f>
        <v>29.179429752779</v>
      </c>
      <c r="J185" s="162">
        <f>SUM(J182:J183)-J184</f>
        <v>25.265955248859484</v>
      </c>
      <c r="K185" s="382">
        <f>SUM(K182:K183)-K184</f>
        <v>28.950246710527324</v>
      </c>
      <c r="L185" s="384">
        <f>SUM(L182:L183)-L184</f>
        <v>24.812377210217107</v>
      </c>
      <c r="M185" s="384">
        <f>SUM(M182:M183)-M184</f>
        <v>35.7294858699363</v>
      </c>
      <c r="N185" s="384">
        <f>SUM(N182:N183)-N184</f>
        <v>43.37202354006436</v>
      </c>
      <c r="O185" s="162">
        <f>SUM(O182:O183)-O184</f>
        <v>36.35535006605119</v>
      </c>
      <c r="P185" s="382">
        <f>SUM(P182:P183)-P184</f>
        <v>30.6404801701879</v>
      </c>
      <c r="Q185" s="384">
        <f>SUM(Q182:Q183)-Q184</f>
        <v>11.01475163907201</v>
      </c>
      <c r="R185" s="384">
        <f>SUM(R182:R183)-R184</f>
        <v>11.854753814379038</v>
      </c>
      <c r="S185" s="384">
        <f>SUM(S182:S183)-S184</f>
        <v>27.450487540629382</v>
      </c>
      <c r="T185" s="162">
        <f>SUM(T182:T183)-T184</f>
        <v>32.93052454427399</v>
      </c>
      <c r="U185" s="382">
        <f>SUM(U182:U183)-U184</f>
        <v>26.86686717407416</v>
      </c>
      <c r="V185" s="384">
        <f>SUM(V182:V183)-V184</f>
        <v>24.24523496549557</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287">F164/(4*F28)</f>
        <v>0.16574338050770782</v>
      </c>
      <c r="G186" s="410">
        <f>G164/(4*G28)</f>
        <v>0.16557003669492598</v>
      </c>
      <c r="H186" s="410">
        <f>H164/(4*H28)</f>
        <v>0.20584801398584301</v>
      </c>
      <c r="I186" s="410">
        <f>I164/(4*I28)</f>
        <v>0.21721714451719593</v>
      </c>
      <c r="J186" s="214">
        <f>J164/(J28)</f>
        <v>0.20288297220084273</v>
      </c>
      <c r="K186" s="410">
        <f t="shared" ref="K186:N186" si="288">K164/(4*K28)</f>
        <v>0.15309847376123772</v>
      </c>
      <c r="L186" s="410">
        <f>L164/(4*L28)</f>
        <v>0.1863629852456668</v>
      </c>
      <c r="M186" s="410">
        <f>M164/(4*M28)</f>
        <v>0.2066696200613218</v>
      </c>
      <c r="N186" s="410">
        <f>N164/(4*N28)</f>
        <v>0.21686505846413145</v>
      </c>
      <c r="O186" s="214">
        <f>O164/(O28)</f>
        <v>0.21058984489879423</v>
      </c>
      <c r="P186" s="410">
        <f t="shared" ref="P186:S186" si="289">P164/(4*P28)</f>
        <v>0.13352976669348351</v>
      </c>
      <c r="Q186" s="410">
        <f>Q164/(4*Q28)</f>
        <v>0.15233748256588261</v>
      </c>
      <c r="R186" s="410">
        <f>R164/(4*R28)</f>
        <v>0.14021225913479943</v>
      </c>
      <c r="S186" s="410">
        <f>S164/(4*S28)</f>
        <v>0.16231725645579997</v>
      </c>
      <c r="T186" s="214">
        <f>T164/(T28)</f>
        <v>0.15986120756149663</v>
      </c>
      <c r="U186" s="410">
        <f t="shared" ref="U186:W186" si="290">U164/(4*U28)</f>
        <v>0.116501224296725</v>
      </c>
      <c r="V186" s="410">
        <f>V164/(4*V28)</f>
        <v>0.13818535041013094</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291">F168/(4*-F29)</f>
        <v>0.2670378019215229</v>
      </c>
      <c r="G187" s="410">
        <f>G168/(4*-G29)</f>
        <v>0.32632898221717743</v>
      </c>
      <c r="H187" s="410">
        <f>H168/(4*-H29)</f>
        <v>0.38618235501498327</v>
      </c>
      <c r="I187" s="410">
        <f>I168/(4*-I29)</f>
        <v>0.3802449511931691</v>
      </c>
      <c r="J187" s="214">
        <f>J168/(-J29)</f>
        <v>0.3485432223296301</v>
      </c>
      <c r="K187" s="410">
        <f t="shared" ref="K187:N187" si="292">K168/(4*-K29)</f>
        <v>0.26098192212608157</v>
      </c>
      <c r="L187" s="410">
        <f>L168/(4*-L29)</f>
        <v>0.36125262984200324</v>
      </c>
      <c r="M187" s="410">
        <f>M168/(4*-M29)</f>
        <v>0.41214017657649843</v>
      </c>
      <c r="N187" s="410">
        <f>N168/(4*-N29)</f>
        <v>0.48570547099958866</v>
      </c>
      <c r="O187" s="214">
        <f>O168/(-O29)</f>
        <v>0.4715096599984787</v>
      </c>
      <c r="P187" s="410">
        <f t="shared" ref="P187:S187" si="293">P168/(4*-P29)</f>
        <v>0.28017417644831505</v>
      </c>
      <c r="Q187" s="410">
        <f>Q168/(4*-Q29)</f>
        <v>0.4033757823021469</v>
      </c>
      <c r="R187" s="410">
        <f>R168/(4*-R29)</f>
        <v>0.40625124210024244</v>
      </c>
      <c r="S187" s="410">
        <f>S168/(4*-S29)</f>
        <v>0.40053579676674367</v>
      </c>
      <c r="T187" s="214">
        <f>T168/(-T29)</f>
        <v>0.3924511223750905</v>
      </c>
      <c r="U187" s="410">
        <f t="shared" ref="U187:W187" si="294">U168/(4*-U29)</f>
        <v>0.27630660852063066</v>
      </c>
      <c r="V187" s="410">
        <f>V168/(4*-V29)</f>
        <v>0.30122954452777334</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295">F169/(4*-F29)</f>
        <v>0.029900332225913623</v>
      </c>
      <c r="G188" s="410">
        <f>G169/(4*-G29)</f>
        <v>0.03845535376466137</v>
      </c>
      <c r="H188" s="410">
        <f>H169/(4*-H29)</f>
        <v>0.04493874493213467</v>
      </c>
      <c r="I188" s="410">
        <f>I169/(4*-I29)</f>
        <v>0.041068044262395305</v>
      </c>
      <c r="J188" s="214">
        <f>J169/(-J29)</f>
        <v>0.0376441250227658</v>
      </c>
      <c r="K188" s="410">
        <f t="shared" ref="K188:N188" si="296">K169/(4*-K29)</f>
        <v>0.0319221260815822</v>
      </c>
      <c r="L188" s="410">
        <f>L169/(4*-L29)</f>
        <v>0.041314302215255144</v>
      </c>
      <c r="M188" s="410">
        <f>M169/(4*-M29)</f>
        <v>0.043672313933057115</v>
      </c>
      <c r="N188" s="410">
        <f>N169/(4*-N29)</f>
        <v>0.04039587863117275</v>
      </c>
      <c r="O188" s="214">
        <f>O169/(-O29)</f>
        <v>0.039215220202327525</v>
      </c>
      <c r="P188" s="410">
        <f t="shared" ref="P188:S188" si="297">P169/(4*-P29)</f>
        <v>0.03203710715638016</v>
      </c>
      <c r="Q188" s="410">
        <f>Q169/(4*-Q29)</f>
        <v>0.044442683989542896</v>
      </c>
      <c r="R188" s="410">
        <f>R169/(4*-R29)</f>
        <v>0.044611272308120356</v>
      </c>
      <c r="S188" s="410">
        <f>S169/(4*-S29)</f>
        <v>0.04182448036951501</v>
      </c>
      <c r="T188" s="214">
        <f>T169/(-T29)</f>
        <v>0.0409802679217958</v>
      </c>
      <c r="U188" s="410">
        <f t="shared" ref="U188:W188" si="298">U169/(4*-U29)</f>
        <v>0.031576652130157666</v>
      </c>
      <c r="V188" s="410">
        <f>V169/(4*-V29)</f>
        <v>0.04135861567647111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299">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00">Y196</f>
        <v>18963.9382</v>
      </c>
      <c r="AA192" s="281">
        <f>Z196</f>
        <v>19248.6551535</v>
      </c>
      <c r="AB192" s="281">
        <f>AA196</f>
        <v>19556.13592455375</v>
      </c>
      <c r="AC192" s="281">
        <f>AB196</f>
        <v>19652.04946651726</v>
      </c>
      <c r="AD192" s="282">
        <f>Y196</f>
        <v>18963.9382</v>
      </c>
      <c r="AE192" s="282">
        <f t="shared" ref="AE192:AG192" si="301">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02">SUM(F193:I193)</f>
        <v>1174</v>
      </c>
      <c r="K193" s="413">
        <v>205</v>
      </c>
      <c r="L193" s="413">
        <v>321</v>
      </c>
      <c r="M193" s="413">
        <v>401</v>
      </c>
      <c r="N193" s="413">
        <v>557</v>
      </c>
      <c r="O193" s="329">
        <f t="shared" ref="O193:O195" si="303">SUM(K193:N193)</f>
        <v>1484</v>
      </c>
      <c r="P193" s="413">
        <v>328</v>
      </c>
      <c r="Q193" s="413">
        <v>382</v>
      </c>
      <c r="R193" s="413">
        <v>462</v>
      </c>
      <c r="S193" s="413">
        <v>557</v>
      </c>
      <c r="T193" s="329">
        <f t="shared" ref="T193:T195" si="304">SUM(P193:S193)</f>
        <v>1729</v>
      </c>
      <c r="U193" s="413">
        <v>461</v>
      </c>
      <c r="V193" s="413">
        <f>846-U193</f>
        <v>385</v>
      </c>
      <c r="W193" s="413">
        <f>1256-SUM(U193:V193)</f>
        <v>410</v>
      </c>
      <c r="X193" s="330">
        <f>X200*X28</f>
        <v>370.1257</v>
      </c>
      <c r="Y193" s="329">
        <f t="shared" ref="Y193:Y195" si="305">SUM(U193:X193)</f>
        <v>1626.1257</v>
      </c>
      <c r="Z193" s="330">
        <f t="shared" ref="Z193:AC193" si="306">Z200*Z28</f>
        <v>616.585872</v>
      </c>
      <c r="AA193" s="330">
        <f>AA200*AA28</f>
        <v>644.3322362399999</v>
      </c>
      <c r="AB193" s="330">
        <f>AB200*AB28</f>
        <v>438.14592064320004</v>
      </c>
      <c r="AC193" s="330">
        <f>AC200*AC28</f>
        <v>416.23862461104</v>
      </c>
      <c r="AD193" s="329">
        <f t="shared" ref="AD193:AD195" si="307">SUM(Z193:AC193)</f>
        <v>2115.30265349424</v>
      </c>
      <c r="AE193" s="329">
        <f t="shared" ref="AE193:AG193" si="308">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1e-12</v>
      </c>
      <c r="K194" s="358"/>
      <c r="L194" s="358"/>
      <c r="M194" s="358"/>
      <c r="N194" s="358"/>
      <c r="O194" s="366">
        <f>SUM(K194:N194)</f>
        <v>1e-12</v>
      </c>
      <c r="P194" s="358"/>
      <c r="Q194" s="358"/>
      <c r="R194" s="358"/>
      <c r="S194" s="358"/>
      <c r="T194" s="366">
        <f>SUM(P194:S194)</f>
        <v>1e-12</v>
      </c>
      <c r="U194" s="358"/>
      <c r="V194" s="358">
        <f>-409+207</f>
        <v>-202</v>
      </c>
      <c r="W194" s="358">
        <f>-425+216</f>
        <v>-209</v>
      </c>
      <c r="X194" s="359">
        <f>-X201*X192/4</f>
        <v>-331.18750000000006</v>
      </c>
      <c r="Y194" s="329">
        <f>SUM(U194:X194)</f>
        <v>-1133.1875</v>
      </c>
      <c r="Z194" s="359">
        <f t="shared" ref="Z194:AC194" si="309">-Z201*Z192/4</f>
        <v>-331.86891850000006</v>
      </c>
      <c r="AA194" s="359">
        <f>-AA201*AA192/4</f>
        <v>-336.85146518625004</v>
      </c>
      <c r="AB194" s="359">
        <f>-AB201*AB192/4</f>
        <v>-342.23237867969067</v>
      </c>
      <c r="AC194" s="359">
        <f>-AC201*AC192/4</f>
        <v>-343.91086566405204</v>
      </c>
      <c r="AD194" s="329">
        <f>SUM(Z194:AC194)</f>
        <v>-1354.863628029993</v>
      </c>
      <c r="AE194" s="162">
        <f t="shared" ref="AE194:AG194" si="310">-AE201*AE192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v>1e-12</v>
      </c>
      <c r="K195" s="354">
        <v>0</v>
      </c>
      <c r="L195" s="354">
        <v>0</v>
      </c>
      <c r="M195" s="354">
        <v>0</v>
      </c>
      <c r="N195" s="354">
        <v>0</v>
      </c>
      <c r="O195" s="414">
        <f>SUM(K195:N195)</f>
        <v>1e-12</v>
      </c>
      <c r="P195" s="354">
        <v>0</v>
      </c>
      <c r="Q195" s="354">
        <v>0</v>
      </c>
      <c r="R195" s="354">
        <v>0</v>
      </c>
      <c r="S195" s="354">
        <v>0</v>
      </c>
      <c r="T195" s="414">
        <f>SUM(P195:S195)</f>
        <v>1e-12</v>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11">F126</f>
        <v>42951</v>
      </c>
      <c r="G196" s="353">
        <f>G126</f>
        <v>43398</v>
      </c>
      <c r="H196" s="353">
        <f>H126</f>
        <v>43550</v>
      </c>
      <c r="I196" s="353">
        <f>I126</f>
        <v>43715</v>
      </c>
      <c r="J196" s="282">
        <f>J126</f>
        <v>43715</v>
      </c>
      <c r="K196" s="353">
        <f>K126</f>
        <v>43666</v>
      </c>
      <c r="L196" s="353">
        <f>L126</f>
        <v>43546</v>
      </c>
      <c r="M196" s="353">
        <f>M126</f>
        <v>44502</v>
      </c>
      <c r="N196" s="353">
        <f>N126</f>
        <v>45680</v>
      </c>
      <c r="O196" s="282">
        <f>O126</f>
        <v>45680</v>
      </c>
      <c r="P196" s="353">
        <f>P126</f>
        <v>46069</v>
      </c>
      <c r="Q196" s="353">
        <f>Q126</f>
        <v>46876</v>
      </c>
      <c r="R196" s="353">
        <f>R126</f>
        <v>48508</v>
      </c>
      <c r="S196" s="353">
        <f>S126</f>
        <v>49834</v>
      </c>
      <c r="T196" s="282">
        <f>T126</f>
        <v>49834</v>
      </c>
      <c r="U196" s="353">
        <f>U126</f>
        <v>50159</v>
      </c>
      <c r="V196" s="353">
        <f>V126</f>
        <v>50116</v>
      </c>
      <c r="W196" s="353">
        <f>W126</f>
        <v>18925</v>
      </c>
      <c r="X196" s="281">
        <f>SUM(X192:X195)</f>
        <v>18963.9382</v>
      </c>
      <c r="Y196" s="282">
        <f>X196</f>
        <v>18963.9382</v>
      </c>
      <c r="Z196" s="281">
        <f t="shared" ref="Z196:AG196" si="312">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13">F193/F28</f>
        <v>0.001912013247520358</v>
      </c>
      <c r="G200" s="410">
        <f>G193/G28</f>
        <v>0.003363701547935383</v>
      </c>
      <c r="H200" s="410">
        <f>H193/H28</f>
        <v>0.0037042923334596623</v>
      </c>
      <c r="I200" s="410">
        <f>I193/I28</f>
        <v>0.0036648863661757807</v>
      </c>
      <c r="J200" s="214">
        <f>J193/J28</f>
        <v>0.0030629948993568753</v>
      </c>
      <c r="K200" s="410">
        <f>K193/K28</f>
        <v>0.0017144051850303157</v>
      </c>
      <c r="L200" s="410">
        <f>L193/L28</f>
        <v>0.003537073154606459</v>
      </c>
      <c r="M200" s="410">
        <f>M193/M28</f>
        <v>0.004674912855427446</v>
      </c>
      <c r="N200" s="410">
        <f>N193/N28</f>
        <v>0.005867481302012009</v>
      </c>
      <c r="O200" s="214">
        <f>O193/O28</f>
        <v>0.0037950567084787806</v>
      </c>
      <c r="P200" s="410">
        <f>P193/P28</f>
        <v>0.0026387771520514883</v>
      </c>
      <c r="Q200" s="410">
        <f>Q193/Q28</f>
        <v>0.004005914491552974</v>
      </c>
      <c r="R200" s="410">
        <f>R193/R28</f>
        <v>0.004913012037942916</v>
      </c>
      <c r="S200" s="410">
        <f>S193/S28</f>
        <v>0.005435949485683056</v>
      </c>
      <c r="T200" s="214">
        <f>T193/T28</f>
        <v>0.0041546420736205455</v>
      </c>
      <c r="U200" s="410">
        <f>U193/U28</f>
        <v>0.003206822671749353</v>
      </c>
      <c r="V200" s="410">
        <f>V193/V28</f>
        <v>0.0034627284501367104</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14">-G194*4/AVERAGE(F196:G196)</f>
        <v>0.07136946628051304</v>
      </c>
      <c r="H201" s="410">
        <f>-H194*4/AVERAGE(G196:H196)</f>
        <v>0.09093056831605198</v>
      </c>
      <c r="I201" s="410">
        <f>-I194*4/AVERAGE(H196:I196)</f>
        <v>0.07260072279480659</v>
      </c>
      <c r="J201" s="214">
        <f>-J194/AVERAGE(F196:I196)</f>
        <v>0.07770923487708314</v>
      </c>
      <c r="K201" s="410">
        <f t="shared" ref="K201:N201" si="315">-K194*4/AVERAGE(J196:K196)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16">-P194*4/AVERAGE(O196:P196)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17">-U194*4/AVERAGE(T196:U196)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18">-F194/F28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0.0018168081738379623</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19">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20">E210</f>
        <v>1e-12</v>
      </c>
      <c r="G206" s="353">
        <f>F210</f>
        <v>1e-12</v>
      </c>
      <c r="H206" s="353">
        <f>G210</f>
        <v>1e-12</v>
      </c>
      <c r="I206" s="353">
        <f>H210</f>
        <v>1e-12</v>
      </c>
      <c r="J206" s="282">
        <f>F206</f>
        <v>1e-12</v>
      </c>
      <c r="K206" s="353">
        <f t="shared" ref="K206:N206" si="321">J210</f>
        <v>1e-12</v>
      </c>
      <c r="L206" s="353">
        <f>K210</f>
        <v>1e-12</v>
      </c>
      <c r="M206" s="353">
        <f>L210</f>
        <v>1e-12</v>
      </c>
      <c r="N206" s="353">
        <f>M210</f>
        <v>1e-12</v>
      </c>
      <c r="O206" s="282">
        <f>K206</f>
        <v>1e-12</v>
      </c>
      <c r="P206" s="353">
        <f t="shared" ref="P206:S206" si="322">O210</f>
        <v>1e-12</v>
      </c>
      <c r="Q206" s="353">
        <f>P210</f>
        <v>1e-12</v>
      </c>
      <c r="R206" s="353">
        <f>Q210</f>
        <v>1e-12</v>
      </c>
      <c r="S206" s="353">
        <f>R210</f>
        <v>1e-12</v>
      </c>
      <c r="T206" s="282">
        <f>P206</f>
        <v>1e-12</v>
      </c>
      <c r="U206" s="353">
        <f t="shared" ref="U206:X206" si="323">T210</f>
        <v>13301</v>
      </c>
      <c r="V206" s="353">
        <f>U210</f>
        <v>1e-12</v>
      </c>
      <c r="W206" s="353">
        <f>V210</f>
      </c>
      <c r="X206" s="281">
        <f>W210</f>
      </c>
      <c r="Y206" s="282">
        <f>U206</f>
        <v>0</v>
      </c>
      <c r="Z206" s="281">
        <f t="shared" ref="Z206:AC206" si="324">Y210</f>
        <v>0</v>
      </c>
      <c r="AA206" s="281">
        <f>Z210</f>
      </c>
      <c r="AB206" s="281">
        <f>AA210</f>
      </c>
      <c r="AC206" s="281">
        <f>AB210</f>
      </c>
      <c r="AD206" s="282">
        <f>Z206</f>
        <v>0</v>
      </c>
      <c r="AE206" s="282">
        <f t="shared" ref="AE206:AG206" si="325">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26">SUM(F207:I207)</f>
        <v>1e-12</v>
      </c>
      <c r="K207" s="413">
        <v>0</v>
      </c>
      <c r="L207" s="413">
        <v>0</v>
      </c>
      <c r="M207" s="413">
        <v>0</v>
      </c>
      <c r="N207" s="413">
        <v>0</v>
      </c>
      <c r="O207" s="329">
        <f t="shared" ref="O207:O209" si="327">SUM(K207:N207)</f>
        <v>1e-12</v>
      </c>
      <c r="P207" s="413">
        <v>0</v>
      </c>
      <c r="Q207" s="413">
        <v>0</v>
      </c>
      <c r="R207" s="413">
        <v>0</v>
      </c>
      <c r="S207" s="413">
        <v>0</v>
      </c>
      <c r="T207" s="329">
        <f t="shared" ref="T207:T209" si="328">SUM(P207:S207)</f>
        <v>1e-12</v>
      </c>
      <c r="U207" s="413">
        <v>0</v>
      </c>
      <c r="V207" s="413">
        <v>0</v>
      </c>
      <c r="W207" s="413">
        <v>0</v>
      </c>
      <c r="X207" s="417">
        <f>W207</f>
        <v>0</v>
      </c>
      <c r="Y207" s="329">
        <f t="shared" ref="Y207:Y209" si="329">SUM(U207:X207)</f>
        <v>0</v>
      </c>
      <c r="Z207" s="417">
        <f t="shared" ref="Z207:AC207" si="330">Y207</f>
        <v>0</v>
      </c>
      <c r="AA207" s="417">
        <f>Z207</f>
      </c>
      <c r="AB207" s="417">
        <f>AA207</f>
      </c>
      <c r="AC207" s="417">
        <f>AB207</f>
      </c>
      <c r="AD207" s="329">
        <f t="shared" ref="AD207:AD209" si="331">SUM(Z207:AC207)</f>
        <v>0</v>
      </c>
      <c r="AE207" s="418">
        <f t="shared" ref="AE207:AG207" si="332">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33">F34-F194</f>
        <v>1e-12</v>
      </c>
      <c r="G208" s="328">
        <f>G34-G194</f>
        <v>1e-12</v>
      </c>
      <c r="H208" s="328">
        <f>H34-H194</f>
        <v>1e-12</v>
      </c>
      <c r="I208" s="328">
        <f>I34-I194</f>
        <v>1e-12</v>
      </c>
      <c r="J208" s="329">
        <f>SUM(F208:I208)</f>
        <v>1e-12</v>
      </c>
      <c r="K208" s="328">
        <f t="shared" ref="K208:N208" si="334">K34-K194</f>
        <v>1e-12</v>
      </c>
      <c r="L208" s="328">
        <f>L34-L194</f>
        <v>1e-12</v>
      </c>
      <c r="M208" s="328">
        <f>M34-M194</f>
        <v>1e-12</v>
      </c>
      <c r="N208" s="328">
        <f>N34-N194</f>
        <v>1e-12</v>
      </c>
      <c r="O208" s="329">
        <f>SUM(K208:N208)</f>
        <v>1e-12</v>
      </c>
      <c r="P208" s="328">
        <f t="shared" ref="P208:S208" si="335">P34-P194</f>
        <v>1e-12</v>
      </c>
      <c r="Q208" s="328">
        <f>Q34-Q194</f>
        <v>1e-12</v>
      </c>
      <c r="R208" s="328">
        <f>R34-R194</f>
        <v>1e-12</v>
      </c>
      <c r="S208" s="328">
        <f>S34-S194</f>
        <v>1e-12</v>
      </c>
      <c r="T208" s="329">
        <f>SUM(P208:S208)</f>
        <v>1e-12</v>
      </c>
      <c r="U208" s="328">
        <f t="shared" ref="U208:W208" si="336">U34-U194</f>
        <v>1e-12</v>
      </c>
      <c r="V208" s="328">
        <f>V34-V194</f>
        <v>202</v>
      </c>
      <c r="W208" s="328">
        <f>W34-W194</f>
        <v>-216</v>
      </c>
      <c r="X208" s="330">
        <f>X214*X206/4</f>
        <v>0</v>
      </c>
      <c r="Y208" s="329">
        <f>SUM(U208:X208)</f>
        <v>-423</v>
      </c>
      <c r="Z208" s="330">
        <f t="shared" ref="Z208:AC208" si="337">Z214*Z206/4</f>
        <v>0</v>
      </c>
      <c r="AA208" s="330">
        <f>AA214*AA206/4</f>
      </c>
      <c r="AB208" s="330">
        <f>AB214*AB206/4</f>
      </c>
      <c r="AC208" s="330">
        <f>AC214*AC206/4</f>
      </c>
      <c r="AD208" s="329">
        <f>SUM(Z208:AC208)</f>
      </c>
      <c r="AE208" s="329">
        <f t="shared" ref="AE208:AG208" si="338">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v>1e-12</v>
      </c>
      <c r="K209" s="419">
        <v>0</v>
      </c>
      <c r="L209" s="419">
        <v>0</v>
      </c>
      <c r="M209" s="419">
        <v>0</v>
      </c>
      <c r="N209" s="419">
        <v>0</v>
      </c>
      <c r="O209" s="414">
        <f>SUM(K209:N209)</f>
        <v>1e-12</v>
      </c>
      <c r="P209" s="419">
        <v>0</v>
      </c>
      <c r="Q209" s="419">
        <v>0</v>
      </c>
      <c r="R209" s="419">
        <v>0</v>
      </c>
      <c r="S209" s="419">
        <v>0</v>
      </c>
      <c r="T209" s="414">
        <f>SUM(P209:S209)</f>
        <v>1e-12</v>
      </c>
      <c r="U209" s="419">
        <v>0</v>
      </c>
      <c r="V209" s="419">
        <v>0</v>
      </c>
      <c r="W209" s="419">
        <v>0</v>
      </c>
      <c r="X209" s="420">
        <f>W209</f>
        <v>0</v>
      </c>
      <c r="Y209" s="414">
        <f>SUM(U209:X209)</f>
      </c>
      <c r="Z209" s="420">
        <f t="shared" ref="Z209:AC209" si="339">Y209</f>
        <v>0</v>
      </c>
      <c r="AA209" s="420">
        <f>Z209</f>
      </c>
      <c r="AB209" s="420">
        <f>AA209</f>
      </c>
      <c r="AC209" s="420">
        <f>AB209</f>
      </c>
      <c r="AD209" s="414">
        <f>SUM(Z209:AC209)</f>
      </c>
      <c r="AE209" s="421">
        <f t="shared" ref="AE209:AG209" si="340">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41">F127</f>
        <v>1e-12</v>
      </c>
      <c r="G210" s="353">
        <f>G127</f>
        <v>1e-12</v>
      </c>
      <c r="H210" s="353">
        <f>H127</f>
        <v>1e-12</v>
      </c>
      <c r="I210" s="353">
        <f>I127</f>
        <v>1e-12</v>
      </c>
      <c r="J210" s="282">
        <f>J127</f>
        <v>1e-12</v>
      </c>
      <c r="K210" s="353">
        <f>K127</f>
        <v>1e-12</v>
      </c>
      <c r="L210" s="353">
        <f>L127</f>
        <v>1e-12</v>
      </c>
      <c r="M210" s="353">
        <f>M127</f>
        <v>1e-12</v>
      </c>
      <c r="N210" s="353">
        <f>N127</f>
        <v>1e-12</v>
      </c>
      <c r="O210" s="282">
        <f>O127</f>
        <v>1e-12</v>
      </c>
      <c r="P210" s="353">
        <f>P127</f>
        <v>1e-12</v>
      </c>
      <c r="Q210" s="353">
        <f>Q127</f>
        <v>1e-12</v>
      </c>
      <c r="R210" s="353">
        <f>R127</f>
        <v>1e-12</v>
      </c>
      <c r="S210" s="353">
        <f>S127</f>
        <v>13301</v>
      </c>
      <c r="T210" s="282">
        <f>T127</f>
        <v>13301</v>
      </c>
      <c r="U210" s="353">
        <f>U127</f>
        <v>1e-12</v>
      </c>
      <c r="V210" s="353">
        <f>V127</f>
        <v>25797</v>
      </c>
      <c r="W210" s="353">
        <f>W127</f>
      </c>
      <c r="X210" s="281">
        <f>SUM(X206:X209)</f>
        <v>0</v>
      </c>
      <c r="Y210" s="282">
        <f>X210</f>
        <v>0</v>
      </c>
      <c r="Z210" s="281">
        <f t="shared" ref="Z210:AC210" si="342">SUM(Z206:Z209)</f>
        <v>0</v>
      </c>
      <c r="AA210" s="281">
        <f>SUM(AA206:AA209)</f>
      </c>
      <c r="AB210" s="281">
        <f>SUM(AB206:AB209)</f>
      </c>
      <c r="AC210" s="281">
        <f>SUM(AC206:AC209)</f>
      </c>
      <c r="AD210" s="282">
        <f>AC210</f>
        <v>0</v>
      </c>
      <c r="AE210" s="282">
        <f t="shared" ref="AE210:AG210" si="343">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44">4*-G208/AVERAGE(F210:G210)</f>
        <v>#DIV/0!</v>
      </c>
      <c r="H214" s="397" t="e">
        <f>4*-H208/AVERAGE(G210:H210)</f>
        <v>#DIV/0!</v>
      </c>
      <c r="I214" s="397" t="e">
        <f>4*-I208/AVERAGE(H210:I210)</f>
        <v>#DIV/0!</v>
      </c>
      <c r="J214" s="398" t="e">
        <f>J208/AVERAGE(F206,I210)</f>
        <v>#DIV/0!</v>
      </c>
      <c r="K214" s="397" t="e">
        <f t="shared" ref="K214:N214" si="345">4*-K208/AVERAGE(J210:K210)</f>
        <v>#DIV/0!</v>
      </c>
      <c r="L214" s="397" t="e">
        <f>4*-L208/AVERAGE(K210:L210)</f>
        <v>#DIV/0!</v>
      </c>
      <c r="M214" s="397" t="e">
        <f>4*-M208/AVERAGE(L210:M210)</f>
        <v>#DIV/0!</v>
      </c>
      <c r="N214" s="397" t="e">
        <f>4*-N208/AVERAGE(M210:N210)</f>
        <v>#DIV/0!</v>
      </c>
      <c r="O214" s="398" t="e">
        <f>O208/AVERAGE(K206,N210)</f>
        <v>#DIV/0!</v>
      </c>
      <c r="P214" s="397" t="e">
        <f t="shared" ref="P214:S214" si="346">4*-P208/AVERAGE(O210:P210)</f>
        <v>#DIV/0!</v>
      </c>
      <c r="Q214" s="397" t="e">
        <f>4*-Q208/AVERAGE(P210:Q210)</f>
        <v>#DIV/0!</v>
      </c>
      <c r="R214" s="397" t="e">
        <f>4*-R208/AVERAGE(Q210:R210)</f>
        <v>#DIV/0!</v>
      </c>
      <c r="S214" s="397" t="e">
        <f>4*-S208/AVERAGE(R210:S210)</f>
        <v>#DIV/0!</v>
      </c>
      <c r="T214" s="398" t="e">
        <f>T208/AVERAGE(P206,S210)</f>
        <v>#DIV/0!</v>
      </c>
      <c r="U214" s="397" t="e">
        <f t="shared" ref="U214:W214" si="347">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48">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9">F128</f>
        <v>1e-12</v>
      </c>
      <c r="G218" s="353">
        <f>G128</f>
        <v>1e-12</v>
      </c>
      <c r="H218" s="353">
        <f>H128</f>
        <v>1e-12</v>
      </c>
      <c r="I218" s="353">
        <f>I128</f>
        <v>1e-12</v>
      </c>
      <c r="J218" s="282">
        <f>J128</f>
        <v>1e-12</v>
      </c>
      <c r="K218" s="353">
        <f>K128</f>
        <v>1e-12</v>
      </c>
      <c r="L218" s="353">
        <f>L128</f>
        <v>1e-12</v>
      </c>
      <c r="M218" s="353">
        <f>M128</f>
        <v>1e-12</v>
      </c>
      <c r="N218" s="353">
        <f>N128</f>
        <v>1e-12</v>
      </c>
      <c r="O218" s="282">
        <f>O128</f>
        <v>1e-12</v>
      </c>
      <c r="P218" s="353">
        <f>P128</f>
        <v>1e-12</v>
      </c>
      <c r="Q218" s="353">
        <f>Q128</f>
        <v>1e-12</v>
      </c>
      <c r="R218" s="353">
        <f>R128</f>
        <v>1e-12</v>
      </c>
      <c r="S218" s="353">
        <f>S128</f>
        <v>1e-12</v>
      </c>
      <c r="T218" s="282">
        <f>T128</f>
        <v>1e-12</v>
      </c>
      <c r="U218" s="353">
        <f>U128</f>
        <v>1e-12</v>
      </c>
      <c r="V218" s="353">
        <f>V128</f>
        <v>1e-12</v>
      </c>
      <c r="W218" s="353">
        <f>W128</f>
      </c>
      <c r="X218" s="281">
        <f>Drivers!X62+W218</f>
        <v>0</v>
      </c>
      <c r="Y218" s="282">
        <f t="shared" ref="Y218:Y219" si="350">X218</f>
        <v>0</v>
      </c>
      <c r="Z218" s="281">
        <f>Drivers!Z62+Y218</f>
        <v>0</v>
      </c>
      <c r="AA218" s="281">
        <f>Drivers!AA62+Z218</f>
        <v>0</v>
      </c>
      <c r="AB218" s="281">
        <f>Drivers!AB62+AA218</f>
        <v>0</v>
      </c>
      <c r="AC218" s="281">
        <f>Drivers!AC62+AB218</f>
        <v>0</v>
      </c>
      <c r="AD218" s="282">
        <f t="shared" ref="AD218:AD219" si="351">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52">F129</f>
        <v>175019</v>
      </c>
      <c r="G219" s="372">
        <f>G129</f>
        <v>175849</v>
      </c>
      <c r="H219" s="372">
        <f>H129</f>
        <v>168829</v>
      </c>
      <c r="I219" s="372">
        <f>I129</f>
        <v>165302</v>
      </c>
      <c r="J219" s="355">
        <f>J129</f>
        <v>165302</v>
      </c>
      <c r="K219" s="372">
        <f>K129</f>
        <v>166156</v>
      </c>
      <c r="L219" s="372">
        <f>L129</f>
        <v>165449</v>
      </c>
      <c r="M219" s="372">
        <f>M129</f>
        <v>161675</v>
      </c>
      <c r="N219" s="372">
        <f>N129</f>
        <v>166313</v>
      </c>
      <c r="O219" s="355">
        <f>O129</f>
        <v>166313</v>
      </c>
      <c r="P219" s="372">
        <f>P129</f>
        <v>164776</v>
      </c>
      <c r="Q219" s="372">
        <f>Q129</f>
        <v>165683</v>
      </c>
      <c r="R219" s="372">
        <f>R129</f>
        <v>160496</v>
      </c>
      <c r="S219" s="372">
        <f>S129</f>
        <v>148149</v>
      </c>
      <c r="T219" s="355">
        <f>T129</f>
        <v>148149</v>
      </c>
      <c r="U219" s="372">
        <f>U129</f>
        <v>171034</v>
      </c>
      <c r="V219" s="372">
        <f>V129</f>
        <v>151055</v>
      </c>
      <c r="W219" s="372">
        <f>W129</f>
        <v>5626</v>
      </c>
      <c r="X219" s="356">
        <f>W219*(1+X232)</f>
        <v>5738.52</v>
      </c>
      <c r="Y219" s="355">
        <f>X219</f>
        <v>5738.52</v>
      </c>
      <c r="Z219" s="356">
        <f t="shared" ref="Z219:AC219" si="353">Y219*(1+Z232)</f>
        <v>5853.290400000001</v>
      </c>
      <c r="AA219" s="356">
        <f>Z219*(1+AA232)</f>
        <v>5970.356208000001</v>
      </c>
      <c r="AB219" s="356">
        <f>AA219*(1+AB232)</f>
        <v>6089.7633321600015</v>
      </c>
      <c r="AC219" s="356">
        <f>AB219*(1+AC232)</f>
        <v>6211.558598803202</v>
      </c>
      <c r="AD219" s="355">
        <f>AC219</f>
        <v>6211.558598803202</v>
      </c>
      <c r="AE219" s="355">
        <f t="shared" ref="AE219:AG219" si="354">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55">SUM(F218:F219)</f>
        <v>175019</v>
      </c>
      <c r="G220" s="353">
        <f>SUM(G218:G219)</f>
        <v>175849</v>
      </c>
      <c r="H220" s="353">
        <f>SUM(H218:H219)</f>
        <v>168829</v>
      </c>
      <c r="I220" s="353">
        <f>SUM(I218:I219)</f>
        <v>165302</v>
      </c>
      <c r="J220" s="282">
        <f>SUM(J218:J219)</f>
        <v>165302</v>
      </c>
      <c r="K220" s="353">
        <f>SUM(K218:K219)</f>
        <v>166156</v>
      </c>
      <c r="L220" s="353">
        <f>SUM(L218:L219)</f>
        <v>165449</v>
      </c>
      <c r="M220" s="353">
        <f>SUM(M218:M219)</f>
        <v>161675</v>
      </c>
      <c r="N220" s="353">
        <f>SUM(N218:N219)</f>
        <v>166313</v>
      </c>
      <c r="O220" s="282">
        <f>SUM(O218:O219)</f>
        <v>166313</v>
      </c>
      <c r="P220" s="353">
        <f>SUM(P218:P219)</f>
        <v>164776</v>
      </c>
      <c r="Q220" s="353">
        <f>SUM(Q218:Q219)</f>
        <v>165683</v>
      </c>
      <c r="R220" s="353">
        <f>SUM(R218:R219)</f>
        <v>160496</v>
      </c>
      <c r="S220" s="353">
        <f>SUM(S218:S219)</f>
        <v>148149</v>
      </c>
      <c r="T220" s="282">
        <f>SUM(T218:T219)</f>
        <v>148149</v>
      </c>
      <c r="U220" s="353">
        <f>SUM(U218:U219)</f>
        <v>171034</v>
      </c>
      <c r="V220" s="353">
        <f>SUM(V218:V219)</f>
        <v>151055</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56">G220-F220</f>
        <v>830</v>
      </c>
      <c r="H221" s="425">
        <f>H220-G220</f>
        <v>-7020</v>
      </c>
      <c r="I221" s="425">
        <f>I220-H220</f>
        <v>-3527</v>
      </c>
      <c r="J221" s="426"/>
      <c r="K221" s="425">
        <f t="shared" ref="K221:N221" si="357">K220-J220</f>
        <v>854</v>
      </c>
      <c r="L221" s="425">
        <f>L220-K220</f>
        <v>-707</v>
      </c>
      <c r="M221" s="425">
        <f>M220-L220</f>
        <v>-3774</v>
      </c>
      <c r="N221" s="425">
        <f>N220-M220</f>
        <v>4638</v>
      </c>
      <c r="O221" s="426">
        <f>O220-J220</f>
        <v>1011</v>
      </c>
      <c r="P221" s="425">
        <f t="shared" ref="P221:S221" si="358">P220-O220</f>
        <v>-1537</v>
      </c>
      <c r="Q221" s="425">
        <f>Q220-P220</f>
        <v>907</v>
      </c>
      <c r="R221" s="425">
        <f>R220-Q220</f>
        <v>-5187</v>
      </c>
      <c r="S221" s="425">
        <f>S220-R220</f>
        <v>-12347</v>
      </c>
      <c r="T221" s="426">
        <f>T220-O220</f>
        <v>-18164</v>
      </c>
      <c r="U221" s="425">
        <f t="shared" ref="U221:X221" si="359">U220-T220</f>
        <v>22885</v>
      </c>
      <c r="V221" s="425">
        <f>V220-U220</f>
        <v>-19979</v>
      </c>
      <c r="W221" s="425">
        <f>W220-V220</f>
        <v>336</v>
      </c>
      <c r="X221" s="427">
        <f>X220-W220</f>
        <v>112.52000000000044</v>
      </c>
      <c r="Y221" s="426">
        <f>Y220-T220</f>
        <v>4316.52</v>
      </c>
      <c r="Z221" s="427">
        <f t="shared" ref="Z221:AC221" si="360">Z220-Y220</f>
        <v>114.77040000000034</v>
      </c>
      <c r="AA221" s="427">
        <f>AA220-Z220</f>
        <v>117.06580800000029</v>
      </c>
      <c r="AB221" s="427">
        <f>AB220-AA220</f>
        <v>119.40712416000042</v>
      </c>
      <c r="AC221" s="427">
        <f>AC220-AB220</f>
        <v>121.7952666432002</v>
      </c>
      <c r="AD221" s="426">
        <f>AD220-Y220</f>
        <v>473.03859880320124</v>
      </c>
      <c r="AE221" s="426">
        <f t="shared" ref="AE221:AG221" si="361">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62">F141</f>
        <v>1e-12</v>
      </c>
      <c r="G223" s="353">
        <f>G141</f>
        <v>1e-12</v>
      </c>
      <c r="H223" s="353">
        <f>H141</f>
        <v>1e-12</v>
      </c>
      <c r="I223" s="353">
        <f>I141</f>
        <v>1e-12</v>
      </c>
      <c r="J223" s="282">
        <f>J141</f>
        <v>1e-12</v>
      </c>
      <c r="K223" s="353">
        <f>K141</f>
        <v>1e-12</v>
      </c>
      <c r="L223" s="353">
        <f>L141</f>
        <v>1e-12</v>
      </c>
      <c r="M223" s="353">
        <f>M141</f>
        <v>1e-12</v>
      </c>
      <c r="N223" s="353">
        <f>N141</f>
        <v>1e-12</v>
      </c>
      <c r="O223" s="282">
        <f>O141</f>
        <v>1e-12</v>
      </c>
      <c r="P223" s="353">
        <f>P141</f>
        <v>1e-12</v>
      </c>
      <c r="Q223" s="353">
        <f>Q141</f>
        <v>1e-12</v>
      </c>
      <c r="R223" s="353">
        <f>R141</f>
        <v>1e-12</v>
      </c>
      <c r="S223" s="353">
        <f>S141</f>
        <v>1e-12</v>
      </c>
      <c r="T223" s="282">
        <f>T141</f>
        <v>168</v>
      </c>
      <c r="U223" s="353">
        <f>U141</f>
        <v>1e-12</v>
      </c>
      <c r="V223" s="353">
        <f>V141</f>
        <v>1e-12</v>
      </c>
      <c r="W223" s="353">
        <f>W141</f>
      </c>
      <c r="X223" s="281">
        <f t="shared" ref="X223:AG223" si="363">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64">F142</f>
        <v>53107</v>
      </c>
      <c r="G224" s="372">
        <f>G142</f>
        <v>52886</v>
      </c>
      <c r="H224" s="372">
        <f>H142</f>
        <v>51730</v>
      </c>
      <c r="I224" s="372">
        <f>I142</f>
        <v>49848</v>
      </c>
      <c r="J224" s="355">
        <f>J142</f>
        <v>49848</v>
      </c>
      <c r="K224" s="372">
        <f>K142</f>
        <v>50353</v>
      </c>
      <c r="L224" s="372">
        <f>L142</f>
        <v>47564</v>
      </c>
      <c r="M224" s="372">
        <f>M142</f>
        <v>47084</v>
      </c>
      <c r="N224" s="372">
        <f>N142</f>
        <v>45888</v>
      </c>
      <c r="O224" s="355">
        <f>O142</f>
        <v>45888</v>
      </c>
      <c r="P224" s="372">
        <f>P142</f>
        <v>49006</v>
      </c>
      <c r="Q224" s="372">
        <f>Q142</f>
        <v>41300</v>
      </c>
      <c r="R224" s="372">
        <f>R142</f>
        <v>42115</v>
      </c>
      <c r="S224" s="372">
        <f>S142</f>
        <v>41549</v>
      </c>
      <c r="T224" s="355">
        <f>T142</f>
        <v>41549</v>
      </c>
      <c r="U224" s="372">
        <f>U142</f>
        <v>52055</v>
      </c>
      <c r="V224" s="372">
        <f>V142</f>
        <v>55546</v>
      </c>
      <c r="W224" s="372">
        <f>W142</f>
        <v>6261</v>
      </c>
      <c r="X224" s="356">
        <f t="shared" ref="X224:AG224" si="365">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66">SUM(F223:F224)</f>
        <v>53107</v>
      </c>
      <c r="G225" s="353">
        <f>SUM(G223:G224)</f>
        <v>52886</v>
      </c>
      <c r="H225" s="353">
        <f>SUM(H223:H224)</f>
        <v>51730</v>
      </c>
      <c r="I225" s="353">
        <f>SUM(I223:I224)</f>
        <v>49848</v>
      </c>
      <c r="J225" s="282">
        <f>SUM(J223:J224)</f>
        <v>49848</v>
      </c>
      <c r="K225" s="353">
        <f>SUM(K223:K224)</f>
        <v>50353</v>
      </c>
      <c r="L225" s="353">
        <f>SUM(L223:L224)</f>
        <v>47564</v>
      </c>
      <c r="M225" s="353">
        <f>SUM(M223:M224)</f>
        <v>47084</v>
      </c>
      <c r="N225" s="353">
        <f>SUM(N223:N224)</f>
        <v>45888</v>
      </c>
      <c r="O225" s="282">
        <f>SUM(O223:O224)</f>
        <v>45888</v>
      </c>
      <c r="P225" s="353">
        <f>SUM(P223:P224)</f>
        <v>49006</v>
      </c>
      <c r="Q225" s="353">
        <f>SUM(Q223:Q224)</f>
        <v>41300</v>
      </c>
      <c r="R225" s="353">
        <f>SUM(R223:R224)</f>
        <v>42115</v>
      </c>
      <c r="S225" s="353">
        <f>SUM(S223:S224)</f>
        <v>41549</v>
      </c>
      <c r="T225" s="282">
        <f>SUM(T223:T224)</f>
        <v>41717</v>
      </c>
      <c r="U225" s="353">
        <f>SUM(U223:U224)</f>
        <v>52055</v>
      </c>
      <c r="V225" s="353">
        <f>SUM(V223:V224)</f>
        <v>55546</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67">G225-F225</f>
        <v>-221</v>
      </c>
      <c r="H226" s="425">
        <f>H225-G225</f>
        <v>-1156</v>
      </c>
      <c r="I226" s="425">
        <f>I225-H225</f>
        <v>-1882</v>
      </c>
      <c r="J226" s="426"/>
      <c r="K226" s="425">
        <f t="shared" ref="K226:N226" si="368">K225-J225</f>
        <v>505</v>
      </c>
      <c r="L226" s="425">
        <f>L225-K225</f>
        <v>-2789</v>
      </c>
      <c r="M226" s="425">
        <f>M225-L225</f>
        <v>-480</v>
      </c>
      <c r="N226" s="425">
        <f>N225-M225</f>
        <v>-1196</v>
      </c>
      <c r="O226" s="426">
        <f>O225-J225</f>
        <v>-3960</v>
      </c>
      <c r="P226" s="425">
        <f t="shared" ref="P226:S226" si="369">P225-O225</f>
        <v>3118</v>
      </c>
      <c r="Q226" s="425">
        <f>Q225-P225</f>
        <v>-7706</v>
      </c>
      <c r="R226" s="425">
        <f>R225-Q225</f>
        <v>815</v>
      </c>
      <c r="S226" s="425">
        <f>S225-R225</f>
        <v>-566</v>
      </c>
      <c r="T226" s="426">
        <f>T225-O225</f>
        <v>-4171</v>
      </c>
      <c r="U226" s="425">
        <f t="shared" ref="U226:X226" si="370">U225-T225</f>
        <v>10338</v>
      </c>
      <c r="V226" s="425">
        <f>V225-U225</f>
        <v>3491</v>
      </c>
      <c r="W226" s="425">
        <f>W225-V225</f>
        <v>313</v>
      </c>
      <c r="X226" s="427">
        <f>X225-W225</f>
      </c>
      <c r="Y226" s="426">
        <f>Y225-T225</f>
        <v>4083</v>
      </c>
      <c r="Z226" s="427">
        <f t="shared" ref="Z226:AC226" si="371">Z225-Y225</f>
        <v>0</v>
      </c>
      <c r="AA226" s="427">
        <f>AA225-Z225</f>
      </c>
      <c r="AB226" s="427">
        <f>AB225-AA225</f>
      </c>
      <c r="AC226" s="427">
        <f>AC225-AB225</f>
      </c>
      <c r="AD226" s="426">
        <f>AD225-Y225</f>
        <v>0</v>
      </c>
      <c r="AE226" s="426">
        <f t="shared" ref="AE226:AG226" si="372">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73">G226-G221</f>
        <v>-1051</v>
      </c>
      <c r="H228" s="388">
        <f>H226-H221</f>
        <v>5864</v>
      </c>
      <c r="I228" s="388">
        <f>I226-I221</f>
        <v>1645</v>
      </c>
      <c r="J228" s="389"/>
      <c r="K228" s="388">
        <f t="shared" ref="K228:AG228" si="374">K226-K221</f>
        <v>-349</v>
      </c>
      <c r="L228" s="388">
        <f>L226-L221</f>
        <v>-2082</v>
      </c>
      <c r="M228" s="388">
        <f>M226-M221</f>
        <v>3294</v>
      </c>
      <c r="N228" s="388">
        <f>N226-N221</f>
        <v>-5834</v>
      </c>
      <c r="O228" s="389">
        <f>O226-O221</f>
        <v>-4971</v>
      </c>
      <c r="P228" s="388">
        <f>P226-P221</f>
        <v>4655</v>
      </c>
      <c r="Q228" s="388">
        <f>Q226-Q221</f>
        <v>-8613</v>
      </c>
      <c r="R228" s="388">
        <f>R226-R221</f>
        <v>6002</v>
      </c>
      <c r="S228" s="388">
        <f>S226-S221</f>
        <v>11781</v>
      </c>
      <c r="T228" s="389">
        <f>T226-T221</f>
        <v>13993</v>
      </c>
      <c r="U228" s="388">
        <f>U226-U221</f>
        <v>-12547</v>
      </c>
      <c r="V228" s="388">
        <f>V226-V221</f>
        <v>23470</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75">G219/F219-1</f>
        <v>0.004742342259983268</v>
      </c>
      <c r="H232" s="397">
        <f>H219/G219-1</f>
        <v>-0.03992061370835209</v>
      </c>
      <c r="I232" s="397">
        <f>I219/H219-1</f>
        <v>-0.02089096067618712</v>
      </c>
      <c r="J232" s="398"/>
      <c r="K232" s="397">
        <f>K219/I219-1</f>
        <v>0.0051663016781406945</v>
      </c>
      <c r="L232" s="397">
        <f t="shared" ref="L232:N232" si="376">L219/K219-1</f>
        <v>-0.004255037434699904</v>
      </c>
      <c r="M232" s="397">
        <f>M219/L219-1</f>
        <v>-0.022810654642820394</v>
      </c>
      <c r="N232" s="397">
        <f>N219/M219-1</f>
        <v>0.02868718107314061</v>
      </c>
      <c r="O232" s="398">
        <f>O219/J219-1</f>
        <v>0.006116078450351559</v>
      </c>
      <c r="P232" s="397">
        <f>P219/N219-1</f>
        <v>-0.00924161069790097</v>
      </c>
      <c r="Q232" s="397">
        <f t="shared" ref="Q232:S232" si="377">Q219/P219-1</f>
        <v>0.005504442394523412</v>
      </c>
      <c r="R232" s="397">
        <f>R219/Q219-1</f>
        <v>-0.03130677257171832</v>
      </c>
      <c r="S232" s="397">
        <f>S219/R219-1</f>
        <v>-0.07693026617485799</v>
      </c>
      <c r="T232" s="398">
        <f>T219/O219-1</f>
        <v>-0.10921575583387955</v>
      </c>
      <c r="U232" s="397">
        <f>U219/S219-1</f>
        <v>0.1544728617810447</v>
      </c>
      <c r="V232" s="397">
        <f t="shared" ref="V232:W232" si="378">V219/U219-1</f>
        <v>-0.11681303132710452</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379">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80">F53</f>
        <v>36.36121212121212</v>
      </c>
      <c r="G237" s="370">
        <f>G53</f>
        <v>29.71709717097171</v>
      </c>
      <c r="H237" s="370">
        <f>H53</f>
        <v>24.666253101736974</v>
      </c>
      <c r="I237" s="370">
        <f>I53</f>
        <v>28.65917602996255</v>
      </c>
      <c r="J237" s="127">
        <f>J53</f>
        <v>121.09238451935082</v>
      </c>
      <c r="K237" s="370">
        <f>K53</f>
        <v>41.11030303030303</v>
      </c>
      <c r="L237" s="370">
        <f>L53</f>
        <v>29.07257072570726</v>
      </c>
      <c r="M237" s="370">
        <f>M53</f>
        <v>26.610421836228287</v>
      </c>
      <c r="N237" s="370">
        <f>N53</f>
        <v>18.39700374531835</v>
      </c>
      <c r="O237" s="127">
        <f>O53</f>
        <v>117.02372034956305</v>
      </c>
      <c r="P237" s="370">
        <f>P53</f>
        <v>48.11920529801324</v>
      </c>
      <c r="Q237" s="370">
        <f>Q53</f>
        <v>32.952127659574465</v>
      </c>
      <c r="R237" s="370">
        <f>R53</f>
        <v>31.16223404255319</v>
      </c>
      <c r="S237" s="370">
        <f>S53</f>
        <v>36.719251336898395</v>
      </c>
      <c r="T237" s="127">
        <f>T53</f>
        <v>149.74598930481284</v>
      </c>
      <c r="U237" s="370">
        <f>U53</f>
        <v>58.63091922005571</v>
      </c>
      <c r="V237" s="370">
        <f>V53</f>
        <v>41.95460992907802</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2.3646076405093677</v>
      </c>
      <c r="G238" s="428">
        <f>G239/SUM(F237:G237,C237:D237)</f>
        <v>1.3892607269063206</v>
      </c>
      <c r="H238" s="428">
        <f>H239/SUM(F237:H237,D237)</f>
        <v>1.0542780468178132</v>
      </c>
      <c r="I238" s="429">
        <f>I239/SUM(F237:I237)</f>
        <v>0.9318803704871573</v>
      </c>
      <c r="J238" s="430">
        <f>J239/J237</f>
        <v>0.7763535520704327</v>
      </c>
      <c r="K238" s="429">
        <f>K239/SUM(K237,G237:I237)</f>
        <v>0.8243871730502434</v>
      </c>
      <c r="L238" s="429">
        <f>L239/SUM(K237:L237,H237:I237)</f>
        <v>0.8306324158082868</v>
      </c>
      <c r="M238" s="429">
        <f>M239/SUM(K237:M237,I237)</f>
        <v>0.8641519660646914</v>
      </c>
      <c r="N238" s="429">
        <f>N239/SUM(K237:N237)</f>
        <v>0.9147471671309818</v>
      </c>
      <c r="O238" s="430">
        <f>O239/O237</f>
        <v>0.8896070846019405</v>
      </c>
      <c r="P238" s="429">
        <f>P239/SUM(P237,L237:N237)</f>
        <v>0.8083522535530403</v>
      </c>
      <c r="Q238" s="429">
        <f>Q239/SUM(P237:Q237,M237:N237)</f>
        <v>0.7834785267919582</v>
      </c>
      <c r="R238" s="429">
        <f>R239/SUM(P237:R237,N237)</f>
        <v>1.2955758283445997</v>
      </c>
      <c r="S238" s="429">
        <f>S239/SUM(P237:S237)</f>
        <v>1.4066109296237044</v>
      </c>
      <c r="T238" s="430">
        <f>T239/T237</f>
        <v>1.1240416778297324</v>
      </c>
      <c r="U238" s="429">
        <f>U239/SUM(U237,Q237:S237)</f>
        <v>1.1425738213935872</v>
      </c>
      <c r="V238" s="429">
        <f>V239/SUM(U237:V237,R237:S237)</f>
        <v>1.133258407143554</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81">Z239</f>
        <v>233.18</v>
      </c>
      <c r="AB239" s="435">
        <f>AA239</f>
        <v>233.18</v>
      </c>
      <c r="AC239" s="435">
        <f>AB239</f>
        <v>233.18</v>
      </c>
      <c r="AD239" s="127">
        <f>AVERAGE(Z239:AC239)</f>
        <v>233.18</v>
      </c>
      <c r="AE239" s="436">
        <f>AC239</f>
        <v>233.18</v>
      </c>
      <c r="AF239" s="436">
        <f t="shared" ref="AF239:AG239" si="382">AE239</f>
        <v>233.18</v>
      </c>
      <c r="AG239" s="436">
        <f>AF239</f>
        <v>233.18</v>
      </c>
      <c r="AH239" s="16"/>
      <c r="AI239" s="16"/>
      <c r="AJ239" s="16"/>
      <c r="AK239" s="16"/>
    </row>
    <row r="240" ht="13.5" customHeight="1" spans="1:37" x14ac:dyDescent="0.25">
      <c r="A240" s="264"/>
      <c r="B240" s="16"/>
      <c r="C240" s="139" t="s">
        <v>400</v>
      </c>
      <c r="D240" s="16"/>
      <c r="E240" s="16"/>
      <c r="F240" s="384">
        <f t="shared" ref="F240:I240" si="383">F241/F239</f>
        <v>8.467085368690393</v>
      </c>
      <c r="G240" s="384">
        <f>G241/G239</f>
        <v>12.178649237472767</v>
      </c>
      <c r="H240" s="384">
        <f>H241/H239</f>
        <v>6.815093550747361</v>
      </c>
      <c r="I240" s="384">
        <f>I241/I239</f>
        <v>4.844072975644826</v>
      </c>
      <c r="J240" s="162">
        <f t="shared" ref="J240:J241" si="384">SUM(F240:I240)</f>
        <v>32.304901132555344</v>
      </c>
      <c r="K240" s="384">
        <f t="shared" ref="K240:N240" si="385">K241/K239</f>
        <v>8.070346849047388</v>
      </c>
      <c r="L240" s="384">
        <f>L241/L239</f>
        <v>18.949215323130908</v>
      </c>
      <c r="M240" s="384">
        <f>M241/M239</f>
        <v>8.108108108108109</v>
      </c>
      <c r="N240" s="437">
        <f>N241/N239</f>
        <v>6.301603872069848</v>
      </c>
      <c r="O240" s="162">
        <f t="shared" ref="O240:O241" si="386">SUM(K240:N240)</f>
        <v>41.42927415235626</v>
      </c>
      <c r="P240" s="384">
        <f t="shared" ref="P240:S240" si="387">P241/P239</f>
        <v>9.77930755213606</v>
      </c>
      <c r="Q240" s="384">
        <f>Q241/Q239</f>
        <v>1e-12</v>
      </c>
      <c r="R240" s="437">
        <f>R241/R239</f>
        <v>3.320692447863939</v>
      </c>
      <c r="S240" s="384">
        <f>S241/S239</f>
        <v>16.4329036978314</v>
      </c>
      <c r="T240" s="162">
        <f t="shared" ref="T240:T241" si="388">SUM(P240:S240)</f>
        <v>29.5329036978324</v>
      </c>
      <c r="U240" s="384">
        <f>U241/U239</f>
        <v>16.67398463227223</v>
      </c>
      <c r="V240" s="384">
        <f>33.1-U240</f>
        <v>16.42601536772777</v>
      </c>
      <c r="W240" s="437">
        <f t="shared" ref="W240:X240" si="389">W241/W239</f>
        <v>13.689447008390864</v>
      </c>
      <c r="X240" s="359">
        <f>X241/X239</f>
        <v>2.1442662320953767</v>
      </c>
      <c r="Y240" s="162">
        <f t="shared" ref="Y240:Y241" si="390">SUM(U240:X240)</f>
        <v>48.93371324048624</v>
      </c>
      <c r="Z240" s="359">
        <f t="shared" ref="Z240:AC240" si="391">Z241/Z239</f>
        <v>2.1442662320953767</v>
      </c>
      <c r="AA240" s="359">
        <f>AA241/AA239</f>
        <v>2.1442662320953767</v>
      </c>
      <c r="AB240" s="359">
        <f>AB241/AB239</f>
        <v>2.1442662320953767</v>
      </c>
      <c r="AC240" s="359">
        <f>AC241/AC239</f>
        <v>2.1442662320953767</v>
      </c>
      <c r="AD240" s="162">
        <f t="shared" ref="AD240:AD241" si="392">SUM(Z240:AC240)</f>
        <v>8.577064928381507</v>
      </c>
      <c r="AE240" s="162">
        <f t="shared" ref="AE240:AG240" si="393">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394">Z272</f>
        <v>500</v>
      </c>
      <c r="AA241" s="359">
        <f>AA272</f>
        <v>500</v>
      </c>
      <c r="AB241" s="359">
        <f>AB272</f>
        <v>500</v>
      </c>
      <c r="AC241" s="359">
        <f>AC272</f>
        <v>500</v>
      </c>
      <c r="AD241" s="162">
        <f>SUM(Z241:AC241)</f>
        <v>2000</v>
      </c>
      <c r="AE241" s="162">
        <f t="shared" ref="AE241:AG241" si="395">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396">Y247</f>
        <v>394.3</v>
      </c>
      <c r="AA244" s="281">
        <f>Z247</f>
        <v>454.834</v>
      </c>
      <c r="AB244" s="281">
        <f>AA247</f>
        <v>523.84276</v>
      </c>
      <c r="AC244" s="281">
        <f>AB247</f>
        <v>584.5704688</v>
      </c>
      <c r="AD244" s="282">
        <f>Y247</f>
        <v>394.3</v>
      </c>
      <c r="AE244" s="282">
        <f t="shared" ref="AE244:AG244" si="397">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98">SUM(F245:I245)</f>
        <v>1e-12</v>
      </c>
      <c r="K245" s="413">
        <v>0</v>
      </c>
      <c r="L245" s="413">
        <v>0</v>
      </c>
      <c r="M245" s="413">
        <v>0</v>
      </c>
      <c r="N245" s="443">
        <v>0</v>
      </c>
      <c r="O245" s="329">
        <f t="shared" ref="O245:O246" si="399">SUM(K245:N245)</f>
        <v>1e-12</v>
      </c>
      <c r="P245" s="413">
        <v>0</v>
      </c>
      <c r="Q245" s="413">
        <v>0</v>
      </c>
      <c r="R245" s="443">
        <v>0</v>
      </c>
      <c r="S245" s="413">
        <v>0</v>
      </c>
      <c r="T245" s="329">
        <f t="shared" ref="T245:T246" si="400">SUM(P245:S245)</f>
        <v>1e-12</v>
      </c>
      <c r="U245" s="413">
        <v>0</v>
      </c>
      <c r="V245" s="413">
        <v>0</v>
      </c>
      <c r="W245" s="443">
        <v>0</v>
      </c>
      <c r="X245" s="330">
        <f>X271*X239</f>
        <v>0</v>
      </c>
      <c r="Y245" s="329">
        <f t="shared" ref="Y245:Y246" si="401">SUM(U245:X245)</f>
        <v>0</v>
      </c>
      <c r="Z245" s="330">
        <f t="shared" ref="Z245:AC245" si="402">Z271*Z239</f>
        <v>0</v>
      </c>
      <c r="AA245" s="330">
        <f>AA271*AA239</f>
      </c>
      <c r="AB245" s="330">
        <f>AB271*AB239</f>
      </c>
      <c r="AC245" s="330">
        <f>AC271*AC239</f>
      </c>
      <c r="AD245" s="329">
        <f t="shared" ref="AD245:AD246" si="403">SUM(Z245:AC245)</f>
        <v>0</v>
      </c>
      <c r="AE245" s="329">
        <f t="shared" ref="AE245:AG245" si="404">AE271*AE239</f>
        <v>0</v>
      </c>
      <c r="AF245" s="329">
        <f>AF271*AF239</f>
      </c>
      <c r="AG245" s="329">
        <f>AG271*AG239</f>
      </c>
      <c r="AH245" s="16"/>
      <c r="AI245" s="16"/>
      <c r="AJ245" s="16"/>
      <c r="AK245" s="16"/>
    </row>
    <row r="246" ht="13.5" customHeight="1" spans="1:37" x14ac:dyDescent="0.25">
      <c r="A246" s="264"/>
      <c r="B246" s="16"/>
      <c r="C246" s="139" t="s">
        <v>405</v>
      </c>
      <c r="D246" s="16"/>
      <c r="E246" s="16"/>
      <c r="F246" s="354">
        <v>24</v>
      </c>
      <c r="G246" s="354">
        <f>62-F246</f>
        <v>38</v>
      </c>
      <c r="H246" s="354">
        <f>79-SUM(F246:G246)</f>
        <v>17</v>
      </c>
      <c r="I246" s="354">
        <v>-5</v>
      </c>
      <c r="J246" s="355">
        <f>SUM(F246:I246)</f>
        <v>74</v>
      </c>
      <c r="K246" s="354">
        <v>42</v>
      </c>
      <c r="L246" s="354">
        <f>51-K246</f>
        <v>9</v>
      </c>
      <c r="M246" s="354">
        <v>24</v>
      </c>
      <c r="N246" s="367">
        <f>98-SUM(K246:M246)</f>
        <v>23</v>
      </c>
      <c r="O246" s="355">
        <f>SUM(K246:N246)</f>
        <v>98</v>
      </c>
      <c r="P246" s="354">
        <v>27</v>
      </c>
      <c r="Q246" s="354">
        <v>37</v>
      </c>
      <c r="R246" s="367">
        <v>43</v>
      </c>
      <c r="S246" s="354">
        <f>98-SUM(P246:R246)</f>
        <v>-9</v>
      </c>
      <c r="T246" s="355">
        <f>SUM(P246:S246)</f>
        <v>98</v>
      </c>
      <c r="U246" s="354">
        <v>54</v>
      </c>
      <c r="V246" s="354">
        <f>115-U246</f>
        <v>61</v>
      </c>
      <c r="W246" s="367">
        <f>169-SUM(U246:V246)</f>
        <v>54</v>
      </c>
      <c r="X246" s="356">
        <f>X249*X28</f>
        <v>51.3</v>
      </c>
      <c r="Y246" s="355">
        <f>SUM(U246:X246)</f>
        <v>220.3</v>
      </c>
      <c r="Z246" s="356">
        <f t="shared" ref="Z246:AC246" si="405">Z249*Z28</f>
        <v>60.534</v>
      </c>
      <c r="AA246" s="356">
        <f>AA249*AA28</f>
        <v>69.00876</v>
      </c>
      <c r="AB246" s="356">
        <f>AB249*AB28</f>
        <v>60.7277088</v>
      </c>
      <c r="AC246" s="356">
        <f>AC249*AC28</f>
        <v>57.69132336</v>
      </c>
      <c r="AD246" s="355">
        <f>SUM(Z246:AC246)</f>
        <v>247.96179216000002</v>
      </c>
      <c r="AE246" s="355">
        <f t="shared" ref="AE246:AG246" si="406">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07">F147</f>
        <v>66399</v>
      </c>
      <c r="G247" s="353">
        <f>G147</f>
        <v>69568</v>
      </c>
      <c r="H247" s="353">
        <f>H147</f>
        <v>70667</v>
      </c>
      <c r="I247" s="353">
        <f>I147</f>
        <v>73812</v>
      </c>
      <c r="J247" s="282">
        <f>J147</f>
        <v>73812</v>
      </c>
      <c r="K247" s="353">
        <f>K147</f>
        <v>75236</v>
      </c>
      <c r="L247" s="353">
        <f>L147</f>
        <v>78815</v>
      </c>
      <c r="M247" s="353">
        <f>M147</f>
        <v>79850</v>
      </c>
      <c r="N247" s="444">
        <f>N147</f>
        <v>83276</v>
      </c>
      <c r="O247" s="282">
        <f>O147</f>
        <v>83276</v>
      </c>
      <c r="P247" s="353">
        <f>P147</f>
        <v>84768</v>
      </c>
      <c r="Q247" s="353">
        <f>Q147</f>
        <v>88711</v>
      </c>
      <c r="R247" s="444">
        <f>R147</f>
        <v>89806</v>
      </c>
      <c r="S247" s="353">
        <f>S147</f>
        <v>93568</v>
      </c>
      <c r="T247" s="282">
        <f>T147</f>
        <v>93568</v>
      </c>
      <c r="U247" s="353">
        <f>U147</f>
        <v>95221</v>
      </c>
      <c r="V247" s="353">
        <f>V147</f>
        <v>99507</v>
      </c>
      <c r="W247" s="444">
        <f>W147</f>
        <v>343</v>
      </c>
      <c r="X247" s="281">
        <f>SUM(X244:X246)</f>
        <v>394.3</v>
      </c>
      <c r="Y247" s="282">
        <f>X247</f>
        <v>394.3</v>
      </c>
      <c r="Z247" s="281">
        <f t="shared" ref="Z247:AG247" si="408">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9">F246/F28</f>
        <v>0.00020485856223432405</v>
      </c>
      <c r="G249" s="445">
        <f>G246/G28</f>
        <v>0.00040069172044371337</v>
      </c>
      <c r="H249" s="445">
        <f>H246/H28</f>
        <v>0.00020783158306539358</v>
      </c>
      <c r="I249" s="445">
        <f>I246/I28</f>
        <v>-0.000055867170216094216</v>
      </c>
      <c r="J249" s="446">
        <f>J246/J28</f>
        <v>0.00019306782159489674</v>
      </c>
      <c r="K249" s="445">
        <f>K246/K28</f>
        <v>0.00035124398912816224</v>
      </c>
      <c r="L249" s="445">
        <f>L246/L28</f>
        <v>0.00009917027536279793</v>
      </c>
      <c r="M249" s="445">
        <f>M246/M28</f>
        <v>0.0002797952831178521</v>
      </c>
      <c r="N249" s="447">
        <f>N246/N28</f>
        <v>0.00024228378805435583</v>
      </c>
      <c r="O249" s="446">
        <f>O246/O28</f>
        <v>0.00025061695244671194</v>
      </c>
      <c r="P249" s="445">
        <f>P246/P28</f>
        <v>0.0002172164119066774</v>
      </c>
      <c r="Q249" s="445">
        <f>Q246/Q28</f>
        <v>0.00038800742457450267</v>
      </c>
      <c r="R249" s="447">
        <f>R246/R28</f>
        <v>0.00045727168318516315</v>
      </c>
      <c r="S249" s="445">
        <f>S246/S28</f>
        <v>-0.000087834013233658</v>
      </c>
      <c r="T249" s="446">
        <f>T246/T28</f>
        <v>0.00023548578554934268</v>
      </c>
      <c r="U249" s="445">
        <f>U246/U28</f>
        <v>0.0003756364951723754</v>
      </c>
      <c r="V249" s="445">
        <f>V246/V28</f>
        <v>0.0005486400920995827</v>
      </c>
      <c r="W249" s="447">
        <f>W246/W28</f>
        <v>0.0023562265468190942</v>
      </c>
      <c r="X249" s="448">
        <f>W249</f>
        <v>0.0023562265468190942</v>
      </c>
      <c r="Y249" s="446">
        <f>Y246/Y28</f>
        <v>0.0022786017266898423</v>
      </c>
      <c r="Z249" s="448">
        <f>X249</f>
        <v>0.0023562265468190942</v>
      </c>
      <c r="AA249" s="448">
        <f t="shared" ref="AA249:AC249" si="410">Z249</f>
        <v>0.0023562265468190942</v>
      </c>
      <c r="AB249" s="448">
        <f>AA249</f>
        <v>0.0023562265468190942</v>
      </c>
      <c r="AC249" s="448">
        <f>AB249</f>
        <v>0.0023562265468190942</v>
      </c>
      <c r="AD249" s="446">
        <f>AD246/AD28</f>
        <v>0.0023562265468190947</v>
      </c>
      <c r="AE249" s="449">
        <f>AC249</f>
        <v>0.0023562265468190942</v>
      </c>
      <c r="AF249" s="449">
        <f t="shared" ref="AF249:AG249" si="411">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12">E256</f>
        <v>1e-12</v>
      </c>
      <c r="G252" s="353">
        <f>F256</f>
        <v>3240</v>
      </c>
      <c r="H252" s="353">
        <f>G256</f>
        <v>4336</v>
      </c>
      <c r="I252" s="353">
        <f>H256</f>
        <v>1408</v>
      </c>
      <c r="J252" s="282">
        <f>F252</f>
        <v>1e-12</v>
      </c>
      <c r="K252" s="353">
        <f t="shared" ref="K252:N252" si="413">J256</f>
        <v>-214</v>
      </c>
      <c r="L252" s="353">
        <f>K256</f>
        <v>8242</v>
      </c>
      <c r="M252" s="353">
        <f>L256</f>
        <v>4339</v>
      </c>
      <c r="N252" s="444">
        <f>M256</f>
        <v>-4726</v>
      </c>
      <c r="O252" s="282">
        <f>K252</f>
        <v>-214</v>
      </c>
      <c r="P252" s="353">
        <f t="shared" ref="P252:S252" si="414">O256</f>
        <v>-19154</v>
      </c>
      <c r="Q252" s="353">
        <f>P256</f>
        <v>-11221</v>
      </c>
      <c r="R252" s="444">
        <f>Q256</f>
        <v>-15552</v>
      </c>
      <c r="S252" s="353">
        <f>R256</f>
        <v>-17607</v>
      </c>
      <c r="T252" s="282">
        <f>P252</f>
        <v>-19154</v>
      </c>
      <c r="U252" s="353">
        <f t="shared" ref="U252:X252" si="415">T256</f>
        <v>-14264</v>
      </c>
      <c r="V252" s="353">
        <f>U256</f>
        <v>-2177</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16">F45</f>
        <v>29998</v>
      </c>
      <c r="G253" s="384">
        <f>G45</f>
        <v>24160</v>
      </c>
      <c r="H253" s="384">
        <f>H45</f>
        <v>19881</v>
      </c>
      <c r="I253" s="384">
        <f>I45</f>
        <v>22956</v>
      </c>
      <c r="J253" s="162">
        <f t="shared" ref="J253:J255" si="417">SUM(F253:I253)</f>
        <v>96995</v>
      </c>
      <c r="K253" s="384">
        <f t="shared" ref="K253:N253" si="418">K45</f>
        <v>33916</v>
      </c>
      <c r="L253" s="384">
        <f>L45</f>
        <v>23636</v>
      </c>
      <c r="M253" s="384">
        <f>M45</f>
        <v>21448</v>
      </c>
      <c r="N253" s="437">
        <f>N45</f>
        <v>14736</v>
      </c>
      <c r="O253" s="162">
        <f t="shared" ref="O253:O255" si="419">SUM(K253:N253)</f>
        <v>93736</v>
      </c>
      <c r="P253" s="384">
        <f t="shared" ref="P253:S253" si="420">P45</f>
        <v>36330</v>
      </c>
      <c r="Q253" s="384">
        <f>Q45</f>
        <v>24780</v>
      </c>
      <c r="R253" s="437">
        <f>R45</f>
        <v>23434</v>
      </c>
      <c r="S253" s="384">
        <f>S45</f>
        <v>27466</v>
      </c>
      <c r="T253" s="162">
        <f t="shared" ref="T253:T255" si="421">SUM(P253:S253)</f>
        <v>112010</v>
      </c>
      <c r="U253" s="384">
        <f t="shared" ref="U253:X253" si="422">U45</f>
        <v>42097</v>
      </c>
      <c r="V253" s="384">
        <f>V45</f>
        <v>29578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-3768</v>
      </c>
      <c r="G254" s="438">
        <v>-3650</v>
      </c>
      <c r="H254" s="358">
        <v>-3849</v>
      </c>
      <c r="I254" s="358">
        <v>-3758</v>
      </c>
      <c r="J254" s="162">
        <f>SUM(F254:I254)</f>
        <v>-15025</v>
      </c>
      <c r="K254" s="358">
        <v>-3825</v>
      </c>
      <c r="L254" s="358">
        <v>-3710</v>
      </c>
      <c r="M254" s="358">
        <v>-3895</v>
      </c>
      <c r="N254" s="438">
        <v>-3804</v>
      </c>
      <c r="O254" s="162">
        <f>SUM(K254:N254)</f>
        <v>-15234</v>
      </c>
      <c r="P254" s="358">
        <v>-3856</v>
      </c>
      <c r="Q254" s="358">
        <v>-3758</v>
      </c>
      <c r="R254" s="438">
        <v>-3945</v>
      </c>
      <c r="S254" s="358">
        <v>-3862</v>
      </c>
      <c r="T254" s="162">
        <f>SUM(P254:S254)</f>
        <v>-15421</v>
      </c>
      <c r="U254" s="358">
        <v>-3921</v>
      </c>
      <c r="V254" s="358">
        <f>-870-U254</f>
        <v>3051</v>
      </c>
      <c r="W254" s="438">
        <f>-1433-SUM(U254:V254)</f>
        <v>-563</v>
      </c>
      <c r="X254" s="359">
        <f>-X267</f>
        <v>-519.8</v>
      </c>
      <c r="Y254" s="162">
        <f>SUM(U254:X254)</f>
        <v>-1952.8</v>
      </c>
      <c r="Z254" s="359">
        <f t="shared" ref="Z254:AC254" si="423">-Z267</f>
        <v>-505.99999999999994</v>
      </c>
      <c r="AA254" s="359">
        <f>-AA267</f>
        <v>-494.49999999999994</v>
      </c>
      <c r="AB254" s="359">
        <f>-AB267</f>
        <v>-647.4499999999999</v>
      </c>
      <c r="AC254" s="359">
        <f>-AC267</f>
        <v>-597.7699999999999</v>
      </c>
      <c r="AD254" s="162">
        <f>SUM(Z254:AC254)</f>
        <v>-2245.72</v>
      </c>
      <c r="AE254" s="162">
        <f t="shared" ref="AE254:AG254" si="424">-AE267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25">F256-SUM(F252:F254)</f>
        <v>-22990</v>
      </c>
      <c r="G255" s="372">
        <f>G256-SUM(G252:G254)</f>
        <v>-19414</v>
      </c>
      <c r="H255" s="372">
        <f>H256-SUM(H252:H254)</f>
        <v>-18960</v>
      </c>
      <c r="I255" s="372">
        <f>I256-SUM(I252:I254)</f>
        <v>-20820</v>
      </c>
      <c r="J255" s="355">
        <f>SUM(F255:I255)</f>
        <v>-82184</v>
      </c>
      <c r="K255" s="372">
        <f t="shared" ref="K255:N255" si="426">K256-SUM(K252:K254)</f>
        <v>-21635</v>
      </c>
      <c r="L255" s="372">
        <f>L256-SUM(L252:L254)</f>
        <v>-23829</v>
      </c>
      <c r="M255" s="372">
        <f>M256-SUM(M252:M254)</f>
        <v>-26618</v>
      </c>
      <c r="N255" s="450">
        <f>N256-SUM(N252:N254)</f>
        <v>-25360</v>
      </c>
      <c r="O255" s="355">
        <f>SUM(K255:N255)</f>
        <v>-97442</v>
      </c>
      <c r="P255" s="372">
        <f t="shared" ref="P255:S255" si="427">P256-SUM(P252:P254)</f>
        <v>-24541</v>
      </c>
      <c r="Q255" s="372">
        <f>Q256-SUM(Q252:Q254)</f>
        <v>-25353</v>
      </c>
      <c r="R255" s="450">
        <f>R256-SUM(R252:R254)</f>
        <v>-21544</v>
      </c>
      <c r="S255" s="372">
        <f>S256-SUM(S252:S254)</f>
        <v>-20261</v>
      </c>
      <c r="T255" s="355">
        <f>SUM(P255:S255)</f>
        <v>-91699</v>
      </c>
      <c r="U255" s="372">
        <f t="shared" ref="U255:W255" si="428">U256-SUM(U252:U254)</f>
        <v>-26089</v>
      </c>
      <c r="V255" s="372">
        <f>V256-SUM(V252:V254)</f>
        <v>-18093</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9">F148</f>
        <v>3240</v>
      </c>
      <c r="G256" s="353">
        <f>G148</f>
        <v>4336</v>
      </c>
      <c r="H256" s="353">
        <f>H148</f>
        <v>1408</v>
      </c>
      <c r="I256" s="353">
        <f>I148</f>
        <v>-214</v>
      </c>
      <c r="J256" s="282">
        <f>J148</f>
        <v>-214</v>
      </c>
      <c r="K256" s="353">
        <f>K148</f>
        <v>8242</v>
      </c>
      <c r="L256" s="353">
        <f>L148</f>
        <v>4339</v>
      </c>
      <c r="M256" s="353">
        <f>M148</f>
        <v>-4726</v>
      </c>
      <c r="N256" s="444">
        <f>N148</f>
        <v>-19154</v>
      </c>
      <c r="O256" s="282">
        <f>O148</f>
        <v>-19154</v>
      </c>
      <c r="P256" s="353">
        <f>P148</f>
        <v>-11221</v>
      </c>
      <c r="Q256" s="353">
        <f>Q148</f>
        <v>-15552</v>
      </c>
      <c r="R256" s="444">
        <f>R148</f>
        <v>-17607</v>
      </c>
      <c r="S256" s="353">
        <f>S148</f>
        <v>-14264</v>
      </c>
      <c r="T256" s="282">
        <f>T148</f>
        <v>-14264</v>
      </c>
      <c r="U256" s="353">
        <f>U148</f>
        <v>-2177</v>
      </c>
      <c r="V256" s="353">
        <f>V148</f>
        <v>12359</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30">E261</f>
        <v>1e-12</v>
      </c>
      <c r="G259" s="353">
        <f>F261</f>
        <v>-12912</v>
      </c>
      <c r="H259" s="353">
        <f>G261</f>
        <v>-11746</v>
      </c>
      <c r="I259" s="353">
        <f>H261</f>
        <v>-11801</v>
      </c>
      <c r="J259" s="282">
        <f>F259</f>
        <v>1e-12</v>
      </c>
      <c r="K259" s="353">
        <f t="shared" ref="K259:N259" si="431">J261</f>
        <v>1389.000000000001</v>
      </c>
      <c r="L259" s="353">
        <f>K261</f>
        <v>-9378</v>
      </c>
      <c r="M259" s="353">
        <f>L261</f>
        <v>-8960</v>
      </c>
      <c r="N259" s="444">
        <f>M261</f>
        <v>-8416</v>
      </c>
      <c r="O259" s="282">
        <f>K259</f>
        <v>1389.000000000001</v>
      </c>
      <c r="P259" s="353">
        <f t="shared" ref="P259:S259" si="432">O261</f>
        <v>-7171.999999999999</v>
      </c>
      <c r="Q259" s="353">
        <f>P261</f>
        <v>-6789</v>
      </c>
      <c r="R259" s="353">
        <f>Q261</f>
        <v>-6363</v>
      </c>
      <c r="S259" s="353">
        <f>R261</f>
        <v>-6369</v>
      </c>
      <c r="T259" s="282">
        <f>P259</f>
        <v>-7171.999999999999</v>
      </c>
      <c r="U259" s="353">
        <f t="shared" ref="U259:X259" si="433">T261</f>
        <v>-5571</v>
      </c>
      <c r="V259" s="353">
        <f>U261</f>
        <v>-4854</v>
      </c>
      <c r="W259" s="353">
        <f>V261</f>
        <v>-65</v>
      </c>
      <c r="X259" s="281">
        <f>W261</f>
        <v>-6</v>
      </c>
      <c r="Y259" s="282">
        <f>T261</f>
        <v>-136</v>
      </c>
      <c r="Z259" s="281">
        <f t="shared" ref="Z259:AC259" si="434">Y261</f>
        <v>-6</v>
      </c>
      <c r="AA259" s="281">
        <f>Z261</f>
        <v>-6</v>
      </c>
      <c r="AB259" s="281">
        <f>AA261</f>
        <v>-6</v>
      </c>
      <c r="AC259" s="281">
        <f>AB261</f>
        <v>-6</v>
      </c>
      <c r="AD259" s="282">
        <f>Y261</f>
        <v>-6</v>
      </c>
      <c r="AE259" s="282">
        <f t="shared" ref="AE259:AG259" si="435">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36">F261-F259</f>
        <v>-71</v>
      </c>
      <c r="G260" s="372">
        <f>G261-G259</f>
        <v>1166</v>
      </c>
      <c r="H260" s="372">
        <f>H261-H259</f>
        <v>-55</v>
      </c>
      <c r="I260" s="372">
        <f>I261-I259</f>
        <v>349</v>
      </c>
      <c r="J260" s="355">
        <f>SUM(F260:I260)</f>
        <v>1389</v>
      </c>
      <c r="K260" s="372">
        <f t="shared" ref="K260:N260" si="437">K261-K259</f>
        <v>-10767</v>
      </c>
      <c r="L260" s="372">
        <f>L261-L259</f>
        <v>418</v>
      </c>
      <c r="M260" s="372">
        <f>M261-M259</f>
        <v>544</v>
      </c>
      <c r="N260" s="450">
        <f>N261-N259</f>
        <v>1244</v>
      </c>
      <c r="O260" s="355">
        <f>SUM(K260:N260)</f>
        <v>-8561</v>
      </c>
      <c r="P260" s="372">
        <f t="shared" ref="P260:S260" si="438">P261-P259</f>
        <v>382.9999999999991</v>
      </c>
      <c r="Q260" s="372">
        <f>Q261-Q259</f>
        <v>426</v>
      </c>
      <c r="R260" s="372">
        <f>R261-R259</f>
        <v>-6</v>
      </c>
      <c r="S260" s="372">
        <f>S261-S259</f>
        <v>798</v>
      </c>
      <c r="T260" s="355">
        <f>SUM(P260:S260)</f>
        <v>1600.999999999999</v>
      </c>
      <c r="U260" s="372">
        <f t="shared" ref="U260:W260" si="439">U261-U259</f>
        <v>717</v>
      </c>
      <c r="V260" s="372">
        <f>V261-V259</f>
        <v>-521</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40">F150</f>
        <v>-12912</v>
      </c>
      <c r="G261" s="353">
        <f>G150</f>
        <v>-11746</v>
      </c>
      <c r="H261" s="353">
        <f>H150</f>
        <v>-11801</v>
      </c>
      <c r="I261" s="353">
        <f>I150</f>
        <v>-11452</v>
      </c>
      <c r="J261" s="282">
        <f>SUM(J259:J260)</f>
        <v>1389.000000000001</v>
      </c>
      <c r="K261" s="353">
        <f t="shared" ref="K261:N261" si="441">K150</f>
        <v>-9378</v>
      </c>
      <c r="L261" s="353">
        <f>L150</f>
        <v>-8960</v>
      </c>
      <c r="M261" s="353">
        <f>M150</f>
        <v>-8416</v>
      </c>
      <c r="N261" s="353">
        <f>N150</f>
        <v>-7172</v>
      </c>
      <c r="O261" s="282">
        <f>SUM(O259:O260)</f>
        <v>-7171.999999999999</v>
      </c>
      <c r="P261" s="353">
        <f t="shared" ref="P261:S261" si="442">P150</f>
        <v>-6789</v>
      </c>
      <c r="Q261" s="353">
        <f>Q150</f>
        <v>-6363</v>
      </c>
      <c r="R261" s="353">
        <f>R150</f>
        <v>-6369</v>
      </c>
      <c r="S261" s="353">
        <f>S150</f>
        <v>-5571</v>
      </c>
      <c r="T261" s="282">
        <f>SUM(T259:T260)</f>
        <v>-5571</v>
      </c>
      <c r="U261" s="353">
        <f t="shared" ref="U261:W261" si="443">U150</f>
        <v>-4854</v>
      </c>
      <c r="V261" s="353">
        <f>V150</f>
        <v>-5375</v>
      </c>
      <c r="W261" s="353">
        <f>W150</f>
        <v>-6</v>
      </c>
      <c r="X261" s="281">
        <f t="shared" ref="X261:AG261" si="444">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45">F267/F266</f>
        <v>4.567272727272727</v>
      </c>
      <c r="G264" s="370">
        <f>G267/G266</f>
        <v>4.4895448954489545</v>
      </c>
      <c r="H264" s="370">
        <f>H267/H266</f>
        <v>4.7754342431761785</v>
      </c>
      <c r="I264" s="370">
        <f>I267/I266</f>
        <v>4.6916354556804</v>
      </c>
      <c r="J264" s="127">
        <f>J267/J266</f>
        <v>18.757802746566792</v>
      </c>
      <c r="K264" s="370">
        <f>K267/K266</f>
        <v>4.636363636363637</v>
      </c>
      <c r="L264" s="370">
        <f>L267/L266</f>
        <v>4.5633456334563345</v>
      </c>
      <c r="M264" s="370">
        <f>M267/M266</f>
        <v>4.832506203473946</v>
      </c>
      <c r="N264" s="370">
        <f>N267/N266</f>
        <v>4.749063670411985</v>
      </c>
      <c r="O264" s="127">
        <f>O267/O266</f>
        <v>19.0187265917603</v>
      </c>
      <c r="P264" s="370">
        <f>P267/P266</f>
        <v>5.107284768211921</v>
      </c>
      <c r="Q264" s="370">
        <f>Q267/Q266</f>
        <v>4.997340425531915</v>
      </c>
      <c r="R264" s="370">
        <f>R267/R266</f>
        <v>5.246010638297872</v>
      </c>
      <c r="S264" s="370">
        <f>S267/S266</f>
        <v>5.163101604278075</v>
      </c>
      <c r="T264" s="127">
        <f>T267/T266</f>
        <v>20.61631016042781</v>
      </c>
      <c r="U264" s="370">
        <f>U267/U266</f>
        <v>5.46100278551532</v>
      </c>
      <c r="V264" s="370">
        <f>V267/V266</f>
        <v>-4.327659574468085</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46">4*F264/F239</f>
        <v>0.21248070375774492</v>
      </c>
      <c r="G265" s="397">
        <f>4*G264/G239</f>
        <v>0.19562287126139236</v>
      </c>
      <c r="H265" s="397">
        <f>4*H264/H239</f>
        <v>0.19966276756250353</v>
      </c>
      <c r="I265" s="397">
        <f>4*I264/I239</f>
        <v>0.16865769589935825</v>
      </c>
      <c r="J265" s="398">
        <f>J264/J239</f>
        <v>0.19952879920705144</v>
      </c>
      <c r="K265" s="397">
        <f t="shared" ref="K265:N265" si="447">4*K264/K239</f>
        <v>0.1811964293644802</v>
      </c>
      <c r="L265" s="397">
        <f>4*L264/L239</f>
        <v>0.17792555350253764</v>
      </c>
      <c r="M265" s="397">
        <f>4*M264/M239</f>
        <v>0.17830481333729162</v>
      </c>
      <c r="N265" s="397">
        <f>4*N264/N239</f>
        <v>0.1802814338203278</v>
      </c>
      <c r="O265" s="398">
        <f>O264/O239</f>
        <v>0.1826876971942373</v>
      </c>
      <c r="P265" s="397">
        <f t="shared" ref="P265:S265" si="448">4*P264/P239</f>
        <v>0.20681452796970726</v>
      </c>
      <c r="Q265" s="397">
        <f>4*Q264/Q239</f>
        <v>0.20236243877432333</v>
      </c>
      <c r="R265" s="397">
        <f>4*R264/R239</f>
        <v>0.12398852603565572</v>
      </c>
      <c r="S265" s="397">
        <f>4*S264/S239</f>
        <v>0.09857072488553054</v>
      </c>
      <c r="T265" s="398">
        <f>T264/T239</f>
        <v>0.12248229784199104</v>
      </c>
      <c r="U265" s="397">
        <f t="shared" ref="U265:W265" si="449">4*U264/U239</f>
        <v>0.1198902916688325</v>
      </c>
      <c r="V265" s="397">
        <f>4*V264/V239</f>
        <v>-0.09067117688329973</v>
      </c>
      <c r="W265" s="397">
        <f>4*W264/W239</f>
        <v>0.015815639175527117</v>
      </c>
      <c r="X265" s="399">
        <f>X264*4/X239</f>
        <v>0.013255607773099433</v>
      </c>
      <c r="Y265" s="398">
        <f>Y264/Y239</f>
        <v>0.014445001368382868</v>
      </c>
      <c r="Z265" s="399">
        <f t="shared" ref="Z265:AC265" si="450">Z264*4/Z239</f>
        <v>0.012944953224338555</v>
      </c>
      <c r="AA265" s="399">
        <f>AA264*4/AA239</f>
        <v>0.012691334904192815</v>
      </c>
      <c r="AB265" s="399">
        <f>AB264*4/AB239</f>
        <v>0.01667027459747688</v>
      </c>
      <c r="AC265" s="399">
        <f>AC264*4/AC239</f>
        <v>0.015440830034318303</v>
      </c>
      <c r="AD265" s="398">
        <f t="shared" ref="AD265:AG265" si="451">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52">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53">-F254</f>
        <v>3768</v>
      </c>
      <c r="G267" s="353">
        <f>-G254</f>
        <v>3650</v>
      </c>
      <c r="H267" s="353">
        <f>-H254</f>
        <v>3849</v>
      </c>
      <c r="I267" s="353">
        <f>-I254</f>
        <v>3758</v>
      </c>
      <c r="J267" s="282">
        <f>SUM(F267:I267)</f>
        <v>15025</v>
      </c>
      <c r="K267" s="353">
        <f t="shared" ref="K267:N267" si="454">-K254</f>
        <v>3825</v>
      </c>
      <c r="L267" s="353">
        <f>-L254</f>
        <v>3710</v>
      </c>
      <c r="M267" s="353">
        <f>-M254</f>
        <v>3895</v>
      </c>
      <c r="N267" s="353">
        <f>-N254</f>
        <v>3804</v>
      </c>
      <c r="O267" s="282">
        <f>SUM(K267:N267)</f>
        <v>15234</v>
      </c>
      <c r="P267" s="353">
        <f t="shared" ref="P267:S267" si="455">-P254</f>
        <v>3856</v>
      </c>
      <c r="Q267" s="353">
        <f>-Q254</f>
        <v>3758</v>
      </c>
      <c r="R267" s="353">
        <f>-R254</f>
        <v>3945</v>
      </c>
      <c r="S267" s="353">
        <f>-S254</f>
        <v>3862</v>
      </c>
      <c r="T267" s="282">
        <f>SUM(P267:S267)</f>
        <v>15421</v>
      </c>
      <c r="U267" s="353">
        <f t="shared" ref="U267:W267" si="456">-U254</f>
        <v>3921</v>
      </c>
      <c r="V267" s="353">
        <f>-V254</f>
        <v>-3051</v>
      </c>
      <c r="W267" s="353">
        <f>-W254</f>
        <v>563</v>
      </c>
      <c r="X267" s="281">
        <f>S267*(1+X273)</f>
        <v>519.8</v>
      </c>
      <c r="Y267" s="282">
        <f>SUM(U267:X267)</f>
        <v>1952.8</v>
      </c>
      <c r="Z267" s="281">
        <f t="shared" ref="Z267:AC267" si="457">U267*(1+Z273)</f>
        <v>505.99999999999994</v>
      </c>
      <c r="AA267" s="281">
        <f>V267*(1+AA273)</f>
        <v>494.49999999999994</v>
      </c>
      <c r="AB267" s="281">
        <f>W267*(1+AB273)</f>
        <v>647.4499999999999</v>
      </c>
      <c r="AC267" s="281">
        <f>X267*(1+AC273)</f>
        <v>597.7699999999999</v>
      </c>
      <c r="AD267" s="282">
        <f>SUM(Z267:AC267)</f>
        <v>2245.72</v>
      </c>
      <c r="AE267" s="282">
        <f t="shared" ref="AE267:AG267" si="458">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1e-12</v>
      </c>
      <c r="K271" s="413">
        <v>0</v>
      </c>
      <c r="L271" s="413">
        <v>0</v>
      </c>
      <c r="M271" s="413">
        <v>0</v>
      </c>
      <c r="N271" s="413">
        <v>0</v>
      </c>
      <c r="O271" s="329">
        <f>SUM(K271:N271)</f>
        <v>1e-12</v>
      </c>
      <c r="P271" s="413">
        <v>0</v>
      </c>
      <c r="Q271" s="413">
        <v>0</v>
      </c>
      <c r="R271" s="413">
        <v>0</v>
      </c>
      <c r="S271" s="413">
        <v>0</v>
      </c>
      <c r="T271" s="329">
        <f>SUM(P271:S271)</f>
        <v>1e-12</v>
      </c>
      <c r="U271" s="413">
        <v>0</v>
      </c>
      <c r="V271" s="413">
        <v>0</v>
      </c>
      <c r="W271" s="413">
        <v>0</v>
      </c>
      <c r="X271" s="417">
        <v>0</v>
      </c>
      <c r="Y271" s="329">
        <f t="shared" ref="Y271:Y272" si="459">SUM(U271:X271)</f>
        <v>0</v>
      </c>
      <c r="Z271" s="417">
        <v>0</v>
      </c>
      <c r="AA271" s="417">
        <v>0</v>
      </c>
      <c r="AB271" s="417">
        <v>0</v>
      </c>
      <c r="AC271" s="417">
        <v>0</v>
      </c>
      <c r="AD271" s="329">
        <f t="shared" ref="AD271:AD272" si="460">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61">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62">K267/F267-1</f>
        <v>0.015127388535031816</v>
      </c>
      <c r="L273" s="397">
        <f>L267/G267-1</f>
        <v>0.016438356164383494</v>
      </c>
      <c r="M273" s="397">
        <f>M267/H267-1</f>
        <v>0.01195115614445319</v>
      </c>
      <c r="N273" s="397">
        <f>N267/I267-1</f>
        <v>0.012240553485896699</v>
      </c>
      <c r="O273" s="398">
        <f>O267/J267-1</f>
        <v>0.013910149750415934</v>
      </c>
      <c r="P273" s="397">
        <f>P267/K267-1</f>
        <v>0.008104575163398797</v>
      </c>
      <c r="Q273" s="397">
        <f>Q267/L267-1</f>
        <v>0.012938005390835672</v>
      </c>
      <c r="R273" s="397">
        <f>R267/M267-1</f>
        <v>0.012836970474968012</v>
      </c>
      <c r="S273" s="397">
        <f>S267/N267-1</f>
        <v>0.01524710830704512</v>
      </c>
      <c r="T273" s="398">
        <f>T267/O267-1</f>
        <v>0.012275173952999818</v>
      </c>
      <c r="U273" s="397">
        <f>U267/P267-1</f>
        <v>0.016856846473028986</v>
      </c>
      <c r="V273" s="397">
        <f>V267/Q267-1</f>
        <v>-1.8118680149015434</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63">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64">Y280</f>
        <v>671.6029227679047</v>
      </c>
      <c r="AA277" s="360">
        <f>Z280</f>
        <v>669.4586565358094</v>
      </c>
      <c r="AB277" s="360">
        <f>AA280</f>
        <v>667.314390303714</v>
      </c>
      <c r="AC277" s="360">
        <f>AB280</f>
        <v>665.1701240716187</v>
      </c>
      <c r="AD277" s="162">
        <f>Y280</f>
        <v>671.6029227679047</v>
      </c>
      <c r="AE277" s="453">
        <f t="shared" ref="AE277:AG277" si="465">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66">SUM(U278:X278)</f>
        <v>0</v>
      </c>
      <c r="Z278" s="360">
        <f t="shared" ref="Z278:AC278" si="467">Z271</f>
        <v>0</v>
      </c>
      <c r="AA278" s="360">
        <f>AA271</f>
      </c>
      <c r="AB278" s="360">
        <f>AB271</f>
      </c>
      <c r="AC278" s="360">
        <f>AC271</f>
      </c>
      <c r="AD278" s="453">
        <f t="shared" ref="AD278:AD279" si="468">SUM(Z278:AC278)</f>
        <v>0</v>
      </c>
      <c r="AE278" s="453">
        <f t="shared" ref="AE278:AG278" si="469">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70">-Z240</f>
        <v>-2.1442662320953767</v>
      </c>
      <c r="AA279" s="458">
        <f>-AA240</f>
        <v>-2.1442662320953767</v>
      </c>
      <c r="AB279" s="458">
        <f>-AB240</f>
        <v>-2.1442662320953767</v>
      </c>
      <c r="AC279" s="458">
        <f>-AC240</f>
        <v>-2.1442662320953767</v>
      </c>
      <c r="AD279" s="459">
        <f>SUM(Z279:AC279)</f>
        <v>-8.577064928381507</v>
      </c>
      <c r="AE279" s="459">
        <f t="shared" ref="AE279:AG279" si="471">-AE240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72">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73">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74">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75">F284-F282</f>
        <v>1</v>
      </c>
      <c r="G283" s="372">
        <f>G284-G282</f>
        <v>1</v>
      </c>
      <c r="H283" s="372">
        <f>H284-H282</f>
        <v>1</v>
      </c>
      <c r="I283" s="372">
        <f>I284-I282</f>
        <v>1e-12</v>
      </c>
      <c r="J283" s="355">
        <f>J284-J282</f>
        <v>1e-12</v>
      </c>
      <c r="K283" s="372">
        <f>K284-K282</f>
        <v>1</v>
      </c>
      <c r="L283" s="372">
        <f>L284-L282</f>
        <v>1</v>
      </c>
      <c r="M283" s="372">
        <f>M284-M282</f>
        <v>1</v>
      </c>
      <c r="N283" s="372">
        <f>N284-N282</f>
        <v>1e-12</v>
      </c>
      <c r="O283" s="355">
        <f>O284-O282</f>
        <v>1e-12</v>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76">Z283</f>
        <v>2</v>
      </c>
      <c r="AB283" s="368">
        <f>AA283</f>
        <v>2</v>
      </c>
      <c r="AC283" s="368">
        <f>AB283</f>
        <v>2</v>
      </c>
      <c r="AD283" s="355">
        <f>AD284-AD282</f>
        <v>2</v>
      </c>
      <c r="AE283" s="369">
        <f>AC283</f>
        <v>2</v>
      </c>
      <c r="AF283" s="369">
        <f t="shared" ref="AF283:AG283" si="477">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78">SUM(Z282:Z283)</f>
        <v>672.530789651857</v>
      </c>
      <c r="AA284" s="359">
        <f>SUM(AA282:AA283)</f>
        <v>670.3865234197617</v>
      </c>
      <c r="AB284" s="359">
        <f>SUM(AB282:AB283)</f>
        <v>668.2422571876664</v>
      </c>
      <c r="AC284" s="359">
        <f>SUM(AC282:AC283)</f>
        <v>666.097990955571</v>
      </c>
      <c r="AD284" s="162">
        <f>AVERAGE(Z284:AC284)</f>
        <v>669.314390303714</v>
      </c>
      <c r="AE284" s="162">
        <f t="shared" ref="AE284:AG284" si="479">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480">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81">-Z241</f>
        <v>-500</v>
      </c>
      <c r="AA289" s="359">
        <f>-AA241</f>
        <v>-500</v>
      </c>
      <c r="AB289" s="359">
        <f>-AB241</f>
        <v>-500</v>
      </c>
      <c r="AC289" s="359">
        <f>-AC241</f>
        <v>-500</v>
      </c>
      <c r="AD289" s="16"/>
      <c r="AE289" s="162">
        <f t="shared" ref="AE289:AG289" si="482">-AE241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483">-Z267</f>
        <v>-505.99999999999994</v>
      </c>
      <c r="AA290" s="359">
        <f>-AA267</f>
        <v>-494.49999999999994</v>
      </c>
      <c r="AB290" s="359">
        <f>-AB267</f>
        <v>-647.4499999999999</v>
      </c>
      <c r="AC290" s="359">
        <f>-AC267</f>
        <v>-597.7699999999999</v>
      </c>
      <c r="AD290" s="16"/>
      <c r="AE290" s="162">
        <f t="shared" ref="AE290:AG290" si="484">-AE267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485">Z245</f>
        <v>0</v>
      </c>
      <c r="AA291" s="330">
        <f>AA245</f>
      </c>
      <c r="AB291" s="330">
        <f>AB245</f>
      </c>
      <c r="AC291" s="330">
        <f>AC245</f>
      </c>
      <c r="AD291" s="16"/>
      <c r="AE291" s="329">
        <f t="shared" ref="AE291:AG291" si="486">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487">Z299*Z28</f>
        <v>-16.04103245794392</v>
      </c>
      <c r="AA293" s="359">
        <f>AA299*AA28</f>
        <v>-18.286777002056073</v>
      </c>
      <c r="AB293" s="359">
        <f>AB299*AB28</f>
        <v>-16.092363761809345</v>
      </c>
      <c r="AC293" s="359">
        <f>AC299*AC28</f>
        <v>-15.287745573718876</v>
      </c>
      <c r="AD293" s="16"/>
      <c r="AE293" s="162">
        <f t="shared" ref="AE293:AG293" si="488">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9">F178/F28</f>
        <v>1e-12</v>
      </c>
      <c r="G299" s="463">
        <f>G178/G28</f>
        <v>0.10353663165886372</v>
      </c>
      <c r="H299" s="463">
        <f>H178/H28</f>
        <v>-0.027776079807327898</v>
      </c>
      <c r="I299" s="463">
        <f>I178/I28</f>
        <v>-0.077912355583365</v>
      </c>
      <c r="J299" s="464">
        <f>J178/J28</f>
        <v>1e-12</v>
      </c>
      <c r="K299" s="463">
        <f>K178/K28</f>
        <v>0.0139577670917834</v>
      </c>
      <c r="L299" s="463">
        <f>L178/L28</f>
        <v>-0.11853051689751302</v>
      </c>
      <c r="M299" s="463">
        <f>M178/M28</f>
        <v>0.01084206722081677</v>
      </c>
      <c r="N299" s="463">
        <f>N178/N28</f>
        <v>0.10165385020541452</v>
      </c>
      <c r="O299" s="464">
        <f>O178/O28</f>
        <v>0.0038155152352091245</v>
      </c>
      <c r="P299" s="463">
        <f>P178/P28</f>
        <v>-0.02336283185840708</v>
      </c>
      <c r="Q299" s="463">
        <f>Q178/Q28</f>
        <v>-0.03816105454125987</v>
      </c>
      <c r="R299" s="463">
        <f>R178/R28</f>
        <v>-0.051352673444212855</v>
      </c>
      <c r="S299" s="463">
        <f>S178/S28</f>
        <v>0.07293150898834735</v>
      </c>
      <c r="T299" s="464">
        <f>T178/T28</f>
        <v>-0.009368970182213134</v>
      </c>
      <c r="U299" s="463">
        <f>U178/U28</f>
        <v>0.0029633545730265174</v>
      </c>
      <c r="V299" s="463">
        <f>V178/V28</f>
        <v>-0.04072528421355591</v>
      </c>
      <c r="W299" s="463">
        <f>W178/W28</f>
        <v>-0.0017453529976437735</v>
      </c>
      <c r="X299" s="465">
        <f>AVERAGE($F$299:$V$299)</f>
        <v>-0.0006243814470511484</v>
      </c>
      <c r="Y299" s="16"/>
      <c r="Z299" s="465">
        <f t="shared" ref="Z299:AC299" si="490">AVERAGE($F$299:$V$299)</f>
        <v>-0.0006243814470511484</v>
      </c>
      <c r="AA299" s="465">
        <f>AVERAGE($F$299:$V$299)</f>
        <v>-0.0006243814470511484</v>
      </c>
      <c r="AB299" s="465">
        <f>AVERAGE($F$299:$V$299)</f>
        <v>-0.0006243814470511484</v>
      </c>
      <c r="AC299" s="465">
        <f>AVERAGE($F$299:$V$299)</f>
        <v>-0.0006243814470511484</v>
      </c>
      <c r="AD299" s="16"/>
      <c r="AE299" s="464">
        <f t="shared" ref="AE299:AG299" si="491">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92">E304</f>
        <v>1e-12</v>
      </c>
      <c r="G302" s="353">
        <f>F304</f>
        <v>1e-12</v>
      </c>
      <c r="H302" s="353">
        <f>G304</f>
        <v>1e-12</v>
      </c>
      <c r="I302" s="353">
        <f>H304</f>
        <v>1e-12</v>
      </c>
      <c r="J302" s="282">
        <f>F302</f>
        <v>1e-12</v>
      </c>
      <c r="K302" s="353">
        <f t="shared" ref="K302:N302" si="493">J304</f>
        <v>1e-12</v>
      </c>
      <c r="L302" s="353">
        <f>K304</f>
        <v>1e-12</v>
      </c>
      <c r="M302" s="353">
        <f>L304</f>
        <v>1e-12</v>
      </c>
      <c r="N302" s="353">
        <f>M304</f>
        <v>1e-12</v>
      </c>
      <c r="O302" s="282">
        <f>K302</f>
        <v>1e-12</v>
      </c>
      <c r="P302" s="353">
        <f t="shared" ref="P302:S302" si="494">O304</f>
        <v>1e-12</v>
      </c>
      <c r="Q302" s="353">
        <f>P304</f>
        <v>1e-12</v>
      </c>
      <c r="R302" s="353">
        <f>Q304</f>
        <v>1e-12</v>
      </c>
      <c r="S302" s="353">
        <f>R304</f>
        <v>1e-12</v>
      </c>
      <c r="T302" s="282">
        <f>P302</f>
        <v>1e-12</v>
      </c>
      <c r="U302" s="353">
        <f t="shared" ref="U302:X302" si="495">T304</f>
        <v>1e-12</v>
      </c>
      <c r="V302" s="353">
        <f>U304</f>
        <v>1e-12</v>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496">F304-F302</f>
        <v>1e-12</v>
      </c>
      <c r="G303" s="384">
        <f>G304-G302</f>
        <v>1e-12</v>
      </c>
      <c r="H303" s="384">
        <f>H304-H302</f>
        <v>1e-12</v>
      </c>
      <c r="I303" s="384">
        <f>I304-I302</f>
        <v>1e-12</v>
      </c>
      <c r="J303" s="162">
        <f>IF(J305&gt;J302,J305-J302,0)</f>
        <v>1e-12</v>
      </c>
      <c r="K303" s="384">
        <f t="shared" ref="K303:N303" si="497">K304-K302</f>
        <v>1e-12</v>
      </c>
      <c r="L303" s="384">
        <f>L304-L302</f>
        <v>1e-12</v>
      </c>
      <c r="M303" s="384">
        <f>M304-M302</f>
        <v>1e-12</v>
      </c>
      <c r="N303" s="384">
        <f>N304-N302</f>
        <v>1e-12</v>
      </c>
      <c r="O303" s="162">
        <f>IF(O305&gt;O302,O305-O302,0)</f>
        <v>1e-12</v>
      </c>
      <c r="P303" s="384">
        <f t="shared" ref="P303:S303" si="498">P304-P302</f>
        <v>1e-12</v>
      </c>
      <c r="Q303" s="384">
        <f>Q304-Q302</f>
        <v>1e-12</v>
      </c>
      <c r="R303" s="384">
        <f>R304-R302</f>
        <v>1e-12</v>
      </c>
      <c r="S303" s="384">
        <f>S304-S302</f>
        <v>1e-12</v>
      </c>
      <c r="T303" s="162">
        <f>IF(T305&gt;T302,T305-T302,0)</f>
        <v>1e-12</v>
      </c>
      <c r="U303" s="384">
        <f t="shared" ref="U303:W303" si="499">U304-U302</f>
        <v>1e-12</v>
      </c>
      <c r="V303" s="384">
        <f>V304-V302</f>
        <v>1e-12</v>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00">F139</f>
        <v>1e-12</v>
      </c>
      <c r="G304" s="353">
        <f>G139</f>
        <v>1e-12</v>
      </c>
      <c r="H304" s="353">
        <f>H139</f>
        <v>1e-12</v>
      </c>
      <c r="I304" s="353">
        <f>I139</f>
        <v>1e-12</v>
      </c>
      <c r="J304" s="282">
        <f>J139</f>
        <v>1e-12</v>
      </c>
      <c r="K304" s="353">
        <f>K139</f>
        <v>1e-12</v>
      </c>
      <c r="L304" s="353">
        <f>L139</f>
        <v>1e-12</v>
      </c>
      <c r="M304" s="353">
        <f>M139</f>
        <v>1e-12</v>
      </c>
      <c r="N304" s="353">
        <f>N139</f>
        <v>1e-12</v>
      </c>
      <c r="O304" s="282">
        <f>O139</f>
        <v>1e-12</v>
      </c>
      <c r="P304" s="353">
        <f>P139</f>
        <v>1e-12</v>
      </c>
      <c r="Q304" s="353">
        <f>Q139</f>
        <v>1e-12</v>
      </c>
      <c r="R304" s="353">
        <f>R139</f>
        <v>1e-12</v>
      </c>
      <c r="S304" s="353">
        <f>S139</f>
        <v>1e-12</v>
      </c>
      <c r="T304" s="282">
        <f>T139</f>
        <v>1e-12</v>
      </c>
      <c r="U304" s="353">
        <f>U139</f>
        <v>1e-12</v>
      </c>
      <c r="V304" s="353">
        <f>V139</f>
        <v>1e-12</v>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01">E310</f>
        <v>1e-12</v>
      </c>
      <c r="G307" s="353">
        <f>F310</f>
        <v>99627</v>
      </c>
      <c r="H307" s="353">
        <f>G310</f>
        <v>97041</v>
      </c>
      <c r="I307" s="353">
        <f>H310</f>
        <v>98071</v>
      </c>
      <c r="J307" s="282">
        <f>F307</f>
        <v>1e-12</v>
      </c>
      <c r="K307" s="353">
        <f t="shared" ref="K307:N307" si="502">J310</f>
        <v>95281</v>
      </c>
      <c r="L307" s="353">
        <f>K310</f>
        <v>95088</v>
      </c>
      <c r="M307" s="353">
        <f>L310</f>
        <v>91831</v>
      </c>
      <c r="N307" s="353">
        <f>M310</f>
        <v>86196</v>
      </c>
      <c r="O307" s="282">
        <f>K307</f>
        <v>95281</v>
      </c>
      <c r="P307" s="353">
        <f t="shared" ref="P307:S307" si="503">O310</f>
        <v>85750</v>
      </c>
      <c r="Q307" s="353">
        <f>P310</f>
        <v>83956</v>
      </c>
      <c r="R307" s="353">
        <f>Q310</f>
        <v>78566</v>
      </c>
      <c r="S307" s="353">
        <f>R310</f>
        <v>82430</v>
      </c>
      <c r="T307" s="282">
        <f>P307</f>
        <v>85750</v>
      </c>
      <c r="U307" s="353">
        <f t="shared" ref="U307:X307" si="504">T310</f>
        <v>78328</v>
      </c>
      <c r="V307" s="353">
        <f>U310</f>
        <v>76685</v>
      </c>
      <c r="W307" s="353">
        <f>V310</f>
        <v>23311</v>
      </c>
      <c r="X307" s="281">
        <f>W310</f>
        <v>25233</v>
      </c>
      <c r="Y307" s="16"/>
      <c r="Z307" s="281">
        <f>X310</f>
        <v>24733</v>
      </c>
      <c r="AA307" s="281">
        <f t="shared" ref="AA307:AC307" si="505">Z310</f>
        <v>24233</v>
      </c>
      <c r="AB307" s="281">
        <f>AA310</f>
        <v>23733</v>
      </c>
      <c r="AC307" s="281">
        <f>AB310</f>
        <v>23233</v>
      </c>
      <c r="AD307" s="16"/>
      <c r="AE307" s="282">
        <f>AC310</f>
        <v>22733</v>
      </c>
      <c r="AF307" s="282">
        <f t="shared" ref="AF307:AG307" si="506">AE310</f>
        <v>21333</v>
      </c>
      <c r="AG307" s="282">
        <f>AF310</f>
        <v>20033</v>
      </c>
      <c r="AH307" s="16"/>
      <c r="AI307" s="16"/>
      <c r="AJ307" s="16"/>
      <c r="AK307" s="16"/>
    </row>
    <row r="308" ht="13.5" customHeight="1" spans="1:37" x14ac:dyDescent="0.25">
      <c r="A308" s="264"/>
      <c r="B308" s="16"/>
      <c r="C308" s="139" t="s">
        <v>310</v>
      </c>
      <c r="D308" s="16"/>
      <c r="E308" s="16"/>
      <c r="F308" s="384">
        <f t="shared" ref="F308:W308" si="507">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508">X295</f>
        <v>0</v>
      </c>
      <c r="Y308" s="16"/>
      <c r="Z308" s="330">
        <f t="shared" ref="Z308:AC308" si="509">Z295</f>
        <v>0</v>
      </c>
      <c r="AA308" s="330">
        <f>AA295</f>
      </c>
      <c r="AB308" s="330">
        <f>AB295</f>
      </c>
      <c r="AC308" s="330">
        <f>AC295</f>
      </c>
      <c r="AD308" s="16"/>
      <c r="AE308" s="329">
        <f t="shared" ref="AE308:AG308" si="510">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11">IF(F307&gt;F310,F310-F307,0)</f>
        <v>1e-12</v>
      </c>
      <c r="G309" s="384">
        <f>IF(G307&gt;G310,G310-G307,0)</f>
        <v>-13</v>
      </c>
      <c r="H309" s="384">
        <f>IF(H307&gt;H310,H310-H307,0)</f>
        <v>-254</v>
      </c>
      <c r="I309" s="384">
        <f>IF(I307&gt;I310,I310-I307,0)</f>
        <v>-76</v>
      </c>
      <c r="J309" s="162">
        <f>IF(J307&gt;J310,J310-J307,0)</f>
        <v>1e-12</v>
      </c>
      <c r="K309" s="384">
        <f>IF(K307&gt;K310,K310-K307,0)</f>
        <v>1e-12</v>
      </c>
      <c r="L309" s="384">
        <f>IF(L307&gt;L310,L310-L307,0)</f>
        <v>-3</v>
      </c>
      <c r="M309" s="384">
        <f>IF(M307&gt;M310,M310-M307,0)</f>
        <v>-338</v>
      </c>
      <c r="N309" s="384">
        <f>IF(N307&gt;N310,N310-N307,0)</f>
        <v>1e-12</v>
      </c>
      <c r="O309" s="162">
        <f>IF(O307&gt;O310,O310-O307,0)</f>
        <v>1e-12</v>
      </c>
      <c r="P309" s="384">
        <f>IF(P307&gt;P310,P310-P307,0)</f>
        <v>1e-12</v>
      </c>
      <c r="Q309" s="384">
        <f>IF(Q307&gt;Q310,Q310-Q307,0)</f>
        <v>1e-12</v>
      </c>
      <c r="R309" s="384">
        <f>IF(R307&gt;R310,R310-R307,0)</f>
        <v>1e-12</v>
      </c>
      <c r="S309" s="384">
        <f>IF(S307&gt;S310,S310-S307,0)</f>
        <v>1e-12</v>
      </c>
      <c r="T309" s="162">
        <f>IF(T307&gt;T310,T310-T307,0)</f>
        <v>1e-12</v>
      </c>
      <c r="U309" s="384">
        <f>IF(U307&gt;U310,U310-U307,0)</f>
        <v>-2967</v>
      </c>
      <c r="V309" s="384">
        <f>IF(V307&gt;V310,V310-V307,0)</f>
        <v>1e-12</v>
      </c>
      <c r="W309" s="384">
        <f>IF(W307&gt;W310,W310-W307,0)</f>
      </c>
      <c r="X309" s="330">
        <f>X296</f>
        <v>-500</v>
      </c>
      <c r="Y309" s="16"/>
      <c r="Z309" s="330">
        <f t="shared" ref="Z309:AC309" si="512">Z296</f>
        <v>-500</v>
      </c>
      <c r="AA309" s="330">
        <f>AA296</f>
        <v>-500</v>
      </c>
      <c r="AB309" s="330">
        <f>AB296</f>
        <v>-500</v>
      </c>
      <c r="AC309" s="330">
        <f>AC296</f>
        <v>-500</v>
      </c>
      <c r="AD309" s="16"/>
      <c r="AE309" s="329">
        <f t="shared" ref="AE309:AG309" si="513">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14">F140</f>
        <v>99627</v>
      </c>
      <c r="G310" s="353">
        <f>G140</f>
        <v>97041</v>
      </c>
      <c r="H310" s="353">
        <f>H140</f>
        <v>98071</v>
      </c>
      <c r="I310" s="353">
        <f>I140</f>
        <v>95281</v>
      </c>
      <c r="J310" s="282">
        <f>J140</f>
        <v>95281</v>
      </c>
      <c r="K310" s="353">
        <f>K140</f>
        <v>95088</v>
      </c>
      <c r="L310" s="353">
        <f>L140</f>
        <v>91831</v>
      </c>
      <c r="M310" s="353">
        <f>M140</f>
        <v>86196</v>
      </c>
      <c r="N310" s="353">
        <f>N140</f>
        <v>85750</v>
      </c>
      <c r="O310" s="282">
        <f>O140</f>
        <v>85750</v>
      </c>
      <c r="P310" s="353">
        <f>P140</f>
        <v>83956</v>
      </c>
      <c r="Q310" s="353">
        <f>Q140</f>
        <v>78566</v>
      </c>
      <c r="R310" s="353">
        <f>R140</f>
        <v>82430</v>
      </c>
      <c r="S310" s="353">
        <f>S140</f>
        <v>78328</v>
      </c>
      <c r="T310" s="282">
        <f>T140</f>
        <v>78328</v>
      </c>
      <c r="U310" s="353">
        <f>U140</f>
        <v>76685</v>
      </c>
      <c r="V310" s="353">
        <f>V140</f>
        <v>74404</v>
      </c>
      <c r="W310" s="353">
        <f>W140</f>
        <v>25233</v>
      </c>
      <c r="X310" s="281">
        <f>SUM(X307:X309)</f>
        <v>24733</v>
      </c>
      <c r="Y310" s="16"/>
      <c r="Z310" s="281">
        <f t="shared" ref="Z310:AC310" si="515">SUM(Z307:Z309)</f>
        <v>24233</v>
      </c>
      <c r="AA310" s="281">
        <f>SUM(AA307:AA309)</f>
        <v>23733</v>
      </c>
      <c r="AB310" s="281">
        <f>SUM(AB307:AB309)</f>
        <v>23233</v>
      </c>
      <c r="AC310" s="281">
        <f>SUM(AC307:AC309)</f>
        <v>22733</v>
      </c>
      <c r="AD310" s="16"/>
      <c r="AE310" s="282">
        <f t="shared" ref="AE310:AG310" si="516">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17">5%/4</f>
        <v>0.0125</v>
      </c>
      <c r="AA314" s="466">
        <f>5%/4</f>
        <v>0.0125</v>
      </c>
      <c r="AB314" s="466">
        <f>5%/4</f>
        <v>0.0125</v>
      </c>
      <c r="AC314" s="466">
        <f>5%/4</f>
        <v>0.0125</v>
      </c>
      <c r="AD314" s="16"/>
      <c r="AE314" s="467">
        <f t="shared" ref="AE314:AG314" si="518">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19">AVERAGE(Z310,Z307)</f>
        <v>24483</v>
      </c>
      <c r="AA318" s="281">
        <f>AVERAGE(AA310,AA307)</f>
        <v>23983</v>
      </c>
      <c r="AB318" s="281">
        <f>AVERAGE(AB310,AB307)</f>
        <v>23483</v>
      </c>
      <c r="AC318" s="281">
        <f>AVERAGE(AC310,AC307)</f>
        <v>22983</v>
      </c>
      <c r="AD318" s="16"/>
      <c r="AE318" s="282">
        <f t="shared" ref="AE318:AG318" si="520">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21">-(Z318*Z319)</f>
        <v>-213.614175</v>
      </c>
      <c r="AA320" s="281">
        <f>-(AA318*AA319)</f>
        <v>-209.251675</v>
      </c>
      <c r="AB320" s="281">
        <f>-(AB318*AB319)</f>
        <v>-204.889175</v>
      </c>
      <c r="AC320" s="281">
        <f>-(AC318*AC319)</f>
        <v>-200.526675</v>
      </c>
      <c r="AD320" s="16"/>
      <c r="AE320" s="282">
        <f t="shared" ref="AE320:AG320" si="522">-(AE318*AE319)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23">Z326</f>
        <v>0</v>
      </c>
      <c r="AB326" s="466">
        <f>AA326</f>
      </c>
      <c r="AC326" s="466">
        <f>AB326</f>
      </c>
      <c r="AD326" s="16"/>
      <c r="AE326" s="467">
        <f>AC326</f>
        <v>0</v>
      </c>
      <c r="AF326" s="467">
        <f t="shared" ref="AF326:AG326" si="524">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117154</v>
      </c>
      <c r="G7" s="317">
        <f>SUM(G8:G13)</f>
        <v>94836</v>
      </c>
      <c r="H7" s="317">
        <f>SUM(H8:H13)</f>
        <v>81797</v>
      </c>
      <c r="I7" s="317">
        <f>SUM(I8:I13)</f>
        <v>89498</v>
      </c>
      <c r="J7" s="287">
        <f t="shared" ref="J7:J13" si="1">SUM(F7:I7)</f>
        <v>383285</v>
      </c>
      <c r="K7" s="317">
        <f t="shared" ref="K7:N7" si="2">SUM(K8:K13)</f>
        <v>119575</v>
      </c>
      <c r="L7" s="317">
        <f>SUM(L8:L13)</f>
        <v>90753</v>
      </c>
      <c r="M7" s="317">
        <f>SUM(M8:M13)</f>
        <v>85777</v>
      </c>
      <c r="N7" s="317">
        <f>SUM(N8:N13)</f>
        <v>94930</v>
      </c>
      <c r="O7" s="287">
        <f t="shared" ref="O7:O13" si="3">SUM(K7:N7)</f>
        <v>391035</v>
      </c>
      <c r="P7" s="317">
        <f t="shared" ref="P7:S7" si="4">SUM(P8:P13)</f>
        <v>124300</v>
      </c>
      <c r="Q7" s="317">
        <f>SUM(Q8:Q13)</f>
        <v>95359</v>
      </c>
      <c r="R7" s="317">
        <f>SUM(R8:R13)</f>
        <v>94036</v>
      </c>
      <c r="S7" s="317">
        <f>SUM(S8:S13)</f>
        <v>102466</v>
      </c>
      <c r="T7" s="287">
        <f t="shared" ref="T7:T13" si="5">SUM(P7:S7)</f>
        <v>416161</v>
      </c>
      <c r="U7" s="317">
        <f t="shared" ref="U7:X7" si="6">SUM(U8:U13)</f>
        <v>143756</v>
      </c>
      <c r="V7" s="317">
        <f>SUM(V8:V13)</f>
        <v>111184</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C16&amp;" Revenue"</f>
        <v>Services Revenue</v>
      </c>
      <c r="D8" s="16"/>
      <c r="E8" s="16"/>
      <c r="F8" s="469">
        <v>20766</v>
      </c>
      <c r="G8" s="469">
        <v>20907</v>
      </c>
      <c r="H8" s="469">
        <v>21213</v>
      </c>
      <c r="I8" s="469">
        <f>85200-SUM(F8:H8)</f>
        <v>22314</v>
      </c>
      <c r="J8" s="470">
        <f>SUM(F8:I8)</f>
        <v>85200</v>
      </c>
      <c r="K8" s="469">
        <v>23117</v>
      </c>
      <c r="L8" s="469">
        <v>23867</v>
      </c>
      <c r="M8" s="469">
        <v>24213</v>
      </c>
      <c r="N8" s="469">
        <v>24972</v>
      </c>
      <c r="O8" s="470">
        <f>SUM(K8:N8)</f>
        <v>96169</v>
      </c>
      <c r="P8" s="469">
        <v>26340</v>
      </c>
      <c r="Q8" s="469">
        <v>26645</v>
      </c>
      <c r="R8" s="469">
        <v>27423</v>
      </c>
      <c r="S8" s="469">
        <v>28750</v>
      </c>
      <c r="T8" s="470">
        <f>SUM(P8:S8)</f>
        <v>109158</v>
      </c>
      <c r="U8" s="469">
        <v>30013</v>
      </c>
      <c r="V8" s="469">
        <v>30976</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iPhone Revenue</v>
      </c>
      <c r="D9" s="16"/>
      <c r="E9" s="16"/>
      <c r="F9" s="469">
        <v>65775</v>
      </c>
      <c r="G9" s="469">
        <v>51334</v>
      </c>
      <c r="H9" s="469">
        <v>39669</v>
      </c>
      <c r="I9" s="469">
        <v>43805</v>
      </c>
      <c r="J9" s="470">
        <f>SUM(F9:I9)</f>
        <v>200583</v>
      </c>
      <c r="K9" s="469">
        <v>69702</v>
      </c>
      <c r="L9" s="469">
        <v>45963</v>
      </c>
      <c r="M9" s="469">
        <v>39296</v>
      </c>
      <c r="N9" s="469">
        <v>46222</v>
      </c>
      <c r="O9" s="470">
        <f>SUM(K9:N9)</f>
        <v>201183</v>
      </c>
      <c r="P9" s="469">
        <v>69138</v>
      </c>
      <c r="Q9" s="469">
        <v>46841</v>
      </c>
      <c r="R9" s="469">
        <v>44582</v>
      </c>
      <c r="S9" s="469">
        <v>49025</v>
      </c>
      <c r="T9" s="470">
        <f>SUM(P9:S9)</f>
        <v>209586</v>
      </c>
      <c r="U9" s="469">
        <v>85269</v>
      </c>
      <c r="V9" s="469">
        <v>56994</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Mac Revenue</v>
      </c>
      <c r="D10" s="16"/>
      <c r="E10" s="16"/>
      <c r="F10" s="469">
        <v>7735</v>
      </c>
      <c r="G10" s="469">
        <v>7168</v>
      </c>
      <c r="H10" s="469">
        <v>6840</v>
      </c>
      <c r="I10" s="469">
        <v>7614</v>
      </c>
      <c r="J10" s="470">
        <f>SUM(F10:I10)</f>
        <v>29357</v>
      </c>
      <c r="K10" s="469">
        <v>7780</v>
      </c>
      <c r="L10" s="469">
        <v>7451</v>
      </c>
      <c r="M10" s="469">
        <v>7009</v>
      </c>
      <c r="N10" s="469">
        <v>7744</v>
      </c>
      <c r="O10" s="470">
        <f>SUM(K10:N10)</f>
        <v>29984</v>
      </c>
      <c r="P10" s="469">
        <v>8987</v>
      </c>
      <c r="Q10" s="469">
        <v>7949</v>
      </c>
      <c r="R10" s="469">
        <v>8046</v>
      </c>
      <c r="S10" s="469">
        <v>8726</v>
      </c>
      <c r="T10" s="470">
        <f>SUM(P10:S10)</f>
        <v>33708</v>
      </c>
      <c r="U10" s="469">
        <v>8386</v>
      </c>
      <c r="V10" s="469">
        <v>8399</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iPad Revenue</v>
      </c>
      <c r="D11" s="16"/>
      <c r="E11" s="16"/>
      <c r="F11" s="469">
        <v>9396</v>
      </c>
      <c r="G11" s="469">
        <v>6670</v>
      </c>
      <c r="H11" s="469">
        <v>5791</v>
      </c>
      <c r="I11" s="469">
        <v>6443</v>
      </c>
      <c r="J11" s="470">
        <f>SUM(F11:I11)</f>
        <v>28300</v>
      </c>
      <c r="K11" s="469">
        <v>7023</v>
      </c>
      <c r="L11" s="469">
        <v>5559</v>
      </c>
      <c r="M11" s="469">
        <v>7162</v>
      </c>
      <c r="N11" s="469">
        <v>6950</v>
      </c>
      <c r="O11" s="470">
        <f>SUM(K11:N11)</f>
        <v>26694</v>
      </c>
      <c r="P11" s="469">
        <v>8088</v>
      </c>
      <c r="Q11" s="469">
        <v>6402</v>
      </c>
      <c r="R11" s="469">
        <v>6581</v>
      </c>
      <c r="S11" s="469">
        <v>6952</v>
      </c>
      <c r="T11" s="470">
        <f>SUM(P11:S11)</f>
        <v>28023</v>
      </c>
      <c r="U11" s="469">
        <v>8595</v>
      </c>
      <c r="V11" s="469">
        <v>6914</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Wearables, Home and Accessories Revenue</v>
      </c>
      <c r="D12" s="16"/>
      <c r="E12" s="16"/>
      <c r="F12" s="469">
        <v>13482</v>
      </c>
      <c r="G12" s="469">
        <v>8757</v>
      </c>
      <c r="H12" s="469">
        <v>8284</v>
      </c>
      <c r="I12" s="469">
        <v>9322</v>
      </c>
      <c r="J12" s="470">
        <f>SUM(F12:I12)</f>
        <v>39845</v>
      </c>
      <c r="K12" s="469">
        <v>11953</v>
      </c>
      <c r="L12" s="469">
        <v>7913</v>
      </c>
      <c r="M12" s="469">
        <v>8097</v>
      </c>
      <c r="N12" s="469">
        <v>9042</v>
      </c>
      <c r="O12" s="470">
        <f>SUM(K12:N12)</f>
        <v>37005</v>
      </c>
      <c r="P12" s="469">
        <v>11747</v>
      </c>
      <c r="Q12" s="469">
        <v>7522</v>
      </c>
      <c r="R12" s="469">
        <v>7404</v>
      </c>
      <c r="S12" s="469">
        <v>9013</v>
      </c>
      <c r="T12" s="470">
        <f>SUM(P12:S12)</f>
        <v>35686</v>
      </c>
      <c r="U12" s="469">
        <v>11493</v>
      </c>
      <c r="V12" s="469">
        <v>7901</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v>1e-12</v>
      </c>
      <c r="K13" s="469">
        <v>0</v>
      </c>
      <c r="L13" s="469">
        <v>0</v>
      </c>
      <c r="M13" s="469">
        <v>0</v>
      </c>
      <c r="N13" s="469">
        <v>0</v>
      </c>
      <c r="O13" s="470">
        <f>SUM(K13:N13)</f>
        <v>1e-12</v>
      </c>
      <c r="P13" s="469">
        <v>0</v>
      </c>
      <c r="Q13" s="469">
        <v>0</v>
      </c>
      <c r="R13" s="469">
        <v>0</v>
      </c>
      <c r="S13" s="469">
        <v>0</v>
      </c>
      <c r="T13" s="470">
        <f>SUM(P13:S13)</f>
        <v>1e-12</v>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2">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3">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4">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5">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6">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SUM(F24:F26)</f>
        <v>1e-12</v>
      </c>
      <c r="G23" s="317">
        <f>SUM(G24:G26)</f>
        <v>1e-12</v>
      </c>
      <c r="H23" s="317">
        <f>SUM(H24:H26)</f>
        <v>1e-12</v>
      </c>
      <c r="I23" s="317">
        <f>SUM(I24:I26)</f>
        <v>1e-12</v>
      </c>
      <c r="J23" s="287">
        <f t="shared" ref="J23:J26" si="18">SUM(F23:I23)</f>
        <v>1e-12</v>
      </c>
      <c r="K23" s="317">
        <f t="shared" ref="K23:N23" si="19">SUM(K24:K26)</f>
        <v>1e-12</v>
      </c>
      <c r="L23" s="317">
        <f>SUM(L24:L26)</f>
        <v>1e-12</v>
      </c>
      <c r="M23" s="317">
        <f>SUM(M24:M26)</f>
        <v>1e-12</v>
      </c>
      <c r="N23" s="317">
        <f>SUM(N24:N26)</f>
        <v>1e-12</v>
      </c>
      <c r="O23" s="287">
        <f t="shared" ref="O23:O26" si="20">SUM(K23:N23)</f>
        <v>1e-12</v>
      </c>
      <c r="P23" s="317">
        <f t="shared" ref="P23:S23" si="21">SUM(P24:P26)</f>
        <v>1e-12</v>
      </c>
      <c r="Q23" s="317">
        <f>SUM(Q24:Q26)</f>
        <v>1e-12</v>
      </c>
      <c r="R23" s="317">
        <f>SUM(R24:R26)</f>
        <v>1e-12</v>
      </c>
      <c r="S23" s="317">
        <f>SUM(S24:S26)</f>
        <v>1e-12</v>
      </c>
      <c r="T23" s="287">
        <f t="shared" ref="T23:T26" si="22">SUM(P23:S23)</f>
        <v>1e-12</v>
      </c>
      <c r="U23" s="317">
        <f t="shared" ref="U23:X23" si="23">SUM(U24:U26)</f>
        <v>1e-12</v>
      </c>
      <c r="V23" s="317">
        <f>SUM(V24:V26)</f>
        <v>1e-12</v>
      </c>
      <c r="W23" s="317">
        <f>SUM(W24:W26)</f>
      </c>
      <c r="X23" s="286">
        <f>SUM(X24:X26)</f>
      </c>
      <c r="Y23" s="287">
        <f t="shared" ref="Y23:Y26" si="24">SUM(U23:X23)</f>
        <v>0</v>
      </c>
      <c r="Z23" s="286">
        <f t="shared" ref="Z23:AC23" si="25">SUM(Z24:Z26)</f>
        <v>0</v>
      </c>
      <c r="AA23" s="286">
        <f>SUM(AA24:AA26)</f>
      </c>
      <c r="AB23" s="286">
        <f>SUM(AB24:AB26)</f>
      </c>
      <c r="AC23" s="286">
        <f>SUM(AC24:AC26)</f>
      </c>
      <c r="AD23" s="287">
        <f t="shared" ref="AD23:AD26" si="26">SUM(Z23:AC23)</f>
        <v>0</v>
      </c>
      <c r="AE23" s="287">
        <f t="shared" ref="AE23:AG23" si="27">SUM(AE24:AE26)</f>
        <v>0</v>
      </c>
      <c r="AF23" s="287">
        <f>SUM(AF24:AF26)</f>
      </c>
      <c r="AG23" s="287">
        <f>SUM(AG24:AG26)</f>
      </c>
    </row>
    <row r="24" ht="14.25" customHeight="1" hidden="1" spans="1:33" x14ac:dyDescent="0.25" outlineLevel="1">
      <c r="C24" s="139" t="str">
        <f t="shared" ref="C24:C26" si="28">C29&amp;" Revenue"</f>
        <v>Boeing Military Aircraft Revenue</v>
      </c>
      <c r="D24" s="16"/>
      <c r="E24" s="16"/>
      <c r="F24" s="469">
        <v>0</v>
      </c>
      <c r="G24" s="469">
        <v>0</v>
      </c>
      <c r="H24" s="469">
        <v>0</v>
      </c>
      <c r="I24" s="469">
        <v>0</v>
      </c>
      <c r="J24" s="470">
        <f>SUM(F24:I24)</f>
        <v>1e-12</v>
      </c>
      <c r="K24" s="469">
        <v>0</v>
      </c>
      <c r="L24" s="469">
        <v>0</v>
      </c>
      <c r="M24" s="469">
        <v>0</v>
      </c>
      <c r="N24" s="469">
        <v>0</v>
      </c>
      <c r="O24" s="470">
        <f>SUM(K24:N24)</f>
        <v>1e-12</v>
      </c>
      <c r="P24" s="469">
        <v>0</v>
      </c>
      <c r="Q24" s="469">
        <v>0</v>
      </c>
      <c r="R24" s="469">
        <v>0</v>
      </c>
      <c r="S24" s="469">
        <v>0</v>
      </c>
      <c r="T24" s="470">
        <f>SUM(P24:S24)</f>
        <v>1e-12</v>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v>1e-12</v>
      </c>
      <c r="K25" s="469">
        <v>0</v>
      </c>
      <c r="L25" s="469">
        <v>0</v>
      </c>
      <c r="M25" s="469">
        <v>0</v>
      </c>
      <c r="N25" s="469">
        <v>0</v>
      </c>
      <c r="O25" s="470">
        <f>SUM(K25:N25)</f>
        <v>1e-12</v>
      </c>
      <c r="P25" s="469">
        <v>0</v>
      </c>
      <c r="Q25" s="469">
        <v>0</v>
      </c>
      <c r="R25" s="469">
        <v>0</v>
      </c>
      <c r="S25" s="469">
        <v>0</v>
      </c>
      <c r="T25" s="470">
        <f>SUM(P25:S25)</f>
        <v>1e-12</v>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v>1e-12</v>
      </c>
      <c r="K26" s="469">
        <v>0</v>
      </c>
      <c r="L26" s="469">
        <v>0</v>
      </c>
      <c r="M26" s="469">
        <v>0</v>
      </c>
      <c r="N26" s="469">
        <v>0</v>
      </c>
      <c r="O26" s="470">
        <f>SUM(K26:N26)</f>
        <v>1e-12</v>
      </c>
      <c r="P26" s="469">
        <v>0</v>
      </c>
      <c r="Q26" s="469">
        <v>0</v>
      </c>
      <c r="R26" s="469">
        <v>0</v>
      </c>
      <c r="S26" s="469">
        <v>0</v>
      </c>
      <c r="T26" s="470">
        <f>SUM(P26:S26)</f>
        <v>1e-12</v>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0">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1">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SUM(F34:F39)</f>
        <v>36016</v>
      </c>
      <c r="G33" s="317">
        <f>SUM(G34:G39)</f>
        <v>28318</v>
      </c>
      <c r="H33" s="317">
        <f>SUM(H34:H39)</f>
        <v>22998</v>
      </c>
      <c r="I33" s="317">
        <f>SUM(I34:I39)</f>
        <v>26969</v>
      </c>
      <c r="J33" s="287">
        <f t="shared" ref="J33:J39" si="33">SUM(F33:I33)</f>
        <v>114301</v>
      </c>
      <c r="K33" s="317">
        <f t="shared" ref="K33:N33" si="34">SUM(K34:K39)</f>
        <v>40373</v>
      </c>
      <c r="L33" s="317">
        <f>SUM(L34:L39)</f>
        <v>27900</v>
      </c>
      <c r="M33" s="317">
        <f>SUM(M34:M39)</f>
        <v>25352</v>
      </c>
      <c r="N33" s="317">
        <f>SUM(N34:N39)</f>
        <v>29591</v>
      </c>
      <c r="O33" s="287">
        <f t="shared" ref="O33:O39" si="35">SUM(K33:N33)</f>
        <v>123216</v>
      </c>
      <c r="P33" s="317">
        <f t="shared" ref="P33:Q33" si="36">SUM(P34:P39)</f>
        <v>42832</v>
      </c>
      <c r="Q33" s="317">
        <f>SUM(Q34:Q39)</f>
        <v>29589</v>
      </c>
      <c r="R33" s="317">
        <f>SUM(R34:R39)</f>
        <v>28202</v>
      </c>
      <c r="S33" s="317">
        <f>SUM(S34:S39)</f>
        <v>32427</v>
      </c>
      <c r="T33" s="287">
        <f t="shared" ref="T33:T39" si="37">SUM(P33:S33)</f>
        <v>133050</v>
      </c>
      <c r="U33" s="317">
        <f t="shared" ref="U33:V33" si="38">SUM(U34:U39)</f>
        <v>50852</v>
      </c>
      <c r="V33" s="317">
        <f>SUM(V34:V39)</f>
        <v>35885</v>
      </c>
      <c r="W33" s="317">
        <f>W34</f>
        <v>2789</v>
      </c>
      <c r="X33" s="286">
        <f>SUM(X34:X39)</f>
        <v>2830.373</v>
      </c>
      <c r="Y33" s="287">
        <f t="shared" ref="Y33:Y39" si="39">SUM(U33:X33)</f>
        <v>11161.242999999999</v>
      </c>
      <c r="Z33" s="286">
        <f t="shared" ref="Z33:AC33" si="40">SUM(Z34:Z39)</f>
        <v>3596.75092</v>
      </c>
      <c r="AA33" s="286">
        <f>SUM(AA34:AA39)</f>
        <v>4246.7351934</v>
      </c>
      <c r="AB33" s="286">
        <f>SUM(AB34:AB39)</f>
        <v>3092.794733952</v>
      </c>
      <c r="AC33" s="286">
        <f>SUM(AC34:AC39)</f>
        <v>3305.4243719112</v>
      </c>
      <c r="AD33" s="287">
        <f t="shared" ref="AD33:AD39" si="41">SUM(Z33:AC33)</f>
        <v>14241.7052192632</v>
      </c>
      <c r="AE33" s="287">
        <f t="shared" ref="AE33:AG33" si="42">SUM(AE34:AE39)</f>
        <v>14920.47653053796</v>
      </c>
      <c r="AF33" s="287">
        <f>SUM(AF34:AF39)</f>
        <v>15328.374450077847</v>
      </c>
      <c r="AG33" s="287">
        <f>SUM(AG34:AG39)</f>
        <v>15858.298252494822</v>
      </c>
    </row>
    <row r="34" ht="14.25" customHeight="1" spans="1:33" x14ac:dyDescent="0.25">
      <c r="C34" s="139" t="str">
        <f>C16&amp;" Operating Income"</f>
        <v>Americas Segment Operating Income</v>
      </c>
      <c r="D34" s="16"/>
      <c r="E34" s="16"/>
      <c r="F34" s="469">
        <v>17864</v>
      </c>
      <c r="G34" s="469">
        <v>13927</v>
      </c>
      <c r="H34" s="469">
        <v>13117</v>
      </c>
      <c r="I34" s="469">
        <f>60508-SUM(F34:H34)</f>
        <v>15600</v>
      </c>
      <c r="J34" s="470">
        <f>SUM(F34:I34)</f>
        <v>60508</v>
      </c>
      <c r="K34" s="469">
        <v>20357</v>
      </c>
      <c r="L34" s="469">
        <v>15074</v>
      </c>
      <c r="M34" s="469">
        <v>15209</v>
      </c>
      <c r="N34" s="469">
        <v>17016</v>
      </c>
      <c r="O34" s="470">
        <f>SUM(K34:N34)</f>
        <v>67656</v>
      </c>
      <c r="P34" s="469">
        <v>21509</v>
      </c>
      <c r="Q34" s="469">
        <v>16774</v>
      </c>
      <c r="R34" s="469">
        <v>16511</v>
      </c>
      <c r="S34" s="469">
        <v>17686</v>
      </c>
      <c r="T34" s="470">
        <f>SUM(P34:S34)</f>
        <v>72480</v>
      </c>
      <c r="U34" s="469">
        <v>23953</v>
      </c>
      <c r="V34" s="469">
        <v>19373</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Greater China Segment Operating Income</v>
      </c>
      <c r="D35" s="16"/>
      <c r="E35" s="16"/>
      <c r="F35" s="469">
        <v>10437</v>
      </c>
      <c r="G35" s="469">
        <v>7531</v>
      </c>
      <c r="H35" s="469">
        <v>6207</v>
      </c>
      <c r="I35" s="469">
        <v>6153</v>
      </c>
      <c r="J35" s="470">
        <f>SUM(F35:I35)</f>
        <v>30328</v>
      </c>
      <c r="K35" s="469">
        <v>8622</v>
      </c>
      <c r="L35" s="469">
        <v>6700</v>
      </c>
      <c r="M35" s="469">
        <v>5562</v>
      </c>
      <c r="N35" s="469">
        <v>6198</v>
      </c>
      <c r="O35" s="470">
        <f>SUM(K35:N35)</f>
        <v>27082</v>
      </c>
      <c r="P35" s="469">
        <v>8160</v>
      </c>
      <c r="Q35" s="469">
        <v>6626</v>
      </c>
      <c r="R35" s="469">
        <v>5822</v>
      </c>
      <c r="S35" s="469">
        <v>6309</v>
      </c>
      <c r="T35" s="470">
        <f>SUM(P35:S35)</f>
        <v>26917</v>
      </c>
      <c r="U35" s="469">
        <v>11792</v>
      </c>
      <c r="V35" s="469">
        <v>9189</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Japan Segment Operating Income</v>
      </c>
      <c r="D36" s="16"/>
      <c r="E36" s="16"/>
      <c r="F36" s="469">
        <v>3236</v>
      </c>
      <c r="G36" s="469">
        <v>3394</v>
      </c>
      <c r="H36" s="469">
        <v>2443</v>
      </c>
      <c r="I36" s="469">
        <v>2815</v>
      </c>
      <c r="J36" s="470">
        <f>SUM(F36:I36)</f>
        <v>11888</v>
      </c>
      <c r="K36" s="469">
        <v>3819</v>
      </c>
      <c r="L36" s="469">
        <v>3135</v>
      </c>
      <c r="M36" s="469">
        <v>2544</v>
      </c>
      <c r="N36" s="469">
        <v>2956</v>
      </c>
      <c r="O36" s="470">
        <f>SUM(K36:N36)</f>
        <v>12454</v>
      </c>
      <c r="P36" s="469">
        <v>4314</v>
      </c>
      <c r="Q36" s="469">
        <v>3434</v>
      </c>
      <c r="R36" s="469">
        <v>2872</v>
      </c>
      <c r="S36" s="469">
        <v>3335</v>
      </c>
      <c r="T36" s="470">
        <f>SUM(P36:S36)</f>
        <v>13955</v>
      </c>
      <c r="U36" s="469">
        <v>4613</v>
      </c>
      <c r="V36" s="469">
        <v>3839</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Other / Reconciliation Operating Income</v>
      </c>
      <c r="D37" s="16"/>
      <c r="E37" s="16"/>
      <c r="F37" s="469">
        <v>4479</v>
      </c>
      <c r="G37" s="469">
        <v>3466</v>
      </c>
      <c r="H37" s="469">
        <v>1231</v>
      </c>
      <c r="I37" s="469">
        <v>2401</v>
      </c>
      <c r="J37" s="470">
        <f>SUM(F37:I37)</f>
        <v>11577</v>
      </c>
      <c r="K37" s="469">
        <v>7575</v>
      </c>
      <c r="L37" s="469">
        <v>2991</v>
      </c>
      <c r="M37" s="469">
        <v>2037</v>
      </c>
      <c r="N37" s="469">
        <v>3421</v>
      </c>
      <c r="O37" s="470">
        <f>SUM(K37:N37)</f>
        <v>16024</v>
      </c>
      <c r="P37" s="469">
        <v>8849</v>
      </c>
      <c r="Q37" s="469">
        <v>2755</v>
      </c>
      <c r="R37" s="469">
        <v>2997</v>
      </c>
      <c r="S37" s="469">
        <v>5097</v>
      </c>
      <c r="T37" s="470">
        <f>SUM(P37:S37)</f>
        <v>19698</v>
      </c>
      <c r="U37" s="469">
        <v>10494</v>
      </c>
      <c r="V37" s="469">
        <v>3484</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v>1e-12</v>
      </c>
      <c r="K38" s="469">
        <v>0</v>
      </c>
      <c r="L38" s="469">
        <v>0</v>
      </c>
      <c r="M38" s="469">
        <v>0</v>
      </c>
      <c r="N38" s="469">
        <v>0</v>
      </c>
      <c r="O38" s="470">
        <f>SUM(K38:N38)</f>
        <v>1e-12</v>
      </c>
      <c r="P38" s="469">
        <v>0</v>
      </c>
      <c r="Q38" s="469">
        <v>0</v>
      </c>
      <c r="R38" s="469">
        <v>0</v>
      </c>
      <c r="S38" s="469">
        <v>0</v>
      </c>
      <c r="T38" s="470">
        <f>SUM(P38:S38)</f>
        <v>1e-12</v>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v>1e-12</v>
      </c>
      <c r="K39" s="469">
        <v>0</v>
      </c>
      <c r="L39" s="469">
        <v>0</v>
      </c>
      <c r="M39" s="469">
        <v>0</v>
      </c>
      <c r="N39" s="469">
        <v>0</v>
      </c>
      <c r="O39" s="470">
        <f>SUM(K39:N39)</f>
        <v>1e-12</v>
      </c>
      <c r="P39" s="469">
        <v>0</v>
      </c>
      <c r="Q39" s="469">
        <v>0</v>
      </c>
      <c r="R39" s="469">
        <v>0</v>
      </c>
      <c r="S39" s="469">
        <v>0</v>
      </c>
      <c r="T39" s="470">
        <f>SUM(P39:S39)</f>
        <v>1e-12</v>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3">F33-SUM(F34:F39)</f>
        <v>1e-12</v>
      </c>
      <c r="G41" s="483">
        <f>G33-SUM(G34:G39)</f>
        <v>1e-12</v>
      </c>
      <c r="H41" s="483">
        <f>H33-SUM(H34:H39)</f>
        <v>1e-12</v>
      </c>
      <c r="I41" s="483">
        <f>I33-SUM(I34:I39)</f>
        <v>1e-12</v>
      </c>
      <c r="J41" s="484">
        <f>J33-SUM(J34:J39)</f>
        <v>1e-12</v>
      </c>
      <c r="K41" s="483">
        <f>K33-SUM(K34:K39)</f>
        <v>1e-12</v>
      </c>
      <c r="L41" s="483">
        <f>L33-SUM(L34:L39)</f>
        <v>1e-12</v>
      </c>
      <c r="M41" s="483">
        <f>M33-SUM(M34:M39)</f>
        <v>1e-12</v>
      </c>
      <c r="N41" s="483">
        <f>N33-SUM(N34:N39)</f>
        <v>1e-12</v>
      </c>
      <c r="O41" s="484">
        <f>O33-SUM(O34:O39)</f>
        <v>1e-12</v>
      </c>
      <c r="P41" s="483">
        <f>P33-SUM(P34:P39)</f>
        <v>1e-12</v>
      </c>
      <c r="Q41" s="483">
        <f>Q33-SUM(Q34:Q39)</f>
        <v>1e-12</v>
      </c>
      <c r="R41" s="483">
        <f>R33-SUM(R34:R39)</f>
        <v>1e-12</v>
      </c>
      <c r="S41" s="483">
        <f>S33-SUM(S34:S39)</f>
        <v>1e-12</v>
      </c>
      <c r="T41" s="484">
        <f>T33-SUM(T34:T39)</f>
        <v>1e-12</v>
      </c>
      <c r="U41" s="483">
        <f>U33-SUM(U34:U39)</f>
        <v>1e-12</v>
      </c>
      <c r="V41" s="483">
        <f>V33-SUM(V34:V39)</f>
        <v>1e-12</v>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4">C16</f>
        <v>Home Improvement Retail</v>
      </c>
      <c r="D44" s="16"/>
      <c r="E44" s="16"/>
      <c r="F44" s="377">
        <f t="shared" ref="F44:AG44" si="45">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6">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7">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48">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49">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0">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1">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2">C16&amp;" D&amp;A"</f>
        <v>Home Improvement Retail D&amp;A</v>
      </c>
      <c r="D52" s="16"/>
      <c r="E52" s="16"/>
      <c r="F52" s="469">
        <v>0</v>
      </c>
      <c r="G52" s="469">
        <v>0</v>
      </c>
      <c r="H52" s="469">
        <v>0</v>
      </c>
      <c r="I52" s="469">
        <v>0</v>
      </c>
      <c r="J52" s="487">
        <f t="shared" ref="J52:J57" si="53">SUM(F52:I52)</f>
        <v>1e-12</v>
      </c>
      <c r="K52" s="469">
        <v>0</v>
      </c>
      <c r="L52" s="469">
        <v>0</v>
      </c>
      <c r="M52" s="469">
        <v>0</v>
      </c>
      <c r="N52" s="469">
        <v>0</v>
      </c>
      <c r="O52" s="487">
        <f t="shared" ref="O52:O57" si="54">SUM(K52:N52)</f>
        <v>1e-12</v>
      </c>
      <c r="P52" s="469">
        <v>0</v>
      </c>
      <c r="Q52" s="469">
        <v>0</v>
      </c>
      <c r="R52" s="469">
        <v>0</v>
      </c>
      <c r="S52" s="469">
        <v>0</v>
      </c>
      <c r="T52" s="487">
        <f t="shared" ref="T52:T57" si="55">SUM(P52:S52)</f>
        <v>1e-12</v>
      </c>
      <c r="U52" s="469">
        <v>0</v>
      </c>
      <c r="V52" s="469">
        <v>0</v>
      </c>
      <c r="W52" s="469">
        <v>425</v>
      </c>
      <c r="X52" s="488">
        <f t="shared" ref="X52:X57" si="56">X62*X$51</f>
        <v>331.18750000000006</v>
      </c>
      <c r="Y52" s="470">
        <f t="shared" ref="Y52:Y57" si="57">SUM(U52:X52)</f>
        <v>1556.1875</v>
      </c>
      <c r="Z52" s="488">
        <f t="shared" ref="Z52:AC52" si="58">Z62*Z$51</f>
        <v>331.86891850000006</v>
      </c>
      <c r="AA52" s="488">
        <f>AA62*AA$51</f>
        <v>336.85146518625004</v>
      </c>
      <c r="AB52" s="488">
        <f>AB62*AB$51</f>
        <v>342.23237867969067</v>
      </c>
      <c r="AC52" s="488">
        <f>AC62*AC$51</f>
        <v>343.91086566405204</v>
      </c>
      <c r="AD52" s="470">
        <f t="shared" ref="AD52:AD57" si="59">SUM(Z52:AC52)</f>
        <v>1354.863628029993</v>
      </c>
      <c r="AE52" s="470">
        <f t="shared" ref="AE52:AG52" si="60">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v>1e-12</v>
      </c>
      <c r="K53" s="469">
        <v>0</v>
      </c>
      <c r="L53" s="469">
        <v>0</v>
      </c>
      <c r="M53" s="469">
        <v>0</v>
      </c>
      <c r="N53" s="469">
        <v>0</v>
      </c>
      <c r="O53" s="487">
        <f>SUM(K53:N53)</f>
        <v>1e-12</v>
      </c>
      <c r="P53" s="469">
        <v>0</v>
      </c>
      <c r="Q53" s="469">
        <v>0</v>
      </c>
      <c r="R53" s="469">
        <v>0</v>
      </c>
      <c r="S53" s="469">
        <v>0</v>
      </c>
      <c r="T53" s="487">
        <f>SUM(P53:S53)</f>
        <v>1e-12</v>
      </c>
      <c r="U53" s="469">
        <v>0</v>
      </c>
      <c r="V53" s="469">
        <v>0</v>
      </c>
      <c r="W53" s="469">
        <v>0</v>
      </c>
      <c r="X53" s="488">
        <f>X63*X$51</f>
      </c>
      <c r="Y53" s="470">
        <f>SUM(U53:X53)</f>
      </c>
      <c r="Z53" s="488">
        <f t="shared" ref="Z53:AC53" si="61">Z63*Z$51</f>
        <v>0</v>
      </c>
      <c r="AA53" s="488">
        <f>AA63*AA$51</f>
      </c>
      <c r="AB53" s="488">
        <f>AB63*AB$51</f>
      </c>
      <c r="AC53" s="488">
        <f>AC63*AC$51</f>
      </c>
      <c r="AD53" s="470">
        <f>SUM(Z53:AC53)</f>
      </c>
      <c r="AE53" s="470">
        <f t="shared" ref="AE53:AG53" si="62">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v>1e-12</v>
      </c>
      <c r="K54" s="469">
        <v>0</v>
      </c>
      <c r="L54" s="469">
        <v>0</v>
      </c>
      <c r="M54" s="469">
        <v>0</v>
      </c>
      <c r="N54" s="469">
        <v>0</v>
      </c>
      <c r="O54" s="487">
        <f>SUM(K54:N54)</f>
        <v>1e-12</v>
      </c>
      <c r="P54" s="469">
        <v>0</v>
      </c>
      <c r="Q54" s="469">
        <v>0</v>
      </c>
      <c r="R54" s="469">
        <v>0</v>
      </c>
      <c r="S54" s="469">
        <v>0</v>
      </c>
      <c r="T54" s="487">
        <f>SUM(P54:S54)</f>
        <v>1e-12</v>
      </c>
      <c r="U54" s="469">
        <v>0</v>
      </c>
      <c r="V54" s="469">
        <v>0</v>
      </c>
      <c r="W54" s="469">
        <v>0</v>
      </c>
      <c r="X54" s="488">
        <f>X64*X$51</f>
      </c>
      <c r="Y54" s="470">
        <f>SUM(U54:X54)</f>
      </c>
      <c r="Z54" s="488">
        <f t="shared" ref="Z54:AC54" si="63">Z64*Z$51</f>
        <v>0</v>
      </c>
      <c r="AA54" s="488">
        <f>AA64*AA$51</f>
      </c>
      <c r="AB54" s="488">
        <f>AB64*AB$51</f>
      </c>
      <c r="AC54" s="488">
        <f>AC64*AC$51</f>
      </c>
      <c r="AD54" s="470">
        <f>SUM(Z54:AC54)</f>
      </c>
      <c r="AE54" s="470">
        <f t="shared" ref="AE54:AG54" si="64">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v>1e-12</v>
      </c>
      <c r="K55" s="469">
        <v>0</v>
      </c>
      <c r="L55" s="469">
        <v>0</v>
      </c>
      <c r="M55" s="469">
        <v>0</v>
      </c>
      <c r="N55" s="469">
        <v>0</v>
      </c>
      <c r="O55" s="487">
        <f>SUM(K55:N55)</f>
        <v>1e-12</v>
      </c>
      <c r="P55" s="469">
        <v>0</v>
      </c>
      <c r="Q55" s="469">
        <v>0</v>
      </c>
      <c r="R55" s="469">
        <v>0</v>
      </c>
      <c r="S55" s="469">
        <v>0</v>
      </c>
      <c r="T55" s="487">
        <f>SUM(P55:S55)</f>
        <v>1e-12</v>
      </c>
      <c r="U55" s="469">
        <v>0</v>
      </c>
      <c r="V55" s="469">
        <v>0</v>
      </c>
      <c r="W55" s="469">
        <v>0</v>
      </c>
      <c r="X55" s="488">
        <f>X65*X$51</f>
      </c>
      <c r="Y55" s="470">
        <f>SUM(U55:X55)</f>
      </c>
      <c r="Z55" s="488">
        <f t="shared" ref="Z55:AC55" si="65">Z65*Z$51</f>
        <v>0</v>
      </c>
      <c r="AA55" s="488">
        <f>AA65*AA$51</f>
      </c>
      <c r="AB55" s="488">
        <f>AB65*AB$51</f>
      </c>
      <c r="AC55" s="488">
        <f>AC65*AC$51</f>
      </c>
      <c r="AD55" s="470">
        <f>SUM(Z55:AC55)</f>
      </c>
      <c r="AE55" s="470">
        <f t="shared" ref="AE55:AG55" si="66">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v>1e-12</v>
      </c>
      <c r="K56" s="469">
        <v>0</v>
      </c>
      <c r="L56" s="469">
        <v>0</v>
      </c>
      <c r="M56" s="469">
        <v>0</v>
      </c>
      <c r="N56" s="469">
        <v>0</v>
      </c>
      <c r="O56" s="487">
        <f>SUM(K56:N56)</f>
        <v>1e-12</v>
      </c>
      <c r="P56" s="469">
        <v>0</v>
      </c>
      <c r="Q56" s="469">
        <v>0</v>
      </c>
      <c r="R56" s="469">
        <v>0</v>
      </c>
      <c r="S56" s="469">
        <v>0</v>
      </c>
      <c r="T56" s="487">
        <f>SUM(P56:S56)</f>
        <v>1e-12</v>
      </c>
      <c r="U56" s="469">
        <v>0</v>
      </c>
      <c r="V56" s="469">
        <v>0</v>
      </c>
      <c r="W56" s="469">
        <v>0</v>
      </c>
      <c r="X56" s="488">
        <f>X66*X$51</f>
      </c>
      <c r="Y56" s="470">
        <f>SUM(U56:X56)</f>
      </c>
      <c r="Z56" s="488">
        <f t="shared" ref="Z56:AC56" si="67">Z66*Z$51</f>
        <v>0</v>
      </c>
      <c r="AA56" s="488">
        <f>AA66*AA$51</f>
      </c>
      <c r="AB56" s="488">
        <f>AB66*AB$51</f>
      </c>
      <c r="AC56" s="488">
        <f>AC66*AC$51</f>
      </c>
      <c r="AD56" s="470">
        <f>SUM(Z56:AC56)</f>
      </c>
      <c r="AE56" s="470">
        <f t="shared" ref="AE56:AG56" si="68">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v>1e-12</v>
      </c>
      <c r="K57" s="469">
        <v>0</v>
      </c>
      <c r="L57" s="469">
        <v>0</v>
      </c>
      <c r="M57" s="469">
        <v>0</v>
      </c>
      <c r="N57" s="469">
        <v>0</v>
      </c>
      <c r="O57" s="487">
        <f>SUM(K57:N57)</f>
        <v>1e-12</v>
      </c>
      <c r="P57" s="469">
        <v>0</v>
      </c>
      <c r="Q57" s="469">
        <v>0</v>
      </c>
      <c r="R57" s="469">
        <v>0</v>
      </c>
      <c r="S57" s="469">
        <v>0</v>
      </c>
      <c r="T57" s="487">
        <f>SUM(P57:S57)</f>
        <v>1e-12</v>
      </c>
      <c r="U57" s="469">
        <v>0</v>
      </c>
      <c r="V57" s="469">
        <v>0</v>
      </c>
      <c r="W57" s="469">
        <v>0</v>
      </c>
      <c r="X57" s="488">
        <f>X67*X$51</f>
      </c>
      <c r="Y57" s="470">
        <f>SUM(U57:X57)</f>
      </c>
      <c r="Z57" s="488">
        <f t="shared" ref="Z57:AC57" si="69">Z67*Z$51</f>
        <v>0</v>
      </c>
      <c r="AA57" s="488">
        <f>AA67*AA$51</f>
      </c>
      <c r="AB57" s="488">
        <f>AB67*AB$51</f>
      </c>
      <c r="AC57" s="488">
        <f>AC67*AC$51</f>
      </c>
      <c r="AD57" s="470">
        <f>SUM(Z57:AC57)</f>
      </c>
      <c r="AE57" s="470">
        <f t="shared" ref="AE57:AG57" si="70">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1e-12</v>
      </c>
      <c r="K59" s="489">
        <f>K51-Model!K60</f>
        <v>1e-12</v>
      </c>
      <c r="L59" s="489">
        <f>L51-Model!L60</f>
        <v>1e-12</v>
      </c>
      <c r="M59" s="489">
        <f>M51-Model!M60</f>
        <v>1e-12</v>
      </c>
      <c r="N59" s="489">
        <f>N51-Model!N60</f>
        <v>1e-12</v>
      </c>
      <c r="O59" s="484">
        <f>O51-Model!O60</f>
        <v>1e-12</v>
      </c>
      <c r="P59" s="489">
        <f>P51-Model!P60</f>
        <v>1e-12</v>
      </c>
      <c r="Q59" s="489">
        <f>Q51-Model!Q60</f>
        <v>1e-12</v>
      </c>
      <c r="R59" s="489">
        <f>R51-Model!R60</f>
        <v>1e-12</v>
      </c>
      <c r="S59" s="489">
        <f>S51-Model!S60</f>
        <v>1e-12</v>
      </c>
      <c r="T59" s="484">
        <f>T51-Model!T60</f>
        <v>1e-12</v>
      </c>
      <c r="U59" s="489">
        <f>U51-Model!U60</f>
        <v>1e-12</v>
      </c>
      <c r="V59" s="489">
        <f>V51-Model!V60</f>
        <v>1e-12</v>
      </c>
      <c r="W59" s="489">
        <f>W51-Model!W60</f>
        <v>0</v>
      </c>
      <c r="X59" s="490">
        <f t="shared" ref="X59:AG59" si="71">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2">C16</f>
        <v>Home Improvement Retail</v>
      </c>
      <c r="D62" s="16"/>
      <c r="E62" s="16"/>
      <c r="F62" s="377">
        <f t="shared" ref="F62:W62" si="73">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4">Y52/Y$51</f>
        <v>1</v>
      </c>
      <c r="Z62" s="380">
        <f>Drivers!Z78</f>
        <v>1</v>
      </c>
      <c r="AA62" s="380">
        <f>Drivers!AA78</f>
        <v>1</v>
      </c>
      <c r="AB62" s="380">
        <f>Drivers!AB78</f>
        <v>1</v>
      </c>
      <c r="AC62" s="380">
        <f>Drivers!AC78</f>
        <v>1</v>
      </c>
      <c r="AD62" s="492">
        <f t="shared" ref="AD62:AD67" si="75">AD52/AD$51</f>
        <v>1</v>
      </c>
      <c r="AE62" s="381">
        <f>Drivers!AE78</f>
        <v>1</v>
      </c>
      <c r="AF62" s="381">
        <f>Drivers!AF78</f>
        <v>1</v>
      </c>
      <c r="AG62" s="381">
        <f>Drivers!AG78</f>
        <v>1</v>
      </c>
    </row>
    <row r="63" ht="14.25" customHeight="1" spans="1:33" x14ac:dyDescent="0.25">
      <c r="C63" s="491" t="str">
        <f>C17</f>
        <v>Segment 2</v>
      </c>
      <c r="D63" s="16"/>
      <c r="E63" s="16"/>
      <c r="F63" s="377">
        <f t="shared" ref="F63:W63" si="76">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7">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78">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79">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0">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1">F51+F33</f>
        <v>1825</v>
      </c>
      <c r="G69" s="317">
        <f>G51+G33</f>
        <v>2508</v>
      </c>
      <c r="H69" s="317">
        <f>H51+H33</f>
        <v>1390</v>
      </c>
      <c r="I69" s="317">
        <f>I51+I33</f>
        <v>-228</v>
      </c>
      <c r="J69" s="287">
        <f>J51+J33</f>
        <v>115778</v>
      </c>
      <c r="K69" s="317">
        <f>K51+K33</f>
        <v>1719</v>
      </c>
      <c r="L69" s="317">
        <f>L51+L33</f>
        <v>2692</v>
      </c>
      <c r="M69" s="317">
        <f>M51+M33</f>
        <v>1868</v>
      </c>
      <c r="N69" s="317">
        <f>N51+N33</f>
        <v>1297</v>
      </c>
      <c r="O69" s="287">
        <f>O51+O33</f>
        <v>124478</v>
      </c>
      <c r="P69" s="317">
        <f>P51+P33</f>
        <v>2317</v>
      </c>
      <c r="Q69" s="317">
        <f>Q51+Q33</f>
        <v>4284</v>
      </c>
      <c r="R69" s="317">
        <f>R51+R33</f>
        <v>3588.3</v>
      </c>
      <c r="S69" s="317">
        <f>S51+S33</f>
        <v>3159</v>
      </c>
      <c r="T69" s="287">
        <f>T51+T33</f>
        <v>134448</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2">C16&amp;" EBITDA"</f>
        <v>Home Improvement Retail EBITDA</v>
      </c>
      <c r="D70" s="16"/>
      <c r="E70" s="16"/>
      <c r="F70" s="317">
        <f t="shared" ref="F70:AG70" si="83">F52+F34</f>
        <v>17864</v>
      </c>
      <c r="G70" s="317">
        <f>G52+G34</f>
        <v>13927</v>
      </c>
      <c r="H70" s="317">
        <f>H52+H34</f>
        <v>13117</v>
      </c>
      <c r="I70" s="317">
        <f>I52+I34</f>
        <v>15600</v>
      </c>
      <c r="J70" s="495">
        <f>J52+J34</f>
        <v>5495</v>
      </c>
      <c r="K70" s="317">
        <f>K52+K34</f>
        <v>20357</v>
      </c>
      <c r="L70" s="317">
        <f>L52+L34</f>
        <v>15074</v>
      </c>
      <c r="M70" s="317">
        <f>M52+M34</f>
        <v>15209</v>
      </c>
      <c r="N70" s="317">
        <f>N52+N34</f>
        <v>17016</v>
      </c>
      <c r="O70" s="495">
        <f>O52+O34</f>
        <v>7576</v>
      </c>
      <c r="P70" s="317">
        <f>P52+P34</f>
        <v>21509</v>
      </c>
      <c r="Q70" s="317">
        <f>Q52+Q34</f>
        <v>16774</v>
      </c>
      <c r="R70" s="317">
        <f>R52+R34</f>
        <v>16511</v>
      </c>
      <c r="S70" s="317">
        <f>S52+S34</f>
        <v>17686</v>
      </c>
      <c r="T70" s="495">
        <f>T52+T34</f>
        <v>13348.3</v>
      </c>
      <c r="U70" s="317">
        <f>U52+U34</f>
        <v>23953</v>
      </c>
      <c r="V70" s="317">
        <f>V52+V34</f>
        <v>19373</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4">F53+F35</f>
        <v>10437</v>
      </c>
      <c r="G71" s="317">
        <f>G53+G35</f>
        <v>7531</v>
      </c>
      <c r="H71" s="317">
        <f>H53+H35</f>
        <v>6207</v>
      </c>
      <c r="I71" s="317">
        <f>I53+I35</f>
        <v>6153</v>
      </c>
      <c r="J71" s="495">
        <f>J53+J35</f>
        <v>1e-12</v>
      </c>
      <c r="K71" s="317">
        <f>K53+K35</f>
        <v>8622</v>
      </c>
      <c r="L71" s="317">
        <f>L53+L35</f>
        <v>6700</v>
      </c>
      <c r="M71" s="317">
        <f>M53+M35</f>
        <v>5562</v>
      </c>
      <c r="N71" s="317">
        <f>N53+N35</f>
        <v>6198</v>
      </c>
      <c r="O71" s="495">
        <f>O53+O35</f>
        <v>1e-12</v>
      </c>
      <c r="P71" s="317">
        <f>P53+P35</f>
        <v>8160</v>
      </c>
      <c r="Q71" s="317">
        <f>Q53+Q35</f>
        <v>6626</v>
      </c>
      <c r="R71" s="317">
        <f>R53+R35</f>
        <v>5822</v>
      </c>
      <c r="S71" s="317">
        <f>S53+S35</f>
        <v>6309</v>
      </c>
      <c r="T71" s="495">
        <f>T53+T35</f>
        <v>1e-12</v>
      </c>
      <c r="U71" s="317">
        <f>U53+U35</f>
        <v>11792</v>
      </c>
      <c r="V71" s="317">
        <f>V53+V35</f>
        <v>9189</v>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5">F54+F36</f>
        <v>3236</v>
      </c>
      <c r="G72" s="317">
        <f>G54+G36</f>
        <v>3394</v>
      </c>
      <c r="H72" s="317">
        <f>H54+H36</f>
        <v>2443</v>
      </c>
      <c r="I72" s="317">
        <f>I54+I36</f>
        <v>2815</v>
      </c>
      <c r="J72" s="495">
        <f>J54+J36</f>
        <v>1e-12</v>
      </c>
      <c r="K72" s="317">
        <f>K54+K36</f>
        <v>3819</v>
      </c>
      <c r="L72" s="317">
        <f>L54+L36</f>
        <v>3135</v>
      </c>
      <c r="M72" s="317">
        <f>M54+M36</f>
        <v>2544</v>
      </c>
      <c r="N72" s="317">
        <f>N54+N36</f>
        <v>2956</v>
      </c>
      <c r="O72" s="495">
        <f>O54+O36</f>
        <v>1e-12</v>
      </c>
      <c r="P72" s="317">
        <f>P54+P36</f>
        <v>4314</v>
      </c>
      <c r="Q72" s="317">
        <f>Q54+Q36</f>
        <v>3434</v>
      </c>
      <c r="R72" s="317">
        <f>R54+R36</f>
        <v>2872</v>
      </c>
      <c r="S72" s="317">
        <f>S54+S36</f>
        <v>3335</v>
      </c>
      <c r="T72" s="495">
        <f>T54+T36</f>
        <v>1e-12</v>
      </c>
      <c r="U72" s="317">
        <f>U54+U36</f>
        <v>4613</v>
      </c>
      <c r="V72" s="317">
        <f>V54+V36</f>
        <v>3839</v>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6">F55+F37</f>
        <v>4479</v>
      </c>
      <c r="G73" s="317">
        <f>G55+G37</f>
        <v>3466</v>
      </c>
      <c r="H73" s="317">
        <f>H55+H37</f>
        <v>1231</v>
      </c>
      <c r="I73" s="317">
        <f>I55+I37</f>
        <v>2401</v>
      </c>
      <c r="J73" s="495">
        <f>J55+J37</f>
        <v>1e-12</v>
      </c>
      <c r="K73" s="317">
        <f>K55+K37</f>
        <v>7575</v>
      </c>
      <c r="L73" s="317">
        <f>L55+L37</f>
        <v>2991</v>
      </c>
      <c r="M73" s="317">
        <f>M55+M37</f>
        <v>2037</v>
      </c>
      <c r="N73" s="317">
        <f>N55+N37</f>
        <v>3421</v>
      </c>
      <c r="O73" s="495">
        <f>O55+O37</f>
        <v>1e-12</v>
      </c>
      <c r="P73" s="317">
        <f>P55+P37</f>
        <v>8849</v>
      </c>
      <c r="Q73" s="317">
        <f>Q55+Q37</f>
        <v>2755</v>
      </c>
      <c r="R73" s="317">
        <f>R55+R37</f>
        <v>2997</v>
      </c>
      <c r="S73" s="317">
        <f>S55+S37</f>
        <v>5097</v>
      </c>
      <c r="T73" s="495">
        <f>T55+T37</f>
        <v>1e-12</v>
      </c>
      <c r="U73" s="317">
        <f>U55+U37</f>
        <v>10494</v>
      </c>
      <c r="V73" s="317">
        <f>V55+V37</f>
        <v>3484</v>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7">F56+F38</f>
        <v>1e-12</v>
      </c>
      <c r="G74" s="317">
        <f>G56+G38</f>
        <v>1e-12</v>
      </c>
      <c r="H74" s="317">
        <f>H56+H38</f>
        <v>1e-12</v>
      </c>
      <c r="I74" s="317">
        <f>I56+I38</f>
        <v>1e-12</v>
      </c>
      <c r="J74" s="495">
        <f>J56+J38</f>
        <v>1e-12</v>
      </c>
      <c r="K74" s="317">
        <f>K56+K38</f>
        <v>1e-12</v>
      </c>
      <c r="L74" s="317">
        <f>L56+L38</f>
        <v>1e-12</v>
      </c>
      <c r="M74" s="317">
        <f>M56+M38</f>
        <v>1e-12</v>
      </c>
      <c r="N74" s="317">
        <f>N56+N38</f>
        <v>1e-12</v>
      </c>
      <c r="O74" s="495">
        <f>O56+O38</f>
        <v>1e-12</v>
      </c>
      <c r="P74" s="317">
        <f>P56+P38</f>
        <v>1e-12</v>
      </c>
      <c r="Q74" s="317">
        <f>Q56+Q38</f>
        <v>1e-12</v>
      </c>
      <c r="R74" s="317">
        <f>R56+R38</f>
        <v>1e-12</v>
      </c>
      <c r="S74" s="317">
        <f>S56+S38</f>
        <v>1e-12</v>
      </c>
      <c r="T74" s="495">
        <f>T56+T38</f>
        <v>1e-12</v>
      </c>
      <c r="U74" s="317">
        <f>U56+U38</f>
        <v>1e-12</v>
      </c>
      <c r="V74" s="317">
        <f>V56+V38</f>
        <v>1e-12</v>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88">F57+F39</f>
        <v>1e-12</v>
      </c>
      <c r="G75" s="317">
        <f>G57+G39</f>
        <v>1e-12</v>
      </c>
      <c r="H75" s="317">
        <f>H57+H39</f>
        <v>1e-12</v>
      </c>
      <c r="I75" s="317">
        <f>I57+I39</f>
        <v>1e-12</v>
      </c>
      <c r="J75" s="495">
        <f>J57+J39</f>
        <v>1e-12</v>
      </c>
      <c r="K75" s="317">
        <f>K57+K39</f>
        <v>1e-12</v>
      </c>
      <c r="L75" s="317">
        <f>L57+L39</f>
        <v>1e-12</v>
      </c>
      <c r="M75" s="317">
        <f>M57+M39</f>
        <v>1e-12</v>
      </c>
      <c r="N75" s="317">
        <f>N57+N39</f>
        <v>1e-12</v>
      </c>
      <c r="O75" s="495">
        <f>O57+O39</f>
        <v>1e-12</v>
      </c>
      <c r="P75" s="317">
        <f>P57+P39</f>
        <v>1e-12</v>
      </c>
      <c r="Q75" s="317">
        <f>Q57+Q39</f>
        <v>1e-12</v>
      </c>
      <c r="R75" s="317">
        <f>R57+R39</f>
        <v>1e-12</v>
      </c>
      <c r="S75" s="317">
        <f>S57+S39</f>
        <v>1e-12</v>
      </c>
      <c r="T75" s="495">
        <f>T57+T39</f>
        <v>1e-12</v>
      </c>
      <c r="U75" s="317">
        <f>U57+U39</f>
        <v>1e-12</v>
      </c>
      <c r="V75" s="317">
        <f>V57+V39</f>
        <v>1e-12</v>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9">C16</f>
        <v>Home Improvement Retail</v>
      </c>
      <c r="D78" s="16"/>
      <c r="E78" s="16"/>
      <c r="F78" s="377">
        <f t="shared" ref="F78:AG78" si="90">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1">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2">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3">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4">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5">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6">SUM(F89:F93)</f>
        <v>1e-12</v>
      </c>
      <c r="G88" s="498">
        <f>SUM(G89:G93)</f>
        <v>1e-12</v>
      </c>
      <c r="H88" s="498">
        <f>SUM(H89:H93)</f>
        <v>1e-12</v>
      </c>
      <c r="I88" s="498">
        <f>SUM(I89:I93)</f>
        <v>1e-12</v>
      </c>
      <c r="J88" s="287">
        <f t="shared" ref="J88:J93" si="97">SUM(F88:I88)</f>
        <v>1e-12</v>
      </c>
      <c r="K88" s="498">
        <f t="shared" ref="K88:N88" si="98">SUM(K89:K93)</f>
        <v>1e-12</v>
      </c>
      <c r="L88" s="498">
        <f>SUM(L89:L93)</f>
        <v>1e-12</v>
      </c>
      <c r="M88" s="498">
        <f>SUM(M89:M93)</f>
        <v>1e-12</v>
      </c>
      <c r="N88" s="498">
        <f>SUM(N89:N93)</f>
        <v>1e-12</v>
      </c>
      <c r="O88" s="287">
        <f t="shared" ref="O88:O93" si="99">SUM(K88:N88)</f>
        <v>1e-12</v>
      </c>
      <c r="P88" s="498">
        <f t="shared" ref="P88:S88" si="100">SUM(P89:P93)</f>
        <v>1e-12</v>
      </c>
      <c r="Q88" s="498">
        <f>SUM(Q89:Q93)</f>
        <v>1e-12</v>
      </c>
      <c r="R88" s="498">
        <f>SUM(R89:R93)</f>
        <v>1e-12</v>
      </c>
      <c r="S88" s="498">
        <f>SUM(S89:S93)</f>
        <v>1e-12</v>
      </c>
      <c r="T88" s="287">
        <f t="shared" ref="T88:T93" si="101">SUM(P88:S88)</f>
        <v>1e-12</v>
      </c>
      <c r="U88" s="498">
        <f t="shared" ref="U88:X88" si="102">SUM(U89:U93)</f>
        <v>1e-12</v>
      </c>
      <c r="V88" s="498">
        <f>SUM(V89:V93)</f>
        <v>1e-12</v>
      </c>
      <c r="W88" s="498">
        <f>SUM(W89:W93)</f>
      </c>
      <c r="X88" s="499">
        <f>SUM(X89:X93)</f>
      </c>
      <c r="Y88" s="287">
        <f t="shared" ref="Y88:Y93" si="103">SUM(U88:X88)</f>
        <v>0</v>
      </c>
      <c r="Z88" s="499">
        <f t="shared" ref="Z88:AC88" si="104">SUM(Z89:Z93)</f>
        <v>0</v>
      </c>
      <c r="AA88" s="499">
        <f>SUM(AA89:AA93)</f>
      </c>
      <c r="AB88" s="499">
        <f>SUM(AB89:AB93)</f>
      </c>
      <c r="AC88" s="499">
        <f>SUM(AC89:AC93)</f>
      </c>
      <c r="AD88" s="287">
        <f t="shared" ref="AD88:AD93" si="105">SUM(Z88:AC88)</f>
        <v>0</v>
      </c>
      <c r="AE88" s="500">
        <f t="shared" ref="AE88:AG88" si="106">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v>1e-12</v>
      </c>
      <c r="K89" s="469">
        <v>0</v>
      </c>
      <c r="L89" s="469">
        <v>0</v>
      </c>
      <c r="M89" s="469">
        <v>0</v>
      </c>
      <c r="N89" s="469">
        <v>0</v>
      </c>
      <c r="O89" s="470">
        <f>SUM(K89:N89)</f>
        <v>1e-12</v>
      </c>
      <c r="P89" s="469">
        <v>0</v>
      </c>
      <c r="Q89" s="469">
        <v>0</v>
      </c>
      <c r="R89" s="469">
        <v>0</v>
      </c>
      <c r="S89" s="469">
        <v>0</v>
      </c>
      <c r="T89" s="470">
        <f>SUM(P89:S89)</f>
        <v>1e-12</v>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v>1e-12</v>
      </c>
      <c r="K90" s="469">
        <v>0</v>
      </c>
      <c r="L90" s="469">
        <v>0</v>
      </c>
      <c r="M90" s="469">
        <v>0</v>
      </c>
      <c r="N90" s="469">
        <v>0</v>
      </c>
      <c r="O90" s="470">
        <f>SUM(K90:N90)</f>
        <v>1e-12</v>
      </c>
      <c r="P90" s="469">
        <v>0</v>
      </c>
      <c r="Q90" s="469">
        <v>0</v>
      </c>
      <c r="R90" s="469">
        <v>0</v>
      </c>
      <c r="S90" s="469">
        <v>0</v>
      </c>
      <c r="T90" s="470">
        <f>SUM(P90:S90)</f>
        <v>1e-12</v>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v>1e-12</v>
      </c>
      <c r="K91" s="469">
        <v>0</v>
      </c>
      <c r="L91" s="469">
        <v>0</v>
      </c>
      <c r="M91" s="469">
        <v>0</v>
      </c>
      <c r="N91" s="469">
        <v>0</v>
      </c>
      <c r="O91" s="470">
        <f>SUM(K91:N91)</f>
        <v>1e-12</v>
      </c>
      <c r="P91" s="469">
        <v>0</v>
      </c>
      <c r="Q91" s="469">
        <v>0</v>
      </c>
      <c r="R91" s="469">
        <v>0</v>
      </c>
      <c r="S91" s="469">
        <v>0</v>
      </c>
      <c r="T91" s="470">
        <f>SUM(P91:S91)</f>
        <v>1e-12</v>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v>1e-12</v>
      </c>
      <c r="K92" s="469">
        <v>0</v>
      </c>
      <c r="L92" s="469">
        <v>0</v>
      </c>
      <c r="M92" s="469">
        <v>0</v>
      </c>
      <c r="N92" s="469">
        <v>0</v>
      </c>
      <c r="O92" s="470">
        <f>SUM(K92:N92)</f>
        <v>1e-12</v>
      </c>
      <c r="P92" s="469">
        <v>0</v>
      </c>
      <c r="Q92" s="469">
        <v>0</v>
      </c>
      <c r="R92" s="469">
        <v>0</v>
      </c>
      <c r="S92" s="469">
        <v>0</v>
      </c>
      <c r="T92" s="470">
        <f>SUM(P92:S92)</f>
        <v>1e-12</v>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v>1e-12</v>
      </c>
      <c r="K93" s="469">
        <v>0</v>
      </c>
      <c r="L93" s="469">
        <v>0</v>
      </c>
      <c r="M93" s="469">
        <v>0</v>
      </c>
      <c r="N93" s="469">
        <v>0</v>
      </c>
      <c r="O93" s="470">
        <f>SUM(K93:N93)</f>
        <v>1e-12</v>
      </c>
      <c r="P93" s="469">
        <v>0</v>
      </c>
      <c r="Q93" s="469">
        <v>0</v>
      </c>
      <c r="R93" s="469">
        <v>0</v>
      </c>
      <c r="S93" s="469">
        <v>0</v>
      </c>
      <c r="T93" s="470">
        <f>SUM(P93:S93)</f>
        <v>1e-12</v>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7">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08">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09">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0">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1">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2">SUM(F103:I103)</f>
        <v>1e-12</v>
      </c>
      <c r="K103" s="469">
        <v>0</v>
      </c>
      <c r="L103" s="469">
        <v>0</v>
      </c>
      <c r="M103" s="469">
        <v>0</v>
      </c>
      <c r="N103" s="469">
        <v>0</v>
      </c>
      <c r="O103" s="470">
        <f t="shared" ref="O103:O107" si="113">SUM(K103:N103)</f>
        <v>1e-12</v>
      </c>
      <c r="P103" s="469">
        <v>0</v>
      </c>
      <c r="Q103" s="469">
        <v>0</v>
      </c>
      <c r="R103" s="469">
        <v>0</v>
      </c>
      <c r="S103" s="469">
        <v>0</v>
      </c>
      <c r="T103" s="470">
        <f t="shared" ref="T103:T107" si="114">SUM(P103:S103)</f>
        <v>1e-12</v>
      </c>
      <c r="U103" s="469">
        <v>0</v>
      </c>
      <c r="V103" s="469">
        <v>0</v>
      </c>
      <c r="W103" s="469">
        <v>0</v>
      </c>
      <c r="X103" s="477">
        <v>0</v>
      </c>
      <c r="Y103" s="470">
        <f t="shared" ref="Y103:Y107" si="115">SUM(U103:X103)</f>
        <v>0</v>
      </c>
      <c r="Z103" s="477">
        <v>0</v>
      </c>
      <c r="AA103" s="477">
        <v>0</v>
      </c>
      <c r="AB103" s="477">
        <v>0</v>
      </c>
      <c r="AC103" s="477">
        <v>0</v>
      </c>
      <c r="AD103" s="470">
        <f t="shared" ref="AD103:AD107" si="116">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v>1e-12</v>
      </c>
      <c r="K104" s="469">
        <v>0</v>
      </c>
      <c r="L104" s="469">
        <v>0</v>
      </c>
      <c r="M104" s="469">
        <v>0</v>
      </c>
      <c r="N104" s="469">
        <v>0</v>
      </c>
      <c r="O104" s="470">
        <f>SUM(K104:N104)</f>
        <v>1e-12</v>
      </c>
      <c r="P104" s="469">
        <v>0</v>
      </c>
      <c r="Q104" s="469">
        <v>0</v>
      </c>
      <c r="R104" s="469">
        <v>0</v>
      </c>
      <c r="S104" s="469">
        <v>0</v>
      </c>
      <c r="T104" s="470">
        <f>SUM(P104:S104)</f>
        <v>1e-12</v>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v>1e-12</v>
      </c>
      <c r="K105" s="469">
        <v>0</v>
      </c>
      <c r="L105" s="469">
        <v>0</v>
      </c>
      <c r="M105" s="469">
        <v>0</v>
      </c>
      <c r="N105" s="469">
        <v>0</v>
      </c>
      <c r="O105" s="470">
        <f>SUM(K105:N105)</f>
        <v>1e-12</v>
      </c>
      <c r="P105" s="469">
        <v>0</v>
      </c>
      <c r="Q105" s="469">
        <v>0</v>
      </c>
      <c r="R105" s="469">
        <v>0</v>
      </c>
      <c r="S105" s="469">
        <v>0</v>
      </c>
      <c r="T105" s="470">
        <f>SUM(P105:S105)</f>
        <v>1e-12</v>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v>1e-12</v>
      </c>
      <c r="K106" s="469">
        <v>0</v>
      </c>
      <c r="L106" s="469">
        <v>0</v>
      </c>
      <c r="M106" s="469">
        <v>0</v>
      </c>
      <c r="N106" s="469">
        <v>0</v>
      </c>
      <c r="O106" s="470">
        <f>SUM(K106:N106)</f>
        <v>1e-12</v>
      </c>
      <c r="P106" s="469">
        <v>0</v>
      </c>
      <c r="Q106" s="469">
        <v>0</v>
      </c>
      <c r="R106" s="469">
        <v>0</v>
      </c>
      <c r="S106" s="469">
        <v>0</v>
      </c>
      <c r="T106" s="470">
        <f>SUM(P106:S106)</f>
        <v>1e-12</v>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v>1e-12</v>
      </c>
      <c r="K107" s="469">
        <v>0</v>
      </c>
      <c r="L107" s="469">
        <v>0</v>
      </c>
      <c r="M107" s="469">
        <v>0</v>
      </c>
      <c r="N107" s="469">
        <v>0</v>
      </c>
      <c r="O107" s="470">
        <f>SUM(K107:N107)</f>
        <v>1e-12</v>
      </c>
      <c r="P107" s="469">
        <v>0</v>
      </c>
      <c r="Q107" s="469">
        <v>0</v>
      </c>
      <c r="R107" s="469">
        <v>0</v>
      </c>
      <c r="S107" s="469">
        <v>0</v>
      </c>
      <c r="T107" s="470">
        <f>SUM(P107:S107)</f>
        <v>1e-12</v>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7">SUM(F110:I110)</f>
        <v>1e-12</v>
      </c>
      <c r="K110" s="469">
        <v>0</v>
      </c>
      <c r="L110" s="469">
        <v>0</v>
      </c>
      <c r="M110" s="469">
        <v>0</v>
      </c>
      <c r="N110" s="469">
        <v>0</v>
      </c>
      <c r="O110" s="470">
        <f t="shared" ref="O110:O114" si="118">SUM(K110:N110)</f>
        <v>1e-12</v>
      </c>
      <c r="P110" s="469">
        <v>0</v>
      </c>
      <c r="Q110" s="469">
        <v>0</v>
      </c>
      <c r="R110" s="469">
        <v>0</v>
      </c>
      <c r="S110" s="469">
        <v>0</v>
      </c>
      <c r="T110" s="470">
        <f t="shared" ref="T110:T114" si="119">SUM(P110:S110)</f>
        <v>1e-12</v>
      </c>
      <c r="U110" s="469">
        <v>0</v>
      </c>
      <c r="V110" s="469">
        <v>0</v>
      </c>
      <c r="W110" s="469">
        <v>0</v>
      </c>
      <c r="X110" s="477">
        <v>0</v>
      </c>
      <c r="Y110" s="470">
        <f t="shared" ref="Y110:Y114" si="120">SUM(U110:X110)</f>
        <v>0</v>
      </c>
      <c r="Z110" s="477">
        <v>0</v>
      </c>
      <c r="AA110" s="477">
        <v>0</v>
      </c>
      <c r="AB110" s="477">
        <v>0</v>
      </c>
      <c r="AC110" s="477">
        <v>0</v>
      </c>
      <c r="AD110" s="470">
        <f t="shared" ref="AD110:AD114" si="121">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v>1e-12</v>
      </c>
      <c r="K111" s="469">
        <v>0</v>
      </c>
      <c r="L111" s="469">
        <v>0</v>
      </c>
      <c r="M111" s="469">
        <v>0</v>
      </c>
      <c r="N111" s="469">
        <v>0</v>
      </c>
      <c r="O111" s="470">
        <f>SUM(K111:N111)</f>
        <v>1e-12</v>
      </c>
      <c r="P111" s="469">
        <v>0</v>
      </c>
      <c r="Q111" s="469">
        <v>0</v>
      </c>
      <c r="R111" s="469">
        <v>0</v>
      </c>
      <c r="S111" s="469">
        <v>0</v>
      </c>
      <c r="T111" s="470">
        <f>SUM(P111:S111)</f>
        <v>1e-12</v>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v>1e-12</v>
      </c>
      <c r="K112" s="469">
        <v>0</v>
      </c>
      <c r="L112" s="469">
        <v>0</v>
      </c>
      <c r="M112" s="469">
        <v>0</v>
      </c>
      <c r="N112" s="469">
        <v>0</v>
      </c>
      <c r="O112" s="470">
        <f>SUM(K112:N112)</f>
        <v>1e-12</v>
      </c>
      <c r="P112" s="469">
        <v>0</v>
      </c>
      <c r="Q112" s="469">
        <v>0</v>
      </c>
      <c r="R112" s="469">
        <v>0</v>
      </c>
      <c r="S112" s="469">
        <v>0</v>
      </c>
      <c r="T112" s="470">
        <f>SUM(P112:S112)</f>
        <v>1e-12</v>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v>1e-12</v>
      </c>
      <c r="K113" s="469">
        <v>0</v>
      </c>
      <c r="L113" s="469">
        <v>0</v>
      </c>
      <c r="M113" s="469">
        <v>0</v>
      </c>
      <c r="N113" s="469">
        <v>0</v>
      </c>
      <c r="O113" s="470">
        <f>SUM(K113:N113)</f>
        <v>1e-12</v>
      </c>
      <c r="P113" s="469">
        <v>0</v>
      </c>
      <c r="Q113" s="469">
        <v>0</v>
      </c>
      <c r="R113" s="469">
        <v>0</v>
      </c>
      <c r="S113" s="469">
        <v>0</v>
      </c>
      <c r="T113" s="470">
        <f>SUM(P113:S113)</f>
        <v>1e-12</v>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v>1e-12</v>
      </c>
      <c r="K114" s="469">
        <v>0</v>
      </c>
      <c r="L114" s="469">
        <v>0</v>
      </c>
      <c r="M114" s="469">
        <v>0</v>
      </c>
      <c r="N114" s="469">
        <v>0</v>
      </c>
      <c r="O114" s="470">
        <f>SUM(K114:N114)</f>
        <v>1e-12</v>
      </c>
      <c r="P114" s="469">
        <v>0</v>
      </c>
      <c r="Q114" s="469">
        <v>0</v>
      </c>
      <c r="R114" s="469">
        <v>0</v>
      </c>
      <c r="S114" s="469">
        <v>0</v>
      </c>
      <c r="T114" s="470">
        <f>SUM(P114:S114)</f>
        <v>1e-12</v>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2">SUM(F117:I117)</f>
        <v>1e-12</v>
      </c>
      <c r="K117" s="469">
        <v>0</v>
      </c>
      <c r="L117" s="469">
        <v>0</v>
      </c>
      <c r="M117" s="469">
        <v>0</v>
      </c>
      <c r="N117" s="469">
        <v>0</v>
      </c>
      <c r="O117" s="470">
        <f t="shared" ref="O117:O121" si="123">SUM(K117:N117)</f>
        <v>1e-12</v>
      </c>
      <c r="P117" s="469">
        <v>0</v>
      </c>
      <c r="Q117" s="469">
        <v>0</v>
      </c>
      <c r="R117" s="469">
        <v>0</v>
      </c>
      <c r="S117" s="469">
        <v>0</v>
      </c>
      <c r="T117" s="470">
        <f t="shared" ref="T117:T121" si="124">SUM(P117:S117)</f>
        <v>1e-12</v>
      </c>
      <c r="U117" s="469">
        <v>0</v>
      </c>
      <c r="V117" s="469">
        <v>0</v>
      </c>
      <c r="W117" s="469">
        <v>0</v>
      </c>
      <c r="X117" s="477">
        <v>0</v>
      </c>
      <c r="Y117" s="470">
        <f t="shared" ref="Y117:Y121" si="125">SUM(U117:X117)</f>
        <v>0</v>
      </c>
      <c r="Z117" s="477">
        <v>0</v>
      </c>
      <c r="AA117" s="477">
        <v>0</v>
      </c>
      <c r="AB117" s="477">
        <v>0</v>
      </c>
      <c r="AC117" s="477">
        <v>0</v>
      </c>
      <c r="AD117" s="470">
        <f t="shared" ref="AD117:AD121" si="126">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v>1e-12</v>
      </c>
      <c r="K118" s="469">
        <v>0</v>
      </c>
      <c r="L118" s="469">
        <v>0</v>
      </c>
      <c r="M118" s="469">
        <v>0</v>
      </c>
      <c r="N118" s="469">
        <v>0</v>
      </c>
      <c r="O118" s="470">
        <f>SUM(K118:N118)</f>
        <v>1e-12</v>
      </c>
      <c r="P118" s="469">
        <v>0</v>
      </c>
      <c r="Q118" s="469">
        <v>0</v>
      </c>
      <c r="R118" s="469">
        <v>0</v>
      </c>
      <c r="S118" s="469">
        <v>0</v>
      </c>
      <c r="T118" s="470">
        <f>SUM(P118:S118)</f>
        <v>1e-12</v>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v>1e-12</v>
      </c>
      <c r="K119" s="469">
        <v>0</v>
      </c>
      <c r="L119" s="469">
        <v>0</v>
      </c>
      <c r="M119" s="469">
        <v>0</v>
      </c>
      <c r="N119" s="469">
        <v>0</v>
      </c>
      <c r="O119" s="470">
        <f>SUM(K119:N119)</f>
        <v>1e-12</v>
      </c>
      <c r="P119" s="469">
        <v>0</v>
      </c>
      <c r="Q119" s="469">
        <v>0</v>
      </c>
      <c r="R119" s="469">
        <v>0</v>
      </c>
      <c r="S119" s="469">
        <v>0</v>
      </c>
      <c r="T119" s="470">
        <f>SUM(P119:S119)</f>
        <v>1e-12</v>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v>1e-12</v>
      </c>
      <c r="K120" s="469">
        <v>0</v>
      </c>
      <c r="L120" s="469">
        <v>0</v>
      </c>
      <c r="M120" s="469">
        <v>0</v>
      </c>
      <c r="N120" s="469">
        <v>0</v>
      </c>
      <c r="O120" s="470">
        <f>SUM(K120:N120)</f>
        <v>1e-12</v>
      </c>
      <c r="P120" s="469">
        <v>0</v>
      </c>
      <c r="Q120" s="469">
        <v>0</v>
      </c>
      <c r="R120" s="469">
        <v>0</v>
      </c>
      <c r="S120" s="469">
        <v>0</v>
      </c>
      <c r="T120" s="470">
        <f>SUM(P120:S120)</f>
        <v>1e-12</v>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v>1e-12</v>
      </c>
      <c r="K121" s="469">
        <v>0</v>
      </c>
      <c r="L121" s="469">
        <v>0</v>
      </c>
      <c r="M121" s="469">
        <v>0</v>
      </c>
      <c r="N121" s="469">
        <v>0</v>
      </c>
      <c r="O121" s="470">
        <f>SUM(K121:N121)</f>
        <v>1e-12</v>
      </c>
      <c r="P121" s="469">
        <v>0</v>
      </c>
      <c r="Q121" s="469">
        <v>0</v>
      </c>
      <c r="R121" s="469">
        <v>0</v>
      </c>
      <c r="S121" s="469">
        <v>0</v>
      </c>
      <c r="T121" s="470">
        <f>SUM(P121:S121)</f>
        <v>1e-12</v>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7">SUM(F124:I124)</f>
        <v>1e-12</v>
      </c>
      <c r="K124" s="469">
        <v>0</v>
      </c>
      <c r="L124" s="469">
        <v>0</v>
      </c>
      <c r="M124" s="469">
        <v>0</v>
      </c>
      <c r="N124" s="469">
        <v>0</v>
      </c>
      <c r="O124" s="470">
        <f t="shared" ref="O124:O128" si="128">SUM(K124:N124)</f>
        <v>1e-12</v>
      </c>
      <c r="P124" s="469">
        <v>0</v>
      </c>
      <c r="Q124" s="469">
        <v>0</v>
      </c>
      <c r="R124" s="469">
        <v>0</v>
      </c>
      <c r="S124" s="469">
        <v>0</v>
      </c>
      <c r="T124" s="470">
        <f t="shared" ref="T124:T128" si="129">SUM(P124:S124)</f>
        <v>1e-12</v>
      </c>
      <c r="U124" s="469">
        <v>0</v>
      </c>
      <c r="V124" s="469">
        <v>0</v>
      </c>
      <c r="W124" s="469">
        <v>0</v>
      </c>
      <c r="X124" s="477">
        <v>0</v>
      </c>
      <c r="Y124" s="470">
        <f t="shared" ref="Y124:Y128" si="130">SUM(U124:X124)</f>
        <v>0</v>
      </c>
      <c r="Z124" s="477">
        <v>0</v>
      </c>
      <c r="AA124" s="477">
        <v>0</v>
      </c>
      <c r="AB124" s="477">
        <v>0</v>
      </c>
      <c r="AC124" s="477">
        <v>0</v>
      </c>
      <c r="AD124" s="470">
        <f t="shared" ref="AD124:AD128" si="131">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v>1e-12</v>
      </c>
      <c r="K125" s="469">
        <v>0</v>
      </c>
      <c r="L125" s="469">
        <v>0</v>
      </c>
      <c r="M125" s="469">
        <v>0</v>
      </c>
      <c r="N125" s="469">
        <v>0</v>
      </c>
      <c r="O125" s="470">
        <f>SUM(K125:N125)</f>
        <v>1e-12</v>
      </c>
      <c r="P125" s="469">
        <v>0</v>
      </c>
      <c r="Q125" s="469">
        <v>0</v>
      </c>
      <c r="R125" s="469">
        <v>0</v>
      </c>
      <c r="S125" s="469">
        <v>0</v>
      </c>
      <c r="T125" s="470">
        <f>SUM(P125:S125)</f>
        <v>1e-12</v>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v>1e-12</v>
      </c>
      <c r="K126" s="469">
        <v>0</v>
      </c>
      <c r="L126" s="469">
        <v>0</v>
      </c>
      <c r="M126" s="469">
        <v>0</v>
      </c>
      <c r="N126" s="469">
        <v>0</v>
      </c>
      <c r="O126" s="470">
        <f>SUM(K126:N126)</f>
        <v>1e-12</v>
      </c>
      <c r="P126" s="469">
        <v>0</v>
      </c>
      <c r="Q126" s="469">
        <v>0</v>
      </c>
      <c r="R126" s="469">
        <v>0</v>
      </c>
      <c r="S126" s="469">
        <v>0</v>
      </c>
      <c r="T126" s="470">
        <f>SUM(P126:S126)</f>
        <v>1e-12</v>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v>1e-12</v>
      </c>
      <c r="K127" s="469">
        <v>0</v>
      </c>
      <c r="L127" s="469">
        <v>0</v>
      </c>
      <c r="M127" s="469">
        <v>0</v>
      </c>
      <c r="N127" s="469">
        <v>0</v>
      </c>
      <c r="O127" s="470">
        <f>SUM(K127:N127)</f>
        <v>1e-12</v>
      </c>
      <c r="P127" s="469">
        <v>0</v>
      </c>
      <c r="Q127" s="469">
        <v>0</v>
      </c>
      <c r="R127" s="469">
        <v>0</v>
      </c>
      <c r="S127" s="469">
        <v>0</v>
      </c>
      <c r="T127" s="470">
        <f>SUM(P127:S127)</f>
        <v>1e-12</v>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v>1e-12</v>
      </c>
      <c r="K128" s="469">
        <v>0</v>
      </c>
      <c r="L128" s="469">
        <v>0</v>
      </c>
      <c r="M128" s="469">
        <v>0</v>
      </c>
      <c r="N128" s="469">
        <v>0</v>
      </c>
      <c r="O128" s="470">
        <f>SUM(K128:N128)</f>
        <v>1e-12</v>
      </c>
      <c r="P128" s="469">
        <v>0</v>
      </c>
      <c r="Q128" s="469">
        <v>0</v>
      </c>
      <c r="R128" s="469">
        <v>0</v>
      </c>
      <c r="S128" s="469">
        <v>0</v>
      </c>
      <c r="T128" s="470">
        <f>SUM(P128:S128)</f>
        <v>1e-12</v>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2">SUM(F131:I131)</f>
        <v>1e-12</v>
      </c>
      <c r="K131" s="469">
        <v>0</v>
      </c>
      <c r="L131" s="469">
        <v>0</v>
      </c>
      <c r="M131" s="469">
        <v>0</v>
      </c>
      <c r="N131" s="469">
        <v>0</v>
      </c>
      <c r="O131" s="470">
        <f t="shared" ref="O131:O135" si="133">SUM(K131:N131)</f>
        <v>1e-12</v>
      </c>
      <c r="P131" s="469">
        <v>0</v>
      </c>
      <c r="Q131" s="469">
        <v>0</v>
      </c>
      <c r="R131" s="469">
        <v>0</v>
      </c>
      <c r="S131" s="469">
        <v>0</v>
      </c>
      <c r="T131" s="470">
        <f t="shared" ref="T131:T135" si="134">SUM(P131:S131)</f>
        <v>1e-12</v>
      </c>
      <c r="U131" s="469">
        <v>0</v>
      </c>
      <c r="V131" s="469">
        <v>0</v>
      </c>
      <c r="W131" s="469">
        <v>0</v>
      </c>
      <c r="X131" s="477">
        <v>0</v>
      </c>
      <c r="Y131" s="470">
        <f t="shared" ref="Y131:Y135" si="135">SUM(U131:X131)</f>
        <v>0</v>
      </c>
      <c r="Z131" s="477">
        <v>0</v>
      </c>
      <c r="AA131" s="477">
        <v>0</v>
      </c>
      <c r="AB131" s="477">
        <v>0</v>
      </c>
      <c r="AC131" s="477">
        <v>0</v>
      </c>
      <c r="AD131" s="470">
        <f t="shared" ref="AD131:AD135" si="136">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v>1e-12</v>
      </c>
      <c r="K132" s="469">
        <v>0</v>
      </c>
      <c r="L132" s="469">
        <v>0</v>
      </c>
      <c r="M132" s="469">
        <v>0</v>
      </c>
      <c r="N132" s="469">
        <v>0</v>
      </c>
      <c r="O132" s="470">
        <f>SUM(K132:N132)</f>
        <v>1e-12</v>
      </c>
      <c r="P132" s="469">
        <v>0</v>
      </c>
      <c r="Q132" s="469">
        <v>0</v>
      </c>
      <c r="R132" s="469">
        <v>0</v>
      </c>
      <c r="S132" s="469">
        <v>0</v>
      </c>
      <c r="T132" s="470">
        <f>SUM(P132:S132)</f>
        <v>1e-12</v>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v>1e-12</v>
      </c>
      <c r="K133" s="469">
        <v>0</v>
      </c>
      <c r="L133" s="469">
        <v>0</v>
      </c>
      <c r="M133" s="469">
        <v>0</v>
      </c>
      <c r="N133" s="469">
        <v>0</v>
      </c>
      <c r="O133" s="470">
        <f>SUM(K133:N133)</f>
        <v>1e-12</v>
      </c>
      <c r="P133" s="469">
        <v>0</v>
      </c>
      <c r="Q133" s="469">
        <v>0</v>
      </c>
      <c r="R133" s="469">
        <v>0</v>
      </c>
      <c r="S133" s="469">
        <v>0</v>
      </c>
      <c r="T133" s="470">
        <f>SUM(P133:S133)</f>
        <v>1e-12</v>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v>1e-12</v>
      </c>
      <c r="K134" s="469">
        <v>0</v>
      </c>
      <c r="L134" s="469">
        <v>0</v>
      </c>
      <c r="M134" s="469">
        <v>0</v>
      </c>
      <c r="N134" s="469">
        <v>0</v>
      </c>
      <c r="O134" s="470">
        <f>SUM(K134:N134)</f>
        <v>1e-12</v>
      </c>
      <c r="P134" s="469">
        <v>0</v>
      </c>
      <c r="Q134" s="469">
        <v>0</v>
      </c>
      <c r="R134" s="469">
        <v>0</v>
      </c>
      <c r="S134" s="469">
        <v>0</v>
      </c>
      <c r="T134" s="470">
        <f>SUM(P134:S134)</f>
        <v>1e-12</v>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v>1e-12</v>
      </c>
      <c r="K135" s="469">
        <v>0</v>
      </c>
      <c r="L135" s="469">
        <v>0</v>
      </c>
      <c r="M135" s="469">
        <v>0</v>
      </c>
      <c r="N135" s="469">
        <v>0</v>
      </c>
      <c r="O135" s="470">
        <f>SUM(K135:N135)</f>
        <v>1e-12</v>
      </c>
      <c r="P135" s="469">
        <v>0</v>
      </c>
      <c r="Q135" s="469">
        <v>0</v>
      </c>
      <c r="R135" s="469">
        <v>0</v>
      </c>
      <c r="S135" s="469">
        <v>0</v>
      </c>
      <c r="T135" s="470">
        <f>SUM(P135:S135)</f>
        <v>1e-12</v>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7">SUM(F138:I138)</f>
        <v>1e-12</v>
      </c>
      <c r="K138" s="469">
        <v>0</v>
      </c>
      <c r="L138" s="469">
        <v>0</v>
      </c>
      <c r="M138" s="469">
        <v>0</v>
      </c>
      <c r="N138" s="469">
        <v>0</v>
      </c>
      <c r="O138" s="470">
        <f t="shared" ref="O138:O142" si="138">SUM(K138:N138)</f>
        <v>1e-12</v>
      </c>
      <c r="P138" s="469">
        <v>0</v>
      </c>
      <c r="Q138" s="469">
        <v>0</v>
      </c>
      <c r="R138" s="469">
        <v>0</v>
      </c>
      <c r="S138" s="469">
        <v>0</v>
      </c>
      <c r="T138" s="470">
        <f t="shared" ref="T138:T142" si="139">SUM(P138:S138)</f>
        <v>1e-12</v>
      </c>
      <c r="U138" s="469">
        <v>0</v>
      </c>
      <c r="V138" s="469">
        <v>0</v>
      </c>
      <c r="W138" s="469">
        <v>0</v>
      </c>
      <c r="X138" s="477">
        <v>0</v>
      </c>
      <c r="Y138" s="470">
        <f t="shared" ref="Y138:Y142" si="140">SUM(U138:X138)</f>
        <v>0</v>
      </c>
      <c r="Z138" s="477">
        <v>0</v>
      </c>
      <c r="AA138" s="477">
        <v>0</v>
      </c>
      <c r="AB138" s="477">
        <v>0</v>
      </c>
      <c r="AC138" s="477">
        <v>0</v>
      </c>
      <c r="AD138" s="470">
        <f t="shared" ref="AD138:AD142" si="141">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v>1e-12</v>
      </c>
      <c r="K139" s="469">
        <v>0</v>
      </c>
      <c r="L139" s="469">
        <v>0</v>
      </c>
      <c r="M139" s="469">
        <v>0</v>
      </c>
      <c r="N139" s="469">
        <v>0</v>
      </c>
      <c r="O139" s="470">
        <f>SUM(K139:N139)</f>
        <v>1e-12</v>
      </c>
      <c r="P139" s="469">
        <v>0</v>
      </c>
      <c r="Q139" s="469">
        <v>0</v>
      </c>
      <c r="R139" s="469">
        <v>0</v>
      </c>
      <c r="S139" s="469">
        <v>0</v>
      </c>
      <c r="T139" s="470">
        <f>SUM(P139:S139)</f>
        <v>1e-12</v>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v>1e-12</v>
      </c>
      <c r="K140" s="469">
        <v>0</v>
      </c>
      <c r="L140" s="469">
        <v>0</v>
      </c>
      <c r="M140" s="469">
        <v>0</v>
      </c>
      <c r="N140" s="469">
        <v>0</v>
      </c>
      <c r="O140" s="470">
        <f>SUM(K140:N140)</f>
        <v>1e-12</v>
      </c>
      <c r="P140" s="469">
        <v>0</v>
      </c>
      <c r="Q140" s="469">
        <v>0</v>
      </c>
      <c r="R140" s="469">
        <v>0</v>
      </c>
      <c r="S140" s="469">
        <v>0</v>
      </c>
      <c r="T140" s="470">
        <f>SUM(P140:S140)</f>
        <v>1e-12</v>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v>1e-12</v>
      </c>
      <c r="K141" s="469">
        <v>0</v>
      </c>
      <c r="L141" s="469">
        <v>0</v>
      </c>
      <c r="M141" s="469">
        <v>0</v>
      </c>
      <c r="N141" s="469">
        <v>0</v>
      </c>
      <c r="O141" s="470">
        <f>SUM(K141:N141)</f>
        <v>1e-12</v>
      </c>
      <c r="P141" s="469">
        <v>0</v>
      </c>
      <c r="Q141" s="469">
        <v>0</v>
      </c>
      <c r="R141" s="469">
        <v>0</v>
      </c>
      <c r="S141" s="469">
        <v>0</v>
      </c>
      <c r="T141" s="470">
        <f>SUM(P141:S141)</f>
        <v>1e-12</v>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v>1e-12</v>
      </c>
      <c r="K142" s="469">
        <v>0</v>
      </c>
      <c r="L142" s="469">
        <v>0</v>
      </c>
      <c r="M142" s="469">
        <v>0</v>
      </c>
      <c r="N142" s="469">
        <v>0</v>
      </c>
      <c r="O142" s="470">
        <f>SUM(K142:N142)</f>
        <v>1e-12</v>
      </c>
      <c r="P142" s="469">
        <v>0</v>
      </c>
      <c r="Q142" s="469">
        <v>0</v>
      </c>
      <c r="R142" s="469">
        <v>0</v>
      </c>
      <c r="S142" s="469">
        <v>0</v>
      </c>
      <c r="T142" s="470">
        <f>SUM(P142:S142)</f>
        <v>1e-12</v>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2">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3">C16</f>
        <v>Home Improvement Retail</v>
      </c>
      <c r="D155" s="16"/>
      <c r="E155" s="16"/>
      <c r="F155" s="377">
        <f t="shared" ref="F155:AG155" si="144">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5">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6">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7">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48">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49">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0">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1">C89</f>
        <v>North America</v>
      </c>
      <c r="D180" s="16"/>
      <c r="E180" s="16"/>
      <c r="F180" s="474"/>
      <c r="G180" s="474"/>
      <c r="H180" s="474"/>
      <c r="I180" s="474"/>
      <c r="J180" s="168"/>
      <c r="K180" s="377" t="str">
        <f t="shared" ref="K180:AG180" si="152">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3">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4">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5">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6">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7">C89</f>
        <v>North America</v>
      </c>
      <c r="D200" s="16"/>
      <c r="E200" s="16"/>
      <c r="F200" s="474"/>
      <c r="G200" s="377" t="str">
        <f t="shared" ref="G200:I200" si="158">IFERROR(G88/F88-1,"N/A")</f>
        <v>N/A</v>
      </c>
      <c r="H200" s="377" t="str">
        <f>IFERROR(H88/G88-1,"N/A")</f>
        <v>N/A</v>
      </c>
      <c r="I200" s="377" t="str">
        <f>IFERROR(I88/H88-1,"N/A")</f>
        <v>N/A</v>
      </c>
      <c r="J200" s="168"/>
      <c r="K200" s="377" t="str">
        <f t="shared" ref="K200:K204" si="159">IFERROR(K88/I88-1,"N/A")</f>
        <v>N/A</v>
      </c>
      <c r="L200" s="377" t="str">
        <f t="shared" ref="L200:N200" si="160">IFERROR(L88/K88-1,"N/A")</f>
        <v>N/A</v>
      </c>
      <c r="M200" s="377" t="str">
        <f>IFERROR(M88/L88-1,"N/A")</f>
        <v>N/A</v>
      </c>
      <c r="N200" s="377" t="str">
        <f>IFERROR(N88/M88-1,"N/A")</f>
        <v>N/A</v>
      </c>
      <c r="O200" s="378"/>
      <c r="P200" s="377" t="str">
        <f t="shared" ref="P200:P204" si="161">IFERROR(P88/N88-1,"N/A")</f>
        <v>N/A</v>
      </c>
      <c r="Q200" s="377" t="str">
        <f t="shared" ref="Q200:S200" si="162">IFERROR(Q88/P88-1,"N/A")</f>
        <v>N/A</v>
      </c>
      <c r="R200" s="377" t="str">
        <f>IFERROR(R88/Q88-1,"N/A")</f>
        <v>N/A</v>
      </c>
      <c r="S200" s="377" t="str">
        <f>IFERROR(S88/R88-1,"N/A")</f>
        <v>N/A</v>
      </c>
      <c r="T200" s="378"/>
      <c r="U200" s="377" t="str">
        <f t="shared" ref="U200:U204" si="163">IFERROR(U88/S88-1,"N/A")</f>
        <v>N/A</v>
      </c>
      <c r="V200" s="377" t="str">
        <f t="shared" ref="V200:X200" si="164">IFERROR(V88/U88-1,"N/A")</f>
        <v>N/A</v>
      </c>
      <c r="W200" s="377" t="str">
        <f>IFERROR(W88/V88-1,"N/A")</f>
        <v>N/A</v>
      </c>
      <c r="X200" s="379" t="str">
        <f>IFERROR(X88/W88-1,"N/A")</f>
        <v>N/A</v>
      </c>
      <c r="Y200" s="378"/>
      <c r="Z200" s="379" t="str">
        <f t="shared" ref="Z200:Z204" si="165">IFERROR(Z88/X88-1,"N/A")</f>
        <v>N/A</v>
      </c>
      <c r="AA200" s="379" t="str">
        <f t="shared" ref="AA200:AC200" si="166">IFERROR(AA88/Z88-1,"N/A")</f>
        <v>N/A</v>
      </c>
      <c r="AB200" s="379" t="str">
        <f>IFERROR(AB88/AA88-1,"N/A")</f>
        <v>N/A</v>
      </c>
      <c r="AC200" s="379" t="str">
        <f>IFERROR(AC88/AB88-1,"N/A")</f>
        <v>N/A</v>
      </c>
      <c r="AD200" s="378"/>
      <c r="AE200" s="378" t="str">
        <f t="shared" ref="AE200:AG200" si="167">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68">IFERROR(G89/F89-1,"N/A")</f>
        <v>N/A</v>
      </c>
      <c r="H201" s="377" t="str">
        <f>IFERROR(H89/G89-1,"N/A")</f>
        <v>N/A</v>
      </c>
      <c r="I201" s="377" t="str">
        <f>IFERROR(I89/H89-1,"N/A")</f>
        <v>N/A</v>
      </c>
      <c r="J201" s="168"/>
      <c r="K201" s="377" t="str">
        <f>IFERROR(K89/I89-1,"N/A")</f>
        <v>N/A</v>
      </c>
      <c r="L201" s="377" t="str">
        <f t="shared" ref="L201:N201" si="169">IFERROR(L89/K89-1,"N/A")</f>
        <v>N/A</v>
      </c>
      <c r="M201" s="377" t="str">
        <f>IFERROR(M89/L89-1,"N/A")</f>
        <v>N/A</v>
      </c>
      <c r="N201" s="377" t="str">
        <f>IFERROR(N89/M89-1,"N/A")</f>
        <v>N/A</v>
      </c>
      <c r="O201" s="378"/>
      <c r="P201" s="377" t="str">
        <f>IFERROR(P89/N89-1,"N/A")</f>
        <v>N/A</v>
      </c>
      <c r="Q201" s="377" t="str">
        <f t="shared" ref="Q201:S201" si="170">IFERROR(Q89/P89-1,"N/A")</f>
        <v>N/A</v>
      </c>
      <c r="R201" s="377" t="str">
        <f>IFERROR(R89/Q89-1,"N/A")</f>
        <v>N/A</v>
      </c>
      <c r="S201" s="377" t="str">
        <f>IFERROR(S89/R89-1,"N/A")</f>
        <v>N/A</v>
      </c>
      <c r="T201" s="378"/>
      <c r="U201" s="377" t="str">
        <f>IFERROR(U89/S89-1,"N/A")</f>
        <v>N/A</v>
      </c>
      <c r="V201" s="377" t="str">
        <f t="shared" ref="V201:X201" si="171">IFERROR(V89/U89-1,"N/A")</f>
        <v>N/A</v>
      </c>
      <c r="W201" s="377" t="str">
        <f>IFERROR(W89/V89-1,"N/A")</f>
        <v>N/A</v>
      </c>
      <c r="X201" s="379" t="str">
        <f>IFERROR(X89/W89-1,"N/A")</f>
        <v>N/A</v>
      </c>
      <c r="Y201" s="378"/>
      <c r="Z201" s="379" t="str">
        <f>IFERROR(Z89/X89-1,"N/A")</f>
        <v>N/A</v>
      </c>
      <c r="AA201" s="379" t="str">
        <f t="shared" ref="AA201:AC201" si="172">IFERROR(AA89/Z89-1,"N/A")</f>
        <v>N/A</v>
      </c>
      <c r="AB201" s="379" t="str">
        <f>IFERROR(AB89/AA89-1,"N/A")</f>
        <v>N/A</v>
      </c>
      <c r="AC201" s="379" t="str">
        <f>IFERROR(AC89/AB89-1,"N/A")</f>
        <v>N/A</v>
      </c>
      <c r="AD201" s="378"/>
      <c r="AE201" s="378" t="str">
        <f t="shared" ref="AE201:AG201" si="173">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4">IFERROR(G90/F90-1,"N/A")</f>
        <v>N/A</v>
      </c>
      <c r="H202" s="377" t="str">
        <f>IFERROR(H90/G90-1,"N/A")</f>
        <v>N/A</v>
      </c>
      <c r="I202" s="377" t="str">
        <f>IFERROR(I90/H90-1,"N/A")</f>
        <v>N/A</v>
      </c>
      <c r="J202" s="168"/>
      <c r="K202" s="377" t="str">
        <f>IFERROR(K90/I90-1,"N/A")</f>
        <v>N/A</v>
      </c>
      <c r="L202" s="377" t="str">
        <f t="shared" ref="L202:N202" si="175">IFERROR(L90/K90-1,"N/A")</f>
        <v>N/A</v>
      </c>
      <c r="M202" s="377" t="str">
        <f>IFERROR(M90/L90-1,"N/A")</f>
        <v>N/A</v>
      </c>
      <c r="N202" s="377" t="str">
        <f>IFERROR(N90/M90-1,"N/A")</f>
        <v>N/A</v>
      </c>
      <c r="O202" s="378"/>
      <c r="P202" s="377" t="str">
        <f>IFERROR(P90/N90-1,"N/A")</f>
        <v>N/A</v>
      </c>
      <c r="Q202" s="377" t="str">
        <f t="shared" ref="Q202:S202" si="176">IFERROR(Q90/P90-1,"N/A")</f>
        <v>N/A</v>
      </c>
      <c r="R202" s="377" t="str">
        <f>IFERROR(R90/Q90-1,"N/A")</f>
        <v>N/A</v>
      </c>
      <c r="S202" s="377" t="str">
        <f>IFERROR(S90/R90-1,"N/A")</f>
        <v>N/A</v>
      </c>
      <c r="T202" s="378"/>
      <c r="U202" s="377" t="str">
        <f>IFERROR(U90/S90-1,"N/A")</f>
        <v>N/A</v>
      </c>
      <c r="V202" s="377" t="str">
        <f t="shared" ref="V202:X202" si="177">IFERROR(V90/U90-1,"N/A")</f>
        <v>N/A</v>
      </c>
      <c r="W202" s="377" t="str">
        <f>IFERROR(W90/V90-1,"N/A")</f>
        <v>N/A</v>
      </c>
      <c r="X202" s="379" t="str">
        <f>IFERROR(X90/W90-1,"N/A")</f>
        <v>N/A</v>
      </c>
      <c r="Y202" s="378"/>
      <c r="Z202" s="379" t="str">
        <f>IFERROR(Z90/X90-1,"N/A")</f>
        <v>N/A</v>
      </c>
      <c r="AA202" s="379" t="str">
        <f t="shared" ref="AA202:AC202" si="178">IFERROR(AA90/Z90-1,"N/A")</f>
        <v>N/A</v>
      </c>
      <c r="AB202" s="379" t="str">
        <f>IFERROR(AB90/AA90-1,"N/A")</f>
        <v>N/A</v>
      </c>
      <c r="AC202" s="379" t="str">
        <f>IFERROR(AC90/AB90-1,"N/A")</f>
        <v>N/A</v>
      </c>
      <c r="AD202" s="378"/>
      <c r="AE202" s="378" t="str">
        <f t="shared" ref="AE202:AG202" si="179">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0">IFERROR(G91/F91-1,"N/A")</f>
        <v>N/A</v>
      </c>
      <c r="H203" s="377" t="str">
        <f>IFERROR(H91/G91-1,"N/A")</f>
        <v>N/A</v>
      </c>
      <c r="I203" s="377" t="str">
        <f>IFERROR(I91/H91-1,"N/A")</f>
        <v>N/A</v>
      </c>
      <c r="J203" s="168"/>
      <c r="K203" s="377" t="str">
        <f>IFERROR(K91/I91-1,"N/A")</f>
        <v>N/A</v>
      </c>
      <c r="L203" s="377" t="str">
        <f t="shared" ref="L203:N203" si="181">IFERROR(L91/K91-1,"N/A")</f>
        <v>N/A</v>
      </c>
      <c r="M203" s="377" t="str">
        <f>IFERROR(M91/L91-1,"N/A")</f>
        <v>N/A</v>
      </c>
      <c r="N203" s="377" t="str">
        <f>IFERROR(N91/M91-1,"N/A")</f>
        <v>N/A</v>
      </c>
      <c r="O203" s="378"/>
      <c r="P203" s="377" t="str">
        <f>IFERROR(P91/N91-1,"N/A")</f>
        <v>N/A</v>
      </c>
      <c r="Q203" s="377" t="str">
        <f t="shared" ref="Q203:S203" si="182">IFERROR(Q91/P91-1,"N/A")</f>
        <v>N/A</v>
      </c>
      <c r="R203" s="377" t="str">
        <f>IFERROR(R91/Q91-1,"N/A")</f>
        <v>N/A</v>
      </c>
      <c r="S203" s="377" t="str">
        <f>IFERROR(S91/R91-1,"N/A")</f>
        <v>N/A</v>
      </c>
      <c r="T203" s="378"/>
      <c r="U203" s="377" t="str">
        <f>IFERROR(U91/S91-1,"N/A")</f>
        <v>N/A</v>
      </c>
      <c r="V203" s="377" t="str">
        <f t="shared" ref="V203:X203" si="183">IFERROR(V91/U91-1,"N/A")</f>
        <v>N/A</v>
      </c>
      <c r="W203" s="377" t="str">
        <f>IFERROR(W91/V91-1,"N/A")</f>
        <v>N/A</v>
      </c>
      <c r="X203" s="379" t="str">
        <f>IFERROR(X91/W91-1,"N/A")</f>
        <v>N/A</v>
      </c>
      <c r="Y203" s="378"/>
      <c r="Z203" s="379" t="str">
        <f>IFERROR(Z91/X91-1,"N/A")</f>
        <v>N/A</v>
      </c>
      <c r="AA203" s="379" t="str">
        <f t="shared" ref="AA203:AC203" si="184">IFERROR(AA91/Z91-1,"N/A")</f>
        <v>N/A</v>
      </c>
      <c r="AB203" s="379" t="str">
        <f>IFERROR(AB91/AA91-1,"N/A")</f>
        <v>N/A</v>
      </c>
      <c r="AC203" s="379" t="str">
        <f>IFERROR(AC91/AB91-1,"N/A")</f>
        <v>N/A</v>
      </c>
      <c r="AD203" s="378"/>
      <c r="AE203" s="378" t="str">
        <f t="shared" ref="AE203:AG203" si="185">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6">IFERROR(G92/F92-1,"N/A")</f>
        <v>N/A</v>
      </c>
      <c r="H204" s="377" t="str">
        <f>IFERROR(H92/G92-1,"N/A")</f>
        <v>N/A</v>
      </c>
      <c r="I204" s="377" t="str">
        <f>IFERROR(I92/H92-1,"N/A")</f>
        <v>N/A</v>
      </c>
      <c r="J204" s="168"/>
      <c r="K204" s="377" t="str">
        <f>IFERROR(K92/I92-1,"N/A")</f>
        <v>N/A</v>
      </c>
      <c r="L204" s="377" t="str">
        <f t="shared" ref="L204:N204" si="187">IFERROR(L92/K92-1,"N/A")</f>
        <v>N/A</v>
      </c>
      <c r="M204" s="377" t="str">
        <f>IFERROR(M92/L92-1,"N/A")</f>
        <v>N/A</v>
      </c>
      <c r="N204" s="377" t="str">
        <f>IFERROR(N92/M92-1,"N/A")</f>
        <v>N/A</v>
      </c>
      <c r="O204" s="378"/>
      <c r="P204" s="377" t="str">
        <f>IFERROR(P92/N92-1,"N/A")</f>
        <v>N/A</v>
      </c>
      <c r="Q204" s="377" t="str">
        <f t="shared" ref="Q204:S204" si="188">IFERROR(Q92/P92-1,"N/A")</f>
        <v>N/A</v>
      </c>
      <c r="R204" s="377" t="str">
        <f>IFERROR(R92/Q92-1,"N/A")</f>
        <v>N/A</v>
      </c>
      <c r="S204" s="377" t="str">
        <f>IFERROR(S92/R92-1,"N/A")</f>
        <v>N/A</v>
      </c>
      <c r="T204" s="378"/>
      <c r="U204" s="377" t="str">
        <f>IFERROR(U92/S92-1,"N/A")</f>
        <v>N/A</v>
      </c>
      <c r="V204" s="377" t="str">
        <f t="shared" ref="V204:X204" si="189">IFERROR(V92/U92-1,"N/A")</f>
        <v>N/A</v>
      </c>
      <c r="W204" s="377" t="str">
        <f>IFERROR(W92/V92-1,"N/A")</f>
        <v>N/A</v>
      </c>
      <c r="X204" s="379" t="str">
        <f>IFERROR(X92/W92-1,"N/A")</f>
        <v>N/A</v>
      </c>
      <c r="Y204" s="378"/>
      <c r="Z204" s="379" t="str">
        <f>IFERROR(Z92/X92-1,"N/A")</f>
        <v>N/A</v>
      </c>
      <c r="AA204" s="379" t="str">
        <f t="shared" ref="AA204:AC204" si="190">IFERROR(AA92/Z92-1,"N/A")</f>
        <v>N/A</v>
      </c>
      <c r="AB204" s="379" t="str">
        <f>IFERROR(AB92/AA92-1,"N/A")</f>
        <v>N/A</v>
      </c>
      <c r="AC204" s="379" t="str">
        <f>IFERROR(AC92/AB92-1,"N/A")</f>
        <v>N/A</v>
      </c>
      <c r="AD204" s="378"/>
      <c r="AE204" s="378" t="str">
        <f t="shared" ref="AE204:AG204" si="191">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26</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499</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500</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501</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502</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503</v>
      </c>
      <c r="AN13" s="551">
        <v>30.819232691225288</v>
      </c>
      <c r="AO13" s="551">
        <v>2.82676</v>
      </c>
      <c r="AP13" s="551">
        <v>2.3372126615773308</v>
      </c>
      <c r="AQ13" s="551" t="s">
        <v>503</v>
      </c>
      <c r="AR13" s="551" t="s">
        <v>503</v>
      </c>
      <c r="AS13" s="4"/>
      <c r="AT13" s="4"/>
      <c r="AU13" s="47"/>
      <c r="AV13" s="16" t="e">
        <f>AV54</f>
        <v>#NAME?</v>
      </c>
      <c r="AW13" s="16"/>
      <c r="AX13" s="84" t="s">
        <v>504</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503</v>
      </c>
      <c r="BN13" s="551">
        <v>54.20820989547334</v>
      </c>
    </row>
    <row r="14" ht="13.5" customHeight="1" spans="1:66" x14ac:dyDescent="0.25">
      <c r="A14" s="4"/>
      <c r="B14" s="4"/>
      <c r="C14" s="47"/>
      <c r="D14" s="16" t="e">
        <f>D55</f>
        <v>#NAME?</v>
      </c>
      <c r="E14" s="16"/>
      <c r="F14" s="84" t="s">
        <v>505</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503</v>
      </c>
      <c r="R15" s="551">
        <v>211.94604401245059</v>
      </c>
      <c r="S15" s="551">
        <v>34.64642</v>
      </c>
      <c r="T15" s="551">
        <v>27.278614119410697</v>
      </c>
      <c r="U15" s="551" t="s">
        <v>503</v>
      </c>
      <c r="V15" s="551">
        <v>214.40286086833686</v>
      </c>
      <c r="W15" s="16"/>
      <c r="X15" s="4"/>
      <c r="Y15" s="47"/>
      <c r="Z15" s="16" t="e">
        <f>Z75</f>
        <v>#NAME?</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514</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514</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514</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515</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515</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515</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TEXT(Last_FYE,"yyyy")&amp;"A"&amp;" Leverage Analysis"</f>
        <v>2025A Leverage Analysis</v>
      </c>
      <c r="N23" s="66"/>
      <c r="O23" s="66"/>
      <c r="P23" s="538" t="str">
        <f>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TEXT(Last_FYE,"yyyy")&amp;"A"&amp;" Leverage Analysis"</f>
        <v>2025A Leverage Analysis</v>
      </c>
      <c r="AJ23" s="66"/>
      <c r="AK23" s="66"/>
      <c r="AL23" s="538" t="str">
        <f>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TEXT(Last_FYE,"yyyy")&amp;"A"&amp;" Leverage Analysis"</f>
        <v>2025A Leverage Analysis</v>
      </c>
      <c r="BF23" s="66"/>
      <c r="BG23" s="66"/>
      <c r="BH23" s="538" t="str">
        <f>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26</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t="e">
        <f t="shared" ref="Z30:Z34" si="16">Z53</f>
        <v>#NAME?</v>
      </c>
      <c r="AA30" s="16"/>
      <c r="AB30" s="84" t="s">
        <v>499</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t="e">
        <f t="shared" ref="AV30:AV34" si="17">AV53</f>
        <v>#NAME?</v>
      </c>
      <c r="AW30" s="16"/>
      <c r="AX30" s="84" t="s">
        <v>500</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t="e">
        <f>D54</f>
        <v>#NAME?</v>
      </c>
      <c r="E31" s="16"/>
      <c r="F31" s="84" t="s">
        <v>501</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t="e">
        <f>Z54</f>
        <v>#NAME?</v>
      </c>
      <c r="AA31" s="16"/>
      <c r="AB31" s="84" t="s">
        <v>502</v>
      </c>
      <c r="AC31" s="547">
        <v>0.14074</v>
      </c>
      <c r="AD31" s="581">
        <v>1.62028</v>
      </c>
      <c r="AE31" s="547">
        <v>0</v>
      </c>
      <c r="AF31" s="547">
        <v>0.21877749021799892</v>
      </c>
      <c r="AG31" s="547">
        <v>0.032482000000000004</v>
      </c>
      <c r="AH31" s="547">
        <v>-0.016131</v>
      </c>
      <c r="AI31" s="551">
        <v>138.5723</v>
      </c>
      <c r="AJ31" s="551" t="s">
        <v>503</v>
      </c>
      <c r="AK31" s="551" t="s">
        <v>503</v>
      </c>
      <c r="AL31" s="551" t="s">
        <v>503</v>
      </c>
      <c r="AM31" s="551" t="s">
        <v>503</v>
      </c>
      <c r="AN31" s="551" t="s">
        <v>503</v>
      </c>
      <c r="AO31" s="581">
        <v>0.40835</v>
      </c>
      <c r="AP31" s="581">
        <v>1.3937</v>
      </c>
      <c r="AQ31" s="84" t="s">
        <v>546</v>
      </c>
      <c r="AR31" s="84" t="s">
        <v>543</v>
      </c>
      <c r="AS31" s="4"/>
      <c r="AT31" s="4"/>
      <c r="AU31" s="47"/>
      <c r="AV31" s="16" t="e">
        <f>AV54</f>
        <v>#NAME?</v>
      </c>
      <c r="AW31" s="16"/>
      <c r="AX31" s="84" t="s">
        <v>504</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503</v>
      </c>
      <c r="BK31" s="581">
        <v>1.21993</v>
      </c>
      <c r="BL31" s="581">
        <v>1.57684</v>
      </c>
      <c r="BM31" s="84" t="s">
        <v>539</v>
      </c>
      <c r="BN31" s="84" t="s">
        <v>547</v>
      </c>
    </row>
    <row r="32" ht="13.5" customHeight="1" spans="1:66" x14ac:dyDescent="0.25">
      <c r="A32" s="4"/>
      <c r="B32" s="4"/>
      <c r="C32" s="47"/>
      <c r="D32" s="16" t="e">
        <f>D55</f>
        <v>#NAME?</v>
      </c>
      <c r="E32" s="16"/>
      <c r="F32" s="84" t="s">
        <v>505</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t="e">
        <f>Z55</f>
        <v>#NAME?</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t="e">
        <f>AV55</f>
        <v>#NAME?</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t="e">
        <f>D56</f>
        <v>#NAME?</v>
      </c>
      <c r="E33" s="16"/>
      <c r="F33" s="84" t="s">
        <v>508</v>
      </c>
      <c r="G33" s="550">
        <v>0.138266</v>
      </c>
      <c r="H33" s="581">
        <v>1.27315</v>
      </c>
      <c r="I33" s="550">
        <v>0</v>
      </c>
      <c r="J33" s="550">
        <v>0.2868426045457575</v>
      </c>
      <c r="K33" s="550">
        <v>-0.294551</v>
      </c>
      <c r="L33" s="550">
        <v>-0.081478</v>
      </c>
      <c r="M33" s="551">
        <v>0.462335</v>
      </c>
      <c r="N33" s="551" t="s">
        <v>503</v>
      </c>
      <c r="O33" s="551">
        <v>0.859896</v>
      </c>
      <c r="P33" s="551" t="s">
        <v>503</v>
      </c>
      <c r="Q33" s="551" t="s">
        <v>503</v>
      </c>
      <c r="R33" s="551" t="s">
        <v>503</v>
      </c>
      <c r="S33" s="581">
        <v>4.91787</v>
      </c>
      <c r="T33" s="581">
        <v>5.00201</v>
      </c>
      <c r="U33" s="84" t="s">
        <v>545</v>
      </c>
      <c r="V33" s="84" t="s">
        <v>540</v>
      </c>
      <c r="W33" s="16"/>
      <c r="X33" s="4"/>
      <c r="Y33" s="47"/>
      <c r="Z33" s="16" t="e">
        <f>Z56</f>
        <v>#NAME?</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t="e">
        <f>AV56</f>
        <v>#NAME?</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t="e">
        <f>D57</f>
        <v>#NAME?</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t="e">
        <f>Z57</f>
        <v>#NAME?</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t="e">
        <f>AV57</f>
        <v>#NAME?</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537</v>
      </c>
      <c r="V68" s="538" t="s">
        <v>538</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Company_Name</f>
        <v>Lowe's Companies, Inc.</v>
      </c>
      <c r="F88" s="16"/>
      <c r="G88" s="190" t="s">
        <v>553</v>
      </c>
      <c r="H88" s="132"/>
      <c r="I88" s="132" t="str">
        <f>Company_Name</f>
        <v>Lowe's Companies, Inc.</v>
      </c>
      <c r="J88" s="283"/>
      <c r="K88" s="16"/>
      <c r="L88" s="190" t="s">
        <v>553</v>
      </c>
      <c r="M88" s="132"/>
      <c r="N88" s="132" t="str">
        <f>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Ticker</f>
        <v>LOW</v>
      </c>
      <c r="F89" s="16"/>
      <c r="G89" s="188" t="s">
        <v>556</v>
      </c>
      <c r="H89" s="16"/>
      <c r="I89" s="16" t="str">
        <f>Ticker</f>
        <v>LOW</v>
      </c>
      <c r="J89" s="189"/>
      <c r="K89" s="16"/>
      <c r="L89" s="188" t="s">
        <v>556</v>
      </c>
      <c r="M89" s="16"/>
      <c r="N89" s="16" t="str">
        <f>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$E$90</f>
        <v>IQ180871</v>
      </c>
      <c r="J90" s="643"/>
      <c r="K90" s="16"/>
      <c r="L90" s="192" t="s">
        <v>559</v>
      </c>
      <c r="M90" s="131"/>
      <c r="N90" s="131" t="str">
        <f>$E$90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499</v>
      </c>
      <c r="J93" s="189"/>
      <c r="K93" s="16"/>
      <c r="L93" s="188" t="s">
        <v>556</v>
      </c>
      <c r="M93" s="16"/>
      <c r="N93" s="641" t="s">
        <v>500</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502</v>
      </c>
      <c r="J97" s="189"/>
      <c r="K97" s="16"/>
      <c r="L97" s="188" t="s">
        <v>556</v>
      </c>
      <c r="M97" s="16"/>
      <c r="N97" s="641" t="s">
        <v>504</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596</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609</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566</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566</v>
      </c>
      <c r="L14" s="16" t="s">
        <v>610</v>
      </c>
      <c r="M14" s="16" t="s">
        <v>611</v>
      </c>
      <c r="N14" s="16" t="s">
        <v>612</v>
      </c>
      <c r="O14" s="647" t="s">
        <v>613</v>
      </c>
      <c r="P14" s="647" t="e">
        <f>_xll.ciqfunctions.udf.CIQRANGEA($B14,"IQ_COMPANY_ID_QUICK_MATCH",1,5,,,,,,,"ID")</f>
        <v>#NAME?</v>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618</v>
      </c>
      <c r="L15" s="16" t="s">
        <v>619</v>
      </c>
      <c r="M15" s="16" t="s">
        <v>620</v>
      </c>
      <c r="N15" s="16" t="s">
        <v>621</v>
      </c>
      <c r="O15" s="647" t="s">
        <v>618</v>
      </c>
      <c r="P15" s="647" t="e">
        <f>_xll.ciqfunctions.udf.CIQRANGEA($B15,"IQ_COMPANY_ID_QUICK_MATCH",1,5,,,,,,,"ID")</f>
        <v>#NAME?</v>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618</v>
      </c>
      <c r="L16" s="16" t="s">
        <v>619</v>
      </c>
      <c r="M16" s="16" t="s">
        <v>620</v>
      </c>
      <c r="N16" s="16" t="s">
        <v>621</v>
      </c>
      <c r="O16" s="647" t="s">
        <v>618</v>
      </c>
      <c r="P16" s="647" t="e">
        <f>_xll.ciqfunctions.udf.CIQRANGEA($B16,"IQ_COMPANY_ID_QUICK_MATCH",1,5,,,,,,,"ID")</f>
        <v>#NAME?</v>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564</v>
      </c>
      <c r="L17" s="16" t="s">
        <v>627</v>
      </c>
      <c r="M17" s="16" t="s">
        <v>626</v>
      </c>
      <c r="N17" s="16" t="s">
        <v>628</v>
      </c>
      <c r="O17" s="647" t="s">
        <v>629</v>
      </c>
      <c r="P17" s="647" t="e">
        <f>_xll.ciqfunctions.udf.CIQRANGEA($B17,"IQ_COMPANY_ID_QUICK_MATCH",1,5,,,,,,,"ID")</f>
        <v>#NAME?</v>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634</v>
      </c>
      <c r="L18" s="16" t="s">
        <v>635</v>
      </c>
      <c r="M18" s="16" t="s">
        <v>636</v>
      </c>
      <c r="N18" s="16" t="s">
        <v>637</v>
      </c>
      <c r="O18" s="647"/>
      <c r="P18" s="647" t="e">
        <f>_xll.ciqfunctions.udf.CIQRANGEA($B18,"IQ_COMPANY_ID_QUICK_MATCH",1,5,,,,,,,"ID")</f>
        <v>#NAME?</v>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641</v>
      </c>
      <c r="L19" s="16" t="s">
        <v>642</v>
      </c>
      <c r="M19" s="16" t="s">
        <v>643</v>
      </c>
      <c r="N19" s="16" t="s">
        <v>644</v>
      </c>
      <c r="O19" s="647" t="s">
        <v>645</v>
      </c>
      <c r="P19" s="647" t="e">
        <f>_xll.ciqfunctions.udf.CIQRANGEA($B19,"IQ_COMPANY_ID_QUICK_MATCH",1,5,,,,,,,"ID")</f>
        <v>#NAME?</v>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24</v>
      </c>
      <c r="L20" s="16" t="s">
        <v>571</v>
      </c>
      <c r="M20" s="16" t="s">
        <v>650</v>
      </c>
      <c r="N20" s="16" t="s">
        <v>651</v>
      </c>
      <c r="O20" s="647" t="s">
        <v>24</v>
      </c>
      <c r="P20" s="647" t="e">
        <f>_xll.ciqfunctions.udf.CIQRANGEA($B20,"IQ_COMPANY_ID_QUICK_MATCH",1,5,,,,,,,"ID")</f>
        <v>#NAME?</v>
      </c>
      <c r="Q20" s="647" t="s">
        <v>652</v>
      </c>
      <c r="R20" s="647" t="s">
        <v>653</v>
      </c>
      <c r="S20" s="647" t="s">
        <v>654</v>
      </c>
      <c r="T20" s="647" t="s">
        <v>655</v>
      </c>
      <c r="U20" s="647" t="s">
        <v>656</v>
      </c>
      <c r="V20" s="16"/>
      <c r="W20" s="16"/>
      <c r="X20" s="16"/>
      <c r="Y20" s="16"/>
      <c r="Z20" s="16"/>
      <c r="AA20" s="16"/>
      <c r="AB20" s="16"/>
      <c r="AC20" s="16"/>
    </row>
    <row r="21" ht="12.75" customHeight="1" spans="1:29" x14ac:dyDescent="0.25">
      <c r="A21" s="16"/>
      <c r="B21" s="641" t="s">
        <v>657</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658</v>
      </c>
      <c r="L21" s="16" t="s">
        <v>659</v>
      </c>
      <c r="M21" s="16" t="s">
        <v>660</v>
      </c>
      <c r="N21" s="16" t="s">
        <v>661</v>
      </c>
      <c r="O21" s="647" t="s">
        <v>662</v>
      </c>
      <c r="P21" s="647" t="e">
        <f>_xll.ciqfunctions.udf.CIQRANGEA($B21,"IQ_COMPANY_ID_QUICK_MATCH",1,5,,,,,,,"ID")</f>
        <v>#NAME?</v>
      </c>
      <c r="Q21" s="647" t="s">
        <v>663</v>
      </c>
      <c r="R21" s="647" t="s">
        <v>664</v>
      </c>
      <c r="S21" s="647" t="s">
        <v>665</v>
      </c>
      <c r="T21" s="647" t="s">
        <v>666</v>
      </c>
      <c r="U21" s="647" t="s">
        <v>667</v>
      </c>
      <c r="V21" s="16"/>
      <c r="W21" s="16"/>
      <c r="X21" s="16"/>
      <c r="Y21" s="16"/>
      <c r="Z21" s="16"/>
      <c r="AA21" s="16"/>
      <c r="AB21" s="16"/>
      <c r="AC21" s="16"/>
    </row>
    <row r="22" ht="12.75" customHeight="1" spans="1:29" x14ac:dyDescent="0.25">
      <c r="A22" s="16"/>
      <c r="B22" s="641" t="s">
        <v>668</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669</v>
      </c>
      <c r="L22" s="16" t="s">
        <v>670</v>
      </c>
      <c r="M22" s="16" t="s">
        <v>671</v>
      </c>
      <c r="N22" s="16" t="s">
        <v>672</v>
      </c>
      <c r="O22" s="647" t="s">
        <v>673</v>
      </c>
      <c r="P22" s="647" t="e">
        <f>_xll.ciqfunctions.udf.CIQRANGEA($B22,"IQ_COMPANY_ID_QUICK_MATCH",1,5,,,,,,,"ID")</f>
        <v>#NAME?</v>
      </c>
      <c r="Q22" s="647" t="s">
        <v>674</v>
      </c>
      <c r="R22" s="647" t="s">
        <v>675</v>
      </c>
      <c r="S22" s="647" t="s">
        <v>676</v>
      </c>
      <c r="T22" s="647" t="s">
        <v>677</v>
      </c>
      <c r="U22" s="647" t="s">
        <v>678</v>
      </c>
      <c r="V22" s="16"/>
      <c r="W22" s="16"/>
      <c r="X22" s="16"/>
      <c r="Y22" s="16"/>
      <c r="Z22" s="16"/>
      <c r="AA22" s="16"/>
      <c r="AB22" s="16"/>
      <c r="AC22" s="16"/>
    </row>
    <row r="23" ht="12.75" customHeight="1" spans="1:29" x14ac:dyDescent="0.25">
      <c r="A23" s="16"/>
      <c r="B23" s="641" t="s">
        <v>679</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680</v>
      </c>
      <c r="L23" s="16" t="s">
        <v>681</v>
      </c>
      <c r="M23" s="16" t="s">
        <v>682</v>
      </c>
      <c r="N23" s="16" t="s">
        <v>683</v>
      </c>
      <c r="O23" s="647" t="s">
        <v>684</v>
      </c>
      <c r="P23" s="647" t="e">
        <f>_xll.ciqfunctions.udf.CIQRANGEA($B23,"IQ_COMPANY_ID_QUICK_MATCH",1,5,,,,,,,"ID")</f>
        <v>#NAME?</v>
      </c>
      <c r="Q23" s="647" t="s">
        <v>685</v>
      </c>
      <c r="R23" s="647" t="s">
        <v>686</v>
      </c>
      <c r="S23" s="647" t="s">
        <v>687</v>
      </c>
      <c r="T23" s="647" t="s">
        <v>688</v>
      </c>
      <c r="U23" s="647" t="s">
        <v>689</v>
      </c>
      <c r="V23" s="16"/>
      <c r="W23" s="16"/>
      <c r="X23" s="16"/>
      <c r="Y23" s="16"/>
      <c r="Z23" s="16"/>
      <c r="AA23" s="16"/>
      <c r="AB23" s="16"/>
      <c r="AC23" s="16"/>
    </row>
    <row r="24" ht="12.75" customHeight="1" spans="1:29" x14ac:dyDescent="0.25">
      <c r="A24" s="16"/>
      <c r="B24" s="641" t="s">
        <v>690</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691</v>
      </c>
      <c r="L24" s="16" t="s">
        <v>692</v>
      </c>
      <c r="M24" s="16" t="s">
        <v>693</v>
      </c>
      <c r="N24" s="16" t="s">
        <v>694</v>
      </c>
      <c r="O24" s="647" t="s">
        <v>695</v>
      </c>
      <c r="P24" s="647" t="e">
        <f>_xll.ciqfunctions.udf.CIQRANGEA($B24,"IQ_COMPANY_ID_QUICK_MATCH",1,5,,,,,,,"ID")</f>
        <v>#NAME?</v>
      </c>
      <c r="Q24" s="647" t="s">
        <v>696</v>
      </c>
      <c r="R24" s="647" t="s">
        <v>697</v>
      </c>
      <c r="S24" s="647" t="s">
        <v>698</v>
      </c>
      <c r="T24" s="647" t="s">
        <v>699</v>
      </c>
      <c r="U24" s="647" t="s">
        <v>700</v>
      </c>
      <c r="V24" s="16"/>
      <c r="W24" s="16"/>
      <c r="X24" s="16"/>
      <c r="Y24" s="16"/>
      <c r="Z24" s="16"/>
      <c r="AA24" s="16"/>
      <c r="AB24" s="16"/>
      <c r="AC24" s="16"/>
    </row>
    <row r="25" ht="12.75" customHeight="1" spans="1:29" x14ac:dyDescent="0.25">
      <c r="A25" s="16"/>
      <c r="B25" s="641" t="s">
        <v>701</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701</v>
      </c>
      <c r="L25" s="16" t="s">
        <v>702</v>
      </c>
      <c r="M25" s="16" t="s">
        <v>703</v>
      </c>
      <c r="N25" s="16" t="s">
        <v>704</v>
      </c>
      <c r="O25" s="647" t="s">
        <v>705</v>
      </c>
      <c r="P25" s="647" t="e">
        <f>_xll.ciqfunctions.udf.CIQRANGEA($B25,"IQ_COMPANY_ID_QUICK_MATCH",1,5,,,,,,,"ID")</f>
        <v>#NAME?</v>
      </c>
      <c r="Q25" s="647" t="s">
        <v>706</v>
      </c>
      <c r="R25" s="647" t="s">
        <v>707</v>
      </c>
      <c r="S25" s="647" t="s">
        <v>708</v>
      </c>
      <c r="T25" s="647" t="s">
        <v>709</v>
      </c>
      <c r="U25" s="647" t="s">
        <v>710</v>
      </c>
      <c r="V25" s="16"/>
      <c r="W25" s="16"/>
      <c r="X25" s="16"/>
      <c r="Y25" s="16"/>
      <c r="Z25" s="16"/>
      <c r="AA25" s="16"/>
      <c r="AB25" s="16"/>
      <c r="AC25" s="16"/>
    </row>
    <row r="26" ht="12.75" customHeight="1" spans="1:29" x14ac:dyDescent="0.25">
      <c r="A26" s="16"/>
      <c r="B26" s="641" t="s">
        <v>711</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712</v>
      </c>
      <c r="L26" s="16" t="s">
        <v>713</v>
      </c>
      <c r="M26" s="16" t="s">
        <v>714</v>
      </c>
      <c r="N26" s="16" t="s">
        <v>715</v>
      </c>
      <c r="O26" s="647" t="s">
        <v>716</v>
      </c>
      <c r="P26" s="647" t="e">
        <f>_xll.ciqfunctions.udf.CIQRANGEA($B26,"IQ_COMPANY_ID_QUICK_MATCH",1,5,,,,,,,"ID")</f>
        <v>#NAME?</v>
      </c>
      <c r="Q26" s="647" t="s">
        <v>717</v>
      </c>
      <c r="R26" s="647" t="s">
        <v>718</v>
      </c>
      <c r="S26" s="647" t="s">
        <v>719</v>
      </c>
      <c r="T26" s="647" t="s">
        <v>720</v>
      </c>
      <c r="U26" s="647" t="s">
        <v>721</v>
      </c>
      <c r="V26" s="16"/>
      <c r="W26" s="16"/>
      <c r="X26" s="16"/>
      <c r="Y26" s="16"/>
      <c r="Z26" s="16"/>
      <c r="AA26" s="16"/>
      <c r="AB26" s="16"/>
      <c r="AC26" s="16"/>
    </row>
    <row r="27" ht="12.75" customHeight="1" spans="1:29" x14ac:dyDescent="0.25">
      <c r="A27" s="16"/>
      <c r="B27" s="641" t="s">
        <v>722</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723</v>
      </c>
      <c r="L27" s="16" t="s">
        <v>724</v>
      </c>
      <c r="M27" s="16" t="s">
        <v>725</v>
      </c>
      <c r="N27" s="16" t="s">
        <v>726</v>
      </c>
      <c r="O27" s="647" t="s">
        <v>727</v>
      </c>
      <c r="P27" s="647" t="e">
        <f>_xll.ciqfunctions.udf.CIQRANGEA($B27,"IQ_COMPANY_ID_QUICK_MATCH",1,5,,,,,,,"ID")</f>
        <v>#NAME?</v>
      </c>
      <c r="Q27" s="647" t="s">
        <v>728</v>
      </c>
      <c r="R27" s="647" t="s">
        <v>729</v>
      </c>
      <c r="S27" s="647" t="s">
        <v>730</v>
      </c>
      <c r="T27" s="647" t="s">
        <v>731</v>
      </c>
      <c r="U27" s="647" t="s">
        <v>732</v>
      </c>
      <c r="V27" s="16"/>
      <c r="W27" s="16"/>
      <c r="X27" s="16"/>
      <c r="Y27" s="16"/>
      <c r="Z27" s="16"/>
      <c r="AA27" s="16"/>
      <c r="AB27" s="16"/>
      <c r="AC27" s="16"/>
    </row>
    <row r="28" ht="12.75" customHeight="1" spans="1:29" x14ac:dyDescent="0.25">
      <c r="A28" s="16"/>
      <c r="B28" s="641" t="s">
        <v>733</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734</v>
      </c>
      <c r="L28" s="16" t="s">
        <v>735</v>
      </c>
      <c r="M28" s="16" t="s">
        <v>736</v>
      </c>
      <c r="N28" s="16" t="s">
        <v>737</v>
      </c>
      <c r="O28" s="647" t="s">
        <v>738</v>
      </c>
      <c r="P28" s="647" t="e">
        <f>_xll.ciqfunctions.udf.CIQRANGEA($B28,"IQ_COMPANY_ID_QUICK_MATCH",1,5,,,,,,,"ID")</f>
        <v>#NAME?</v>
      </c>
      <c r="Q28" s="647" t="s">
        <v>739</v>
      </c>
      <c r="R28" s="647" t="s">
        <v>740</v>
      </c>
      <c r="S28" s="647" t="s">
        <v>741</v>
      </c>
      <c r="T28" s="647" t="s">
        <v>742</v>
      </c>
      <c r="U28" s="647" t="s">
        <v>743</v>
      </c>
      <c r="V28" s="16"/>
      <c r="W28" s="16"/>
      <c r="X28" s="16"/>
      <c r="Y28" s="16"/>
      <c r="Z28" s="16"/>
      <c r="AA28" s="16"/>
      <c r="AB28" s="16"/>
      <c r="AC28" s="16"/>
    </row>
    <row r="29" ht="12.75" customHeight="1" spans="1:29" x14ac:dyDescent="0.25">
      <c r="A29" s="16"/>
      <c r="B29" s="641" t="s">
        <v>744</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745</v>
      </c>
      <c r="L29" s="16" t="s">
        <v>746</v>
      </c>
      <c r="M29" s="16"/>
      <c r="N29" s="16"/>
      <c r="O29" s="647"/>
      <c r="P29" s="647" t="e">
        <f>_xll.ciqfunctions.udf.CIQRANGEA($B29,"IQ_COMPANY_ID_QUICK_MATCH",1,5,,,,,,,"ID")</f>
        <v>#NAME?</v>
      </c>
      <c r="Q29" s="647" t="s">
        <v>747</v>
      </c>
      <c r="R29" s="647" t="s">
        <v>748</v>
      </c>
      <c r="S29" s="647"/>
      <c r="T29" s="647"/>
      <c r="U29" s="647"/>
      <c r="V29" s="16"/>
      <c r="W29" s="16"/>
      <c r="X29" s="16"/>
      <c r="Y29" s="16"/>
      <c r="Z29" s="16"/>
      <c r="AA29" s="16"/>
      <c r="AB29" s="16"/>
      <c r="AC29" s="16"/>
    </row>
    <row r="30" ht="12.75" customHeight="1" spans="1:29" x14ac:dyDescent="0.25">
      <c r="A30" s="16"/>
      <c r="B30" s="641" t="s">
        <v>749</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750</v>
      </c>
      <c r="L30" s="16"/>
      <c r="M30" s="16"/>
      <c r="N30" s="16"/>
      <c r="O30" s="647"/>
      <c r="P30" s="647" t="e">
        <f>_xll.ciqfunctions.udf.CIQRANGEA($B30,"IQ_COMPANY_ID_QUICK_MATCH",1,5,,,,,,,"ID")</f>
        <v>#NAME?</v>
      </c>
      <c r="Q30" s="647" t="s">
        <v>751</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752</v>
      </c>
      <c r="D4" s="19"/>
      <c r="E4" s="19"/>
      <c r="F4" s="19"/>
      <c r="G4" s="20"/>
      <c r="H4" s="16"/>
      <c r="I4" s="16"/>
      <c r="J4" s="18" t="s">
        <v>753</v>
      </c>
      <c r="K4" s="19"/>
      <c r="L4" s="19"/>
      <c r="M4" s="63" t="s">
        <v>754</v>
      </c>
      <c r="N4" s="63" t="s">
        <v>755</v>
      </c>
      <c r="O4" s="64" t="s">
        <v>756</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757</v>
      </c>
      <c r="D6" s="16"/>
      <c r="E6" s="16"/>
      <c r="F6" s="16"/>
      <c r="G6" s="656">
        <v>0.0349</v>
      </c>
      <c r="H6" s="16"/>
      <c r="I6" s="16"/>
      <c r="J6" s="16" t="s">
        <v>758</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759</v>
      </c>
      <c r="D7" s="16"/>
      <c r="E7" s="16"/>
      <c r="F7" s="16"/>
      <c r="G7" s="656">
        <v>0.049</v>
      </c>
      <c r="H7" s="16"/>
      <c r="I7" s="16"/>
      <c r="J7" s="16" t="s">
        <v>760</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761</v>
      </c>
      <c r="D8" s="16"/>
      <c r="E8" s="16"/>
      <c r="F8" s="16"/>
      <c r="G8" s="656">
        <v>0.0169</v>
      </c>
      <c r="H8" s="16"/>
      <c r="I8" s="16"/>
      <c r="J8" s="16" t="s">
        <v>762</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763</v>
      </c>
      <c r="D9" s="16"/>
      <c r="E9" s="16"/>
      <c r="F9" s="16"/>
      <c r="G9" s="153">
        <f>Tax_Rate</f>
        <v>0.2443665498247371</v>
      </c>
      <c r="H9" s="16"/>
      <c r="I9" s="16"/>
      <c r="J9" s="132" t="s">
        <v>764</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765</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766</v>
      </c>
      <c r="D13" s="19"/>
      <c r="E13" s="19"/>
      <c r="F13" s="19"/>
      <c r="G13" s="20"/>
      <c r="H13" s="16"/>
      <c r="I13" s="16"/>
      <c r="J13" s="663" t="s">
        <v>767</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761</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768</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769</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770</v>
      </c>
      <c r="D20" s="19"/>
      <c r="E20" s="19"/>
      <c r="F20" s="19"/>
      <c r="G20" s="20"/>
      <c r="H20" s="16"/>
      <c r="I20" s="16"/>
      <c r="J20" s="18" t="s">
        <v>771</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772</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773</v>
      </c>
      <c r="D24" s="131"/>
      <c r="E24" s="131"/>
      <c r="F24" s="131"/>
      <c r="G24" s="672">
        <f>IF(J44="Comps Relevered Beta",G47,G49)</f>
        <v>1.32679</v>
      </c>
      <c r="H24" s="16"/>
      <c r="I24" s="16"/>
      <c r="J24" s="673" t="s">
        <v>774</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770</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775</v>
      </c>
      <c r="E30" s="84" t="s">
        <v>776</v>
      </c>
      <c r="F30" s="84" t="s">
        <v>777</v>
      </c>
      <c r="G30" s="84" t="s">
        <v>778</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779</v>
      </c>
      <c r="G31" s="210" t="s">
        <v>528</v>
      </c>
      <c r="H31" s="16"/>
      <c r="I31" s="16"/>
      <c r="J31" s="92" t="s">
        <v>780</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781</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782</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783</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784</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785</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786</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787</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788</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789</v>
      </c>
      <c r="E45" s="84" t="s">
        <v>790</v>
      </c>
      <c r="F45" s="84" t="s">
        <v>777</v>
      </c>
      <c r="G45" s="84" t="s">
        <v>791</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779</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792</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793</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794</v>
      </c>
      <c r="E6" s="109" t="s">
        <v>795</v>
      </c>
      <c r="F6" s="710" t="s">
        <v>796</v>
      </c>
      <c r="G6" s="711" t="s">
        <v>797</v>
      </c>
      <c r="H6" s="16"/>
      <c r="I6" s="16"/>
      <c r="J6" s="16"/>
      <c r="K6" s="16"/>
      <c r="L6" s="712" t="s">
        <v>798</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799</v>
      </c>
      <c r="N7" s="109"/>
      <c r="O7" s="109"/>
      <c r="P7" s="109"/>
      <c r="Q7" s="109" t="s">
        <v>800</v>
      </c>
      <c r="R7" s="45" t="s">
        <v>801</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802</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803</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804</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805</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806</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807</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808</v>
      </c>
      <c r="D24" s="267" t="s">
        <v>809</v>
      </c>
      <c r="E24" s="16"/>
      <c r="F24" s="16"/>
      <c r="G24" s="16"/>
      <c r="H24" s="724"/>
      <c r="I24" s="724"/>
      <c r="J24" s="724"/>
      <c r="K24" s="16"/>
      <c r="L24" s="303"/>
      <c r="M24" s="16" t="s">
        <v>810</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811</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812</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813</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814</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813</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815</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816</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817</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818</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819</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820</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821</v>
      </c>
      <c r="H57" s="22"/>
      <c r="I57" s="22"/>
      <c r="J57" s="22"/>
      <c r="K57" s="7"/>
      <c r="L57" s="16"/>
      <c r="M57" s="16"/>
      <c r="N57" s="92" t="s">
        <v>822</v>
      </c>
      <c r="O57" s="22"/>
      <c r="P57" s="22"/>
      <c r="Q57" s="22"/>
      <c r="R57" s="7"/>
      <c r="S57" s="16"/>
      <c r="T57" s="16"/>
      <c r="U57" s="16"/>
      <c r="V57" s="16"/>
      <c r="W57" s="16"/>
      <c r="X57" s="92" t="s">
        <v>821</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823</v>
      </c>
      <c r="H59" s="16"/>
      <c r="I59" s="16"/>
      <c r="J59" s="16"/>
      <c r="K59" s="761">
        <f>R32</f>
      </c>
      <c r="L59" s="16"/>
      <c r="M59" s="16"/>
      <c r="N59" s="188" t="s">
        <v>824</v>
      </c>
      <c r="O59" s="16"/>
      <c r="P59" s="16"/>
      <c r="Q59" s="16"/>
      <c r="R59" s="762">
        <f>R48</f>
      </c>
      <c r="S59" s="16"/>
      <c r="T59" s="16"/>
      <c r="U59" s="16"/>
      <c r="V59" s="16"/>
      <c r="W59" s="189"/>
      <c r="X59" s="16" t="s">
        <v>823</v>
      </c>
      <c r="Y59" s="16"/>
      <c r="Z59" s="16"/>
      <c r="AA59" s="16"/>
      <c r="AB59" s="761">
        <f>R32</f>
      </c>
    </row>
    <row r="60" ht="15" customHeight="1" spans="1:28" x14ac:dyDescent="0.25">
      <c r="A60" s="16"/>
      <c r="B60" s="16"/>
      <c r="C60" s="16"/>
      <c r="D60" s="16"/>
      <c r="E60" s="16"/>
      <c r="F60" s="189"/>
      <c r="G60" s="16" t="s">
        <v>825</v>
      </c>
      <c r="H60" s="16"/>
      <c r="I60" s="16"/>
      <c r="J60" s="16"/>
      <c r="K60" s="763">
        <f>IF(Case_Scenario="Bear",Valuation!J84,IF(Case_Scenario="Base",Valuation!J85,IF(Case_Scenario="Bull",Valuation!J86,"Error")))</f>
        <v>13</v>
      </c>
      <c r="L60" s="16"/>
      <c r="M60" s="16"/>
      <c r="N60" s="188" t="s">
        <v>826</v>
      </c>
      <c r="O60" s="16"/>
      <c r="P60" s="16"/>
      <c r="Q60" s="16"/>
      <c r="R60" s="764">
        <f>G86</f>
        <v>0.02</v>
      </c>
      <c r="S60" s="16"/>
      <c r="T60" s="16"/>
      <c r="U60" s="16"/>
      <c r="V60" s="16"/>
      <c r="W60" s="189"/>
      <c r="X60" s="16" t="s">
        <v>825</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827</v>
      </c>
      <c r="H61" s="16"/>
      <c r="I61" s="16"/>
      <c r="J61" s="16"/>
      <c r="K61" s="765">
        <f>K59*K60</f>
      </c>
      <c r="L61" s="16"/>
      <c r="M61" s="16"/>
      <c r="N61" s="188" t="s">
        <v>827</v>
      </c>
      <c r="O61" s="16"/>
      <c r="P61" s="16"/>
      <c r="Q61" s="16"/>
      <c r="R61" s="765">
        <f>(R59*(1+R60))/(Discount_Rate-R60)</f>
      </c>
      <c r="S61" s="16"/>
      <c r="T61" s="16"/>
      <c r="U61" s="16"/>
      <c r="V61" s="16"/>
      <c r="W61" s="189"/>
      <c r="X61" s="16" t="s">
        <v>827</v>
      </c>
      <c r="Y61" s="16"/>
      <c r="Z61" s="16"/>
      <c r="AA61" s="16"/>
      <c r="AB61" s="765">
        <f>AB59*AB60</f>
      </c>
    </row>
    <row r="62" ht="13.5" customHeight="1" spans="1:28" x14ac:dyDescent="0.25">
      <c r="A62" s="16"/>
      <c r="B62" s="16"/>
      <c r="C62" s="16"/>
      <c r="D62" s="16"/>
      <c r="E62" s="16"/>
      <c r="F62" s="189"/>
      <c r="G62" s="16" t="s">
        <v>828</v>
      </c>
      <c r="H62" s="16"/>
      <c r="I62" s="16"/>
      <c r="J62" s="16"/>
      <c r="K62" s="765">
        <f>K61*R52</f>
      </c>
      <c r="L62" s="16"/>
      <c r="M62" s="16"/>
      <c r="N62" s="188" t="s">
        <v>828</v>
      </c>
      <c r="O62" s="16"/>
      <c r="P62" s="16"/>
      <c r="Q62" s="16"/>
      <c r="R62" s="765">
        <f>R61*R52</f>
      </c>
      <c r="S62" s="16"/>
      <c r="T62" s="16"/>
      <c r="U62" s="16"/>
      <c r="V62" s="16"/>
      <c r="W62" s="189"/>
      <c r="X62" s="16" t="s">
        <v>828</v>
      </c>
      <c r="Y62" s="16"/>
      <c r="Z62" s="16"/>
      <c r="AA62" s="16"/>
      <c r="AB62" s="765">
        <f>AB61*R52</f>
      </c>
    </row>
    <row r="63" ht="13.5" customHeight="1" spans="1:28" x14ac:dyDescent="0.25">
      <c r="A63" s="16"/>
      <c r="B63" s="16"/>
      <c r="C63" s="16"/>
      <c r="D63" s="16"/>
      <c r="E63" s="16"/>
      <c r="F63" s="189"/>
      <c r="G63" s="16" t="s">
        <v>829</v>
      </c>
      <c r="H63" s="16"/>
      <c r="I63" s="16"/>
      <c r="J63" s="16"/>
      <c r="K63" s="765">
        <f>SUM(N54:R54)</f>
      </c>
      <c r="L63" s="16"/>
      <c r="M63" s="16"/>
      <c r="N63" s="188" t="s">
        <v>829</v>
      </c>
      <c r="O63" s="16"/>
      <c r="P63" s="16"/>
      <c r="Q63" s="16"/>
      <c r="R63" s="765">
        <f>SUM(N54:R54)</f>
      </c>
      <c r="S63" s="16"/>
      <c r="T63" s="16"/>
      <c r="U63" s="16"/>
      <c r="V63" s="16"/>
      <c r="W63" s="189"/>
      <c r="X63" s="16" t="s">
        <v>829</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830</v>
      </c>
      <c r="H66" s="16"/>
      <c r="I66" s="16"/>
      <c r="J66" s="16"/>
      <c r="K66" s="767">
        <f>IF(Last_FQR="1Q",Model!$U$120,IF(Last_FQR="2Q",Model!$V$120,IF(Last_FQR="3Q",Model!$W$120,Model!$X$120)))</f>
        <v>6255</v>
      </c>
      <c r="L66" s="16"/>
      <c r="M66" s="16"/>
      <c r="N66" s="188" t="s">
        <v>830</v>
      </c>
      <c r="O66" s="16"/>
      <c r="P66" s="16"/>
      <c r="Q66" s="16"/>
      <c r="R66" s="765">
        <f t="shared" ref="R66:R71" si="17">K66</f>
        <v>6255</v>
      </c>
      <c r="S66" s="16"/>
      <c r="T66" s="16"/>
      <c r="U66" s="16"/>
      <c r="V66" s="16"/>
      <c r="W66" s="189"/>
      <c r="X66" s="16" t="s">
        <v>830</v>
      </c>
      <c r="Y66" s="16"/>
      <c r="Z66" s="16"/>
      <c r="AA66" s="16"/>
      <c r="AB66" s="767">
        <f>Model!$V$120</f>
        <v>6255</v>
      </c>
    </row>
    <row r="67" ht="13.5" customHeight="1" spans="1:28" x14ac:dyDescent="0.25">
      <c r="A67" s="16"/>
      <c r="B67" s="16"/>
      <c r="C67" s="16"/>
      <c r="D67" s="16"/>
      <c r="E67" s="16"/>
      <c r="F67" s="189"/>
      <c r="G67" s="16" t="s">
        <v>831</v>
      </c>
      <c r="H67" s="16"/>
      <c r="I67" s="16"/>
      <c r="J67" s="16"/>
      <c r="K67" s="767">
        <f>WACC!$M$8</f>
        <v>0</v>
      </c>
      <c r="L67" s="16"/>
      <c r="M67" s="16"/>
      <c r="N67" s="188" t="s">
        <v>831</v>
      </c>
      <c r="O67" s="16"/>
      <c r="P67" s="16"/>
      <c r="Q67" s="16"/>
      <c r="R67" s="765">
        <f>K67</f>
      </c>
      <c r="S67" s="16"/>
      <c r="T67" s="16"/>
      <c r="U67" s="16"/>
      <c r="V67" s="16"/>
      <c r="W67" s="189"/>
      <c r="X67" s="16" t="s">
        <v>831</v>
      </c>
      <c r="Y67" s="16"/>
      <c r="Z67" s="16"/>
      <c r="AA67" s="16"/>
      <c r="AB67" s="767">
        <f>WACC!$M$8</f>
        <v>0</v>
      </c>
    </row>
    <row r="68" ht="13.5" customHeight="1" spans="1:28" x14ac:dyDescent="0.25">
      <c r="A68" s="16"/>
      <c r="B68" s="16"/>
      <c r="C68" s="16"/>
      <c r="D68" s="16"/>
      <c r="E68" s="16"/>
      <c r="F68" s="189"/>
      <c r="G68" s="16" t="s">
        <v>832</v>
      </c>
      <c r="H68" s="16"/>
      <c r="I68" s="16"/>
      <c r="J68" s="16"/>
      <c r="K68" s="767">
        <f>-IF(Last_FQR="1Q",Model!$U$139+Model!$U$140,IF(Last_FQR="2Q",Model!$V$139+Model!$V$140,IF(Last_FQR="3Q",Model!$W$139+Model!$W$140,Model!$X$139+Model!$X$140)))</f>
        <v>-23311</v>
      </c>
      <c r="L68" s="16"/>
      <c r="M68" s="16"/>
      <c r="N68" s="188" t="s">
        <v>832</v>
      </c>
      <c r="O68" s="16"/>
      <c r="P68" s="16"/>
      <c r="Q68" s="16"/>
      <c r="R68" s="765">
        <f>K68</f>
        <v>-23311</v>
      </c>
      <c r="S68" s="16"/>
      <c r="T68" s="16"/>
      <c r="U68" s="16"/>
      <c r="V68" s="16"/>
      <c r="W68" s="189"/>
      <c r="X68" s="16" t="s">
        <v>832</v>
      </c>
      <c r="Y68" s="16"/>
      <c r="Z68" s="16"/>
      <c r="AA68" s="16"/>
      <c r="AB68" s="767">
        <f>-(Model!$V$139+Model!$V$140)</f>
        <v>-23311</v>
      </c>
    </row>
    <row r="69" ht="13.5" customHeight="1" spans="1:28" x14ac:dyDescent="0.25">
      <c r="A69" s="16"/>
      <c r="B69" s="16"/>
      <c r="C69" s="16"/>
      <c r="D69" s="16"/>
      <c r="E69" s="16"/>
      <c r="F69" s="189"/>
      <c r="G69" s="16" t="s">
        <v>833</v>
      </c>
      <c r="H69" s="16"/>
      <c r="I69" s="16"/>
      <c r="J69" s="16"/>
      <c r="K69" s="768">
        <v>0</v>
      </c>
      <c r="L69" s="16"/>
      <c r="M69" s="16"/>
      <c r="N69" s="188" t="s">
        <v>833</v>
      </c>
      <c r="O69" s="16"/>
      <c r="P69" s="16"/>
      <c r="Q69" s="16"/>
      <c r="R69" s="765">
        <f>K69</f>
      </c>
      <c r="S69" s="16"/>
      <c r="T69" s="16"/>
      <c r="U69" s="16"/>
      <c r="V69" s="16"/>
      <c r="W69" s="189"/>
      <c r="X69" s="16" t="s">
        <v>833</v>
      </c>
      <c r="Y69" s="16"/>
      <c r="Z69" s="16"/>
      <c r="AA69" s="16"/>
      <c r="AB69" s="768">
        <v>0</v>
      </c>
    </row>
    <row r="70" ht="13.5" customHeight="1" spans="1:28" x14ac:dyDescent="0.25">
      <c r="A70" s="16"/>
      <c r="B70" s="16"/>
      <c r="C70" s="16"/>
      <c r="D70" s="16"/>
      <c r="E70" s="16"/>
      <c r="F70" s="189"/>
      <c r="G70" s="16" t="s">
        <v>834</v>
      </c>
      <c r="H70" s="16"/>
      <c r="I70" s="16"/>
      <c r="J70" s="16"/>
      <c r="K70" s="767">
        <f>-IF(Last_FQR="1Q",Model!$U$153,IF(Last_FQR="2Q",Model!$V$153,IF(Last_FQR="3Q",Model!$W$153,Model!$X$153)))</f>
        <v>0</v>
      </c>
      <c r="L70" s="16"/>
      <c r="M70" s="16"/>
      <c r="N70" s="188" t="s">
        <v>834</v>
      </c>
      <c r="O70" s="16"/>
      <c r="P70" s="16"/>
      <c r="Q70" s="16"/>
      <c r="R70" s="765">
        <f>K70</f>
      </c>
      <c r="S70" s="16"/>
      <c r="T70" s="16"/>
      <c r="U70" s="16"/>
      <c r="V70" s="16"/>
      <c r="W70" s="189"/>
      <c r="X70" s="16" t="s">
        <v>834</v>
      </c>
      <c r="Y70" s="16"/>
      <c r="Z70" s="16"/>
      <c r="AA70" s="16"/>
      <c r="AB70" s="767">
        <f>-Model!$V$153</f>
        <v>0</v>
      </c>
    </row>
    <row r="71" ht="13.5" customHeight="1" spans="1:28" x14ac:dyDescent="0.25">
      <c r="A71" s="16"/>
      <c r="B71" s="16"/>
      <c r="C71" s="16"/>
      <c r="D71" s="16"/>
      <c r="E71" s="16"/>
      <c r="F71" s="189"/>
      <c r="G71" s="16" t="s">
        <v>835</v>
      </c>
      <c r="H71" s="16"/>
      <c r="I71" s="16"/>
      <c r="J71" s="16"/>
      <c r="K71" s="768">
        <v>0</v>
      </c>
      <c r="L71" s="16"/>
      <c r="M71" s="16"/>
      <c r="N71" s="188" t="s">
        <v>835</v>
      </c>
      <c r="O71" s="16"/>
      <c r="P71" s="16"/>
      <c r="Q71" s="16"/>
      <c r="R71" s="765">
        <f>K71</f>
      </c>
      <c r="S71" s="16"/>
      <c r="T71" s="16"/>
      <c r="U71" s="16"/>
      <c r="V71" s="16"/>
      <c r="W71" s="189"/>
      <c r="X71" s="16" t="s">
        <v>835</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836</v>
      </c>
      <c r="H74" s="16"/>
      <c r="I74" s="16"/>
      <c r="J74" s="16"/>
      <c r="K74" s="769">
        <f>Diluted_Shares</f>
        <v>707</v>
      </c>
      <c r="L74" s="16"/>
      <c r="M74" s="16"/>
      <c r="N74" s="188" t="s">
        <v>836</v>
      </c>
      <c r="O74" s="16"/>
      <c r="P74" s="16"/>
      <c r="Q74" s="16"/>
      <c r="R74" s="770">
        <f>K74</f>
        <v>707</v>
      </c>
      <c r="S74" s="16"/>
      <c r="T74" s="16"/>
      <c r="U74" s="16"/>
      <c r="V74" s="16"/>
      <c r="W74" s="189"/>
      <c r="X74" s="16" t="s">
        <v>836</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837</v>
      </c>
      <c r="H79" s="16"/>
      <c r="I79" s="16"/>
      <c r="J79" s="16"/>
      <c r="K79" s="774">
        <f>R61/K59</f>
      </c>
      <c r="L79" s="16"/>
      <c r="M79" s="16"/>
      <c r="N79" s="16" t="s">
        <v>838</v>
      </c>
      <c r="O79" s="16"/>
      <c r="P79" s="16"/>
      <c r="Q79" s="16"/>
      <c r="R79" s="775">
        <f>(K61*Discount_Rate-R59)/(R59+K61)</f>
      </c>
      <c r="S79" s="16"/>
      <c r="T79" s="16"/>
      <c r="U79" s="16"/>
      <c r="V79" s="16"/>
      <c r="W79" s="16"/>
      <c r="X79" s="16" t="s">
        <v>837</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817</v>
      </c>
      <c r="D83" s="16"/>
      <c r="E83" s="16"/>
      <c r="F83" s="16"/>
      <c r="G83" s="42" t="s">
        <v>839</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840</v>
      </c>
      <c r="D84" s="16"/>
      <c r="E84" s="16"/>
      <c r="F84" s="16"/>
      <c r="G84" s="777">
        <f>Discount_Rate</f>
        <v>0.08911722232642302</v>
      </c>
      <c r="H84" s="16"/>
      <c r="I84" s="16" t="s">
        <v>841</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803</v>
      </c>
      <c r="D86" s="16"/>
      <c r="E86" s="16"/>
      <c r="F86" s="16"/>
      <c r="G86" s="780">
        <v>0.02</v>
      </c>
      <c r="H86" s="16"/>
      <c r="I86" s="16" t="s">
        <v>842</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843</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844</v>
      </c>
      <c r="D92" s="16"/>
      <c r="E92" s="774">
        <f>J85</f>
        <v>13</v>
      </c>
      <c r="F92" s="667">
        <f>E92-H98</f>
        <v>0</v>
      </c>
      <c r="G92" s="16"/>
      <c r="H92" s="16" t="s">
        <v>845</v>
      </c>
      <c r="I92" s="16"/>
      <c r="J92" s="781">
        <f>G86</f>
        <v>0.02</v>
      </c>
      <c r="K92" s="667">
        <f>J92-H106</f>
        <v>0</v>
      </c>
      <c r="L92" s="16"/>
      <c r="M92" s="16" t="s">
        <v>846</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847</v>
      </c>
      <c r="D93" s="16"/>
      <c r="E93" s="782">
        <v>1</v>
      </c>
      <c r="F93" s="16"/>
      <c r="G93" s="16"/>
      <c r="H93" s="16" t="s">
        <v>848</v>
      </c>
      <c r="I93" s="16"/>
      <c r="J93" s="783">
        <v>0.005</v>
      </c>
      <c r="K93" s="16"/>
      <c r="L93" s="16"/>
      <c r="M93" s="16" t="s">
        <v>849</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850</v>
      </c>
      <c r="E95" s="22"/>
      <c r="F95" s="22"/>
      <c r="G95" s="22"/>
      <c r="H95" s="22"/>
      <c r="I95" s="22"/>
      <c r="J95" s="7"/>
      <c r="K95" s="784"/>
      <c r="L95" s="63" t="s">
        <v>851</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852</v>
      </c>
      <c r="G105" s="668"/>
      <c r="H105" s="668"/>
      <c r="I105" s="668"/>
      <c r="J105" s="668"/>
      <c r="K105" s="16"/>
      <c r="L105" s="590"/>
      <c r="M105" s="592"/>
      <c r="N105" s="592" t="s">
        <v>852</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853</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854</v>
      </c>
      <c r="E116" s="22"/>
      <c r="F116" s="7"/>
      <c r="G116" s="16"/>
      <c r="H116" s="92" t="s">
        <v>855</v>
      </c>
      <c r="I116" s="22"/>
      <c r="J116" s="7"/>
      <c r="K116" s="16"/>
      <c r="L116" s="92" t="s">
        <v>140</v>
      </c>
      <c r="M116" s="22"/>
      <c r="N116" s="7"/>
      <c r="O116" s="189"/>
      <c r="P116" s="92" t="s">
        <v>856</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857</v>
      </c>
      <c r="E118" s="16"/>
      <c r="F118" s="808">
        <f>$D$11</f>
        <v>18.6398</v>
      </c>
      <c r="G118" s="16"/>
      <c r="H118" s="188" t="s">
        <v>858</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857</v>
      </c>
      <c r="M118" s="16"/>
      <c r="N118" s="808">
        <f>$D$12</f>
        <v>12.4849</v>
      </c>
      <c r="O118" s="189"/>
      <c r="P118" s="188" t="s">
        <v>858</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859</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860</v>
      </c>
      <c r="I119" s="16"/>
      <c r="J119" s="808">
        <f>IF(G143="1 Year",J144,IF(G143="2 Year",J145,IF(G143="3 Year",J146,IF(G143="5 Year",J147,"N/A"))))</f>
        <v>21.62764142857142</v>
      </c>
      <c r="K119" s="16"/>
      <c r="L119" s="188" t="s">
        <v>859</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860</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861</v>
      </c>
      <c r="E120" s="303"/>
      <c r="F120" s="809">
        <f>F118/F119-1</f>
        <v>-0.0063380139569576555</v>
      </c>
      <c r="G120" s="16"/>
      <c r="H120" s="307" t="s">
        <v>862</v>
      </c>
      <c r="I120" s="303"/>
      <c r="J120" s="810">
        <f>J118/J119-1</f>
        <v>-0.13265193899684824</v>
      </c>
      <c r="K120" s="16"/>
      <c r="L120" s="307" t="s">
        <v>861</v>
      </c>
      <c r="M120" s="303"/>
      <c r="N120" s="809">
        <f>N118/N119-1</f>
        <v>0.003621426303372033</v>
      </c>
      <c r="O120" s="189"/>
      <c r="P120" s="188" t="s">
        <v>862</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863</v>
      </c>
      <c r="E121" s="303"/>
      <c r="F121" s="811">
        <v>0</v>
      </c>
      <c r="G121" s="16"/>
      <c r="H121" s="188" t="s">
        <v>864</v>
      </c>
      <c r="I121" s="16"/>
      <c r="J121" s="808">
        <f>IF($G$145=$K$220,$E$11,IF($G$145=$M$220,$E$16,IF($G$145=$O$220,$E$21,"N/A")))</f>
        <v>22.233219999999996</v>
      </c>
      <c r="K121" s="16"/>
      <c r="L121" s="307" t="s">
        <v>863</v>
      </c>
      <c r="M121" s="303"/>
      <c r="N121" s="811">
        <v>0</v>
      </c>
      <c r="O121" s="189"/>
      <c r="P121" s="188" t="s">
        <v>864</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865</v>
      </c>
      <c r="E123" s="16"/>
      <c r="F123" s="808">
        <f>F119*(1+F121)</f>
        <v>18.758692857142854</v>
      </c>
      <c r="G123" s="16"/>
      <c r="H123" s="188" t="s">
        <v>865</v>
      </c>
      <c r="I123" s="16"/>
      <c r="J123" s="808">
        <f>J121*(1+J120)</f>
        <v>19.28394025685649</v>
      </c>
      <c r="K123" s="16"/>
      <c r="L123" s="188" t="s">
        <v>865</v>
      </c>
      <c r="M123" s="16"/>
      <c r="N123" s="808">
        <f>N119*(1+N121)</f>
        <v>12.439849999999998</v>
      </c>
      <c r="O123" s="189"/>
      <c r="P123" s="188" t="s">
        <v>865</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866</v>
      </c>
      <c r="E124" s="16"/>
      <c r="F124" s="812">
        <f>NTM_EPS</f>
      </c>
      <c r="G124" s="16"/>
      <c r="H124" s="188" t="s">
        <v>866</v>
      </c>
      <c r="I124" s="16"/>
      <c r="J124" s="812">
        <f>F124</f>
      </c>
      <c r="K124" s="16"/>
      <c r="L124" s="813" t="s">
        <v>867</v>
      </c>
      <c r="M124" s="16"/>
      <c r="N124" s="814">
        <f>NTM_EBITDA</f>
      </c>
      <c r="O124" s="189"/>
      <c r="P124" s="188" t="s">
        <v>867</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868</v>
      </c>
      <c r="M125" s="16"/>
      <c r="N125" s="814">
        <f>N123*N124</f>
      </c>
      <c r="O125" s="189"/>
      <c r="P125" s="188" t="s">
        <v>868</v>
      </c>
      <c r="Q125" s="16"/>
      <c r="R125" s="814">
        <f>R123*R124</f>
      </c>
      <c r="S125" s="16"/>
      <c r="T125" s="16"/>
      <c r="U125" s="16"/>
      <c r="V125" s="16"/>
      <c r="W125" s="16"/>
      <c r="X125" s="16"/>
      <c r="Y125" s="16"/>
      <c r="Z125" s="16"/>
      <c r="AA125" s="16"/>
      <c r="AB125" s="16"/>
    </row>
    <row r="126" ht="13.5" customHeight="1" spans="1:28" x14ac:dyDescent="0.25">
      <c r="A126" s="16"/>
      <c r="B126" s="16"/>
      <c r="C126" s="16"/>
      <c r="D126" s="188" t="s">
        <v>869</v>
      </c>
      <c r="E126" s="16"/>
      <c r="F126" s="814">
        <f>F123*F124</f>
      </c>
      <c r="G126" s="16"/>
      <c r="H126" s="188" t="s">
        <v>869</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870</v>
      </c>
      <c r="E127" s="131"/>
      <c r="F127" s="773">
        <f>F126/Share_Price-1</f>
      </c>
      <c r="G127" s="16"/>
      <c r="H127" s="311" t="s">
        <v>870</v>
      </c>
      <c r="I127" s="131"/>
      <c r="J127" s="773">
        <f>J126/Share_Price-1</f>
      </c>
      <c r="K127" s="16"/>
      <c r="L127" s="188" t="s">
        <v>871</v>
      </c>
      <c r="M127" s="16"/>
      <c r="N127" s="816">
        <f t="shared" ref="N127:N132" si="32">K66</f>
        <v>6255</v>
      </c>
      <c r="O127" s="189"/>
      <c r="P127" s="188" t="s">
        <v>871</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872</v>
      </c>
      <c r="M128" s="16"/>
      <c r="N128" s="816">
        <f>K67</f>
      </c>
      <c r="O128" s="189"/>
      <c r="P128" s="188" t="s">
        <v>872</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873</v>
      </c>
      <c r="M129" s="16"/>
      <c r="N129" s="816">
        <f>K68</f>
        <v>-23311</v>
      </c>
      <c r="O129" s="189"/>
      <c r="P129" s="188" t="s">
        <v>873</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874</v>
      </c>
      <c r="M130" s="16"/>
      <c r="N130" s="816">
        <f>K69</f>
      </c>
      <c r="O130" s="189"/>
      <c r="P130" s="188" t="s">
        <v>874</v>
      </c>
      <c r="Q130" s="16"/>
      <c r="R130" s="765">
        <f>N130</f>
      </c>
      <c r="S130" s="16"/>
      <c r="T130" s="16"/>
      <c r="U130" s="16"/>
      <c r="V130" s="16"/>
      <c r="W130" s="16"/>
      <c r="X130" s="16"/>
      <c r="Y130" s="16"/>
      <c r="Z130" s="16"/>
      <c r="AA130" s="16"/>
      <c r="AB130" s="16"/>
    </row>
    <row r="131" ht="13.5" customHeight="1" spans="1:28" x14ac:dyDescent="0.25">
      <c r="A131" s="16"/>
      <c r="B131" s="16"/>
      <c r="C131" s="16"/>
      <c r="D131" s="190" t="s">
        <v>866</v>
      </c>
      <c r="E131" s="132"/>
      <c r="F131" s="817">
        <f>IF(Last_FQR="3Q",SUM(Model!X56,Model!Z56:AB56),IF(Last_FQR="2Q",SUM(Model!W56:X56,Model!Z56:AA56),IF(Last_FQR="1Q",SUM(Model!V56:X56,Model!Z56),IF(Last_FQR="4Q",SUM(Model!U56:X56),"Error"))))</f>
      </c>
      <c r="G131" s="16"/>
      <c r="H131" s="16"/>
      <c r="I131" s="16"/>
      <c r="J131" s="16"/>
      <c r="K131" s="16"/>
      <c r="L131" s="188" t="s">
        <v>875</v>
      </c>
      <c r="M131" s="16"/>
      <c r="N131" s="816">
        <f>K70</f>
      </c>
      <c r="O131" s="189"/>
      <c r="P131" s="188" t="s">
        <v>875</v>
      </c>
      <c r="Q131" s="16"/>
      <c r="R131" s="765">
        <f>N131</f>
      </c>
      <c r="S131" s="16"/>
      <c r="T131" s="16"/>
      <c r="U131" s="16"/>
      <c r="V131" s="16"/>
      <c r="W131" s="16"/>
      <c r="X131" s="16"/>
      <c r="Y131" s="16"/>
      <c r="Z131" s="16"/>
      <c r="AA131" s="16"/>
      <c r="AB131" s="16"/>
    </row>
    <row r="132" ht="13.5" customHeight="1" spans="1:28" x14ac:dyDescent="0.25">
      <c r="A132" s="16"/>
      <c r="B132" s="16"/>
      <c r="C132" s="16"/>
      <c r="D132" s="192" t="s">
        <v>867</v>
      </c>
      <c r="E132" s="131"/>
      <c r="F132" s="818">
        <f>IF(Last_FQR="3Q",SUM(Model!X61,Model!Z61:AB61),IF(Last_FQR="2Q",SUM(Model!W61:X61,Model!Z61:AA61),IF(Last_FQR="1Q",SUM(Model!V61:X61,Model!Z61),IF(Last_FQR="4Q",SUM(Model!U61:X61),"Error"))))</f>
      </c>
      <c r="G132" s="16"/>
      <c r="H132" s="16"/>
      <c r="I132" s="16"/>
      <c r="J132" s="16"/>
      <c r="K132" s="16"/>
      <c r="L132" s="188" t="s">
        <v>876</v>
      </c>
      <c r="M132" s="131"/>
      <c r="N132" s="819">
        <f>K71</f>
      </c>
      <c r="O132" s="189"/>
      <c r="P132" s="192" t="s">
        <v>876</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877</v>
      </c>
      <c r="M134" s="16"/>
      <c r="N134" s="814">
        <f>SUM(N125:N132)</f>
      </c>
      <c r="O134" s="189"/>
      <c r="P134" s="188" t="s">
        <v>877</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869</v>
      </c>
      <c r="M137" s="16"/>
      <c r="N137" s="814">
        <f>N134/N135</f>
      </c>
      <c r="O137" s="189"/>
      <c r="P137" s="188" t="s">
        <v>869</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870</v>
      </c>
      <c r="M138" s="131"/>
      <c r="N138" s="773">
        <f>N137/Share_Price-1</f>
      </c>
      <c r="O138" s="189"/>
      <c r="P138" s="311" t="s">
        <v>870</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878</v>
      </c>
      <c r="D142" s="16"/>
      <c r="E142" s="16"/>
      <c r="F142" s="16"/>
      <c r="G142" s="42" t="s">
        <v>879</v>
      </c>
      <c r="H142" s="16"/>
      <c r="I142" s="16"/>
      <c r="J142" s="111" t="s">
        <v>880</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881</v>
      </c>
      <c r="D143" s="16"/>
      <c r="E143" s="16"/>
      <c r="F143" s="16"/>
      <c r="G143" s="42" t="s">
        <v>879</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808</v>
      </c>
      <c r="D144" s="16"/>
      <c r="E144" s="16"/>
      <c r="F144" s="16"/>
      <c r="G144" s="42" t="s">
        <v>809</v>
      </c>
      <c r="H144" s="47" t="b">
        <f>G144=$D$24</f>
        <v>1</v>
      </c>
      <c r="I144" s="84" t="s">
        <v>882</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883</v>
      </c>
      <c r="D145" s="16"/>
      <c r="E145" s="16"/>
      <c r="F145" s="16"/>
      <c r="G145" s="42" t="s">
        <v>555</v>
      </c>
      <c r="H145" s="16"/>
      <c r="I145" s="84" t="s">
        <v>884</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879</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885</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843</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886</v>
      </c>
      <c r="D151" s="16"/>
      <c r="E151" s="774">
        <f>$F$123</f>
        <v>18.758692857142854</v>
      </c>
      <c r="F151" s="667">
        <f>E151-H161</f>
        <v>0</v>
      </c>
      <c r="G151" s="16"/>
      <c r="H151" s="16" t="s">
        <v>887</v>
      </c>
      <c r="I151" s="16"/>
      <c r="J151" s="16"/>
      <c r="K151" s="774">
        <f>N123</f>
        <v>12.439849999999998</v>
      </c>
      <c r="L151" s="667">
        <f>K151-H177</f>
        <v>0</v>
      </c>
      <c r="M151" s="16"/>
      <c r="N151" s="5" t="s">
        <v>866</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847</v>
      </c>
      <c r="D152" s="16"/>
      <c r="E152" s="782">
        <v>1</v>
      </c>
      <c r="F152" s="16"/>
      <c r="G152" s="16"/>
      <c r="H152" s="16" t="s">
        <v>847</v>
      </c>
      <c r="I152" s="16"/>
      <c r="J152" s="16"/>
      <c r="K152" s="782">
        <v>1</v>
      </c>
      <c r="L152" s="822"/>
      <c r="M152" s="16"/>
      <c r="N152" s="491" t="s">
        <v>888</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889</v>
      </c>
      <c r="D153" s="16"/>
      <c r="E153" s="783">
        <v>0.1</v>
      </c>
      <c r="F153" s="16"/>
      <c r="G153" s="16"/>
      <c r="H153" s="16" t="s">
        <v>890</v>
      </c>
      <c r="I153" s="16"/>
      <c r="J153" s="16"/>
      <c r="K153" s="783">
        <v>0.1</v>
      </c>
      <c r="L153" s="822"/>
      <c r="M153" s="16"/>
      <c r="N153" s="5" t="s">
        <v>867</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891</v>
      </c>
      <c r="D154" s="16"/>
      <c r="E154" s="774">
        <f>$J$123</f>
        <v>19.28394025685649</v>
      </c>
      <c r="F154" s="667">
        <f>E154-H169</f>
        <v>0</v>
      </c>
      <c r="G154" s="16"/>
      <c r="H154" s="16" t="s">
        <v>892</v>
      </c>
      <c r="I154" s="16"/>
      <c r="J154" s="16"/>
      <c r="K154" s="774">
        <f>R123</f>
        <v>13.012839604943464</v>
      </c>
      <c r="L154" s="667">
        <f>K154-H185</f>
        <v>0</v>
      </c>
      <c r="M154" s="824"/>
      <c r="N154" s="491" t="s">
        <v>888</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847</v>
      </c>
      <c r="D155" s="16"/>
      <c r="E155" s="782">
        <v>1</v>
      </c>
      <c r="F155" s="16"/>
      <c r="G155" s="16"/>
      <c r="H155" s="16" t="s">
        <v>847</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850</v>
      </c>
      <c r="E158" s="22"/>
      <c r="F158" s="22"/>
      <c r="G158" s="22"/>
      <c r="H158" s="22"/>
      <c r="I158" s="22"/>
      <c r="J158" s="7"/>
      <c r="K158" s="784"/>
      <c r="L158" s="63" t="s">
        <v>851</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893</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854</v>
      </c>
      <c r="E194" s="22"/>
      <c r="F194" s="7"/>
      <c r="G194" s="16"/>
      <c r="H194" s="92" t="s">
        <v>855</v>
      </c>
      <c r="I194" s="22"/>
      <c r="J194" s="7"/>
      <c r="K194" s="16"/>
      <c r="L194" s="92" t="s">
        <v>140</v>
      </c>
      <c r="M194" s="22"/>
      <c r="N194" s="7"/>
      <c r="O194" s="16"/>
      <c r="P194" s="92" t="s">
        <v>856</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857</v>
      </c>
      <c r="E196" s="16"/>
      <c r="F196" s="808">
        <f>$D$11</f>
        <v>18.6398</v>
      </c>
      <c r="G196" s="16"/>
      <c r="H196" s="813" t="s">
        <v>894</v>
      </c>
      <c r="I196" s="16"/>
      <c r="J196" s="808">
        <f t="array" ref="J196">INDEX(Company_Cyclical_Multiples_Data,MATCH(CONCATENATE($G$220," ",$G$221),'Multiples Data'!$C$14:$C$26,0),MATCH(CONCATENATE(Valuation!$G$222," P/E"),'Multiples Data'!$C$14:$H$14,0))</f>
        <v>16.548837499999998</v>
      </c>
      <c r="K196" s="16"/>
      <c r="L196" s="188" t="s">
        <v>857</v>
      </c>
      <c r="M196" s="16"/>
      <c r="N196" s="808">
        <f>$D$12</f>
        <v>12.4849</v>
      </c>
      <c r="O196" s="16"/>
      <c r="P196" s="813" t="s">
        <v>894</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895</v>
      </c>
      <c r="E197" s="16"/>
      <c r="F197" s="808">
        <f t="array" ref="F197">INDEX(Company_Cyclical_Multiples_Data,MATCH(CONCATENATE($G$220," ",$G$221),'Multiples Data'!$C$14:$C$26,0),MATCH(CONCATENATE(Valuation!$G$222," P/E"),'Multiples Data'!$C$14:$H$14,0))</f>
        <v>16.548837499999998</v>
      </c>
      <c r="G197" s="16"/>
      <c r="H197" s="813" t="s">
        <v>896</v>
      </c>
      <c r="I197" s="16"/>
      <c r="J197" s="808">
        <f t="array" ref="J197">INDEX($J$220:$O$222,2,MATCH($G$223,$J$220:$O$220,0))</f>
        <v>17.335633750000007</v>
      </c>
      <c r="K197" s="16"/>
      <c r="L197" s="188" t="s">
        <v>895</v>
      </c>
      <c r="M197" s="16"/>
      <c r="N197" s="808">
        <f t="array" ref="N197">INDEX(Company_Cyclical_Multiples_Data,MATCH(CONCATENATE($G$220," ",$G$221),'Multiples Data'!$C$14:$C$26,0),MATCH(CONCATENATE(Valuation!$G$222," EV/EBITDA"),'Multiples Data'!$C$14:$H$14,0))</f>
        <v>7.408287499999999</v>
      </c>
      <c r="O197" s="16"/>
      <c r="P197" s="813" t="s">
        <v>896</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861</v>
      </c>
      <c r="E198" s="303"/>
      <c r="F198" s="809">
        <f>F196/F197-1</f>
        <v>0.12635102012452548</v>
      </c>
      <c r="G198" s="16"/>
      <c r="H198" s="307" t="s">
        <v>862</v>
      </c>
      <c r="I198" s="16"/>
      <c r="J198" s="810">
        <f>J196/J197-1</f>
        <v>-0.04538606787305999</v>
      </c>
      <c r="K198" s="16"/>
      <c r="L198" s="307" t="s">
        <v>861</v>
      </c>
      <c r="M198" s="303"/>
      <c r="N198" s="809">
        <f>N196/N197-1</f>
        <v>0.6852612698953706</v>
      </c>
      <c r="O198" s="16"/>
      <c r="P198" s="307" t="s">
        <v>862</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863</v>
      </c>
      <c r="E199" s="303"/>
      <c r="F199" s="811">
        <v>0</v>
      </c>
      <c r="G199" s="16"/>
      <c r="H199" s="188" t="s">
        <v>864</v>
      </c>
      <c r="I199" s="16"/>
      <c r="J199" s="808">
        <f>IF($G$223=$K$220,$E$11,IF($G$223=$M$220,$E$16,IF($G$223=$O$220,$E$21,"N/A")))</f>
        <v>22.233219999999996</v>
      </c>
      <c r="K199" s="16"/>
      <c r="L199" s="307" t="s">
        <v>863</v>
      </c>
      <c r="M199" s="303"/>
      <c r="N199" s="811">
        <v>0</v>
      </c>
      <c r="O199" s="16"/>
      <c r="P199" s="188" t="s">
        <v>864</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865</v>
      </c>
      <c r="E201" s="16"/>
      <c r="F201" s="808">
        <f>F197*(1+F199)</f>
        <v>16.548837499999998</v>
      </c>
      <c r="G201" s="16"/>
      <c r="H201" s="188" t="s">
        <v>865</v>
      </c>
      <c r="I201" s="16"/>
      <c r="J201" s="808">
        <f>J199*(1+J198)</f>
        <v>21.224141568043322</v>
      </c>
      <c r="K201" s="16"/>
      <c r="L201" s="188" t="s">
        <v>865</v>
      </c>
      <c r="M201" s="16"/>
      <c r="N201" s="808">
        <f>N197*(1+N199)</f>
        <v>7.408287499999999</v>
      </c>
      <c r="O201" s="16"/>
      <c r="P201" s="188" t="s">
        <v>865</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866</v>
      </c>
      <c r="E202" s="16"/>
      <c r="F202" s="812">
        <f>SUM(NTM_EPS)</f>
      </c>
      <c r="G202" s="16"/>
      <c r="H202" s="188" t="s">
        <v>866</v>
      </c>
      <c r="I202" s="16"/>
      <c r="J202" s="812">
        <f>SUM(NTM_EPS)</f>
      </c>
      <c r="K202" s="16"/>
      <c r="L202" s="813" t="s">
        <v>867</v>
      </c>
      <c r="M202" s="16"/>
      <c r="N202" s="814">
        <f>SUM(NTM_EBITDA)</f>
      </c>
      <c r="O202" s="16"/>
      <c r="P202" s="188" t="s">
        <v>867</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868</v>
      </c>
      <c r="M203" s="16"/>
      <c r="N203" s="814">
        <f>N201*N202</f>
      </c>
      <c r="O203" s="16"/>
      <c r="P203" s="188" t="s">
        <v>868</v>
      </c>
      <c r="Q203" s="16"/>
      <c r="R203" s="814">
        <f>R201*R202</f>
      </c>
      <c r="S203" s="188"/>
      <c r="T203" s="16"/>
      <c r="U203" s="16"/>
      <c r="V203" s="16"/>
      <c r="W203" s="16"/>
      <c r="X203" s="16"/>
      <c r="Y203" s="16"/>
      <c r="Z203" s="16"/>
      <c r="AA203" s="16"/>
      <c r="AB203" s="16"/>
    </row>
    <row r="204" ht="13.5" customHeight="1" spans="1:28" x14ac:dyDescent="0.25">
      <c r="A204" s="16"/>
      <c r="B204" s="16"/>
      <c r="C204" s="16"/>
      <c r="D204" s="188" t="s">
        <v>869</v>
      </c>
      <c r="E204" s="16"/>
      <c r="F204" s="812">
        <f>F201*F202</f>
      </c>
      <c r="G204" s="16"/>
      <c r="H204" s="188" t="s">
        <v>869</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870</v>
      </c>
      <c r="E205" s="131"/>
      <c r="F205" s="773">
        <f>F204/Share_Price-1</f>
      </c>
      <c r="G205" s="16"/>
      <c r="H205" s="311" t="s">
        <v>870</v>
      </c>
      <c r="I205" s="131"/>
      <c r="J205" s="773">
        <f>J204/Share_Price-1</f>
      </c>
      <c r="K205" s="16"/>
      <c r="L205" s="188" t="s">
        <v>871</v>
      </c>
      <c r="M205" s="16"/>
      <c r="N205" s="765">
        <f t="shared" ref="N205:N210" si="58">N127</f>
        <v>6255</v>
      </c>
      <c r="O205" s="16"/>
      <c r="P205" s="188" t="s">
        <v>871</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872</v>
      </c>
      <c r="M206" s="16"/>
      <c r="N206" s="765">
        <f>N128</f>
      </c>
      <c r="O206" s="16"/>
      <c r="P206" s="188" t="s">
        <v>872</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873</v>
      </c>
      <c r="M207" s="16"/>
      <c r="N207" s="765">
        <f>N129</f>
        <v>-23311</v>
      </c>
      <c r="O207" s="16"/>
      <c r="P207" s="188" t="s">
        <v>873</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874</v>
      </c>
      <c r="M208" s="16"/>
      <c r="N208" s="765">
        <f>N130</f>
      </c>
      <c r="O208" s="16"/>
      <c r="P208" s="188" t="s">
        <v>874</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875</v>
      </c>
      <c r="M209" s="16"/>
      <c r="N209" s="765">
        <f>N131</f>
      </c>
      <c r="O209" s="16"/>
      <c r="P209" s="188" t="s">
        <v>875</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876</v>
      </c>
      <c r="M210" s="131"/>
      <c r="N210" s="819">
        <f>N132</f>
      </c>
      <c r="O210" s="16"/>
      <c r="P210" s="192" t="s">
        <v>876</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877</v>
      </c>
      <c r="M212" s="16"/>
      <c r="N212" s="814">
        <f>SUM(N203:N210)</f>
      </c>
      <c r="O212" s="16"/>
      <c r="P212" s="188" t="s">
        <v>877</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869</v>
      </c>
      <c r="M215" s="16"/>
      <c r="N215" s="814">
        <f>N212/N213</f>
      </c>
      <c r="O215" s="16"/>
      <c r="P215" s="188" t="s">
        <v>869</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870</v>
      </c>
      <c r="M216" s="131"/>
      <c r="N216" s="773">
        <f>N215/Share_Price-1</f>
      </c>
      <c r="O216" s="16"/>
      <c r="P216" s="311" t="s">
        <v>870</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897</v>
      </c>
      <c r="D220" s="16"/>
      <c r="E220" s="16"/>
      <c r="F220" s="16"/>
      <c r="G220" s="42" t="s">
        <v>898</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899</v>
      </c>
      <c r="D221" s="16"/>
      <c r="E221" s="16"/>
      <c r="F221" s="16"/>
      <c r="G221" s="42" t="s">
        <v>900</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901</v>
      </c>
      <c r="D222" s="16"/>
      <c r="E222" s="16"/>
      <c r="F222" s="16"/>
      <c r="G222" s="42" t="s">
        <v>809</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883</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843</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886</v>
      </c>
      <c r="D227" s="16"/>
      <c r="E227" s="774">
        <f>$F$201</f>
        <v>16.548837499999998</v>
      </c>
      <c r="F227" s="667">
        <f>E227-H237</f>
        <v>0</v>
      </c>
      <c r="G227" s="16"/>
      <c r="H227" s="16" t="s">
        <v>887</v>
      </c>
      <c r="I227" s="16"/>
      <c r="J227" s="16"/>
      <c r="K227" s="774">
        <f>$N$201</f>
        <v>7.408287499999999</v>
      </c>
      <c r="L227" s="667">
        <f>K227-H253</f>
        <v>0</v>
      </c>
      <c r="M227" s="16"/>
      <c r="N227" s="5" t="s">
        <v>866</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847</v>
      </c>
      <c r="D228" s="16"/>
      <c r="E228" s="782">
        <v>1</v>
      </c>
      <c r="F228" s="822"/>
      <c r="G228" s="16"/>
      <c r="H228" s="16" t="s">
        <v>847</v>
      </c>
      <c r="I228" s="16"/>
      <c r="J228" s="16"/>
      <c r="K228" s="782">
        <v>1</v>
      </c>
      <c r="L228" s="822"/>
      <c r="M228" s="16"/>
      <c r="N228" s="491" t="s">
        <v>888</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889</v>
      </c>
      <c r="D229" s="16"/>
      <c r="E229" s="783">
        <v>0.1</v>
      </c>
      <c r="F229" s="822"/>
      <c r="G229" s="16"/>
      <c r="H229" s="16" t="s">
        <v>890</v>
      </c>
      <c r="I229" s="16"/>
      <c r="J229" s="16"/>
      <c r="K229" s="783">
        <v>0.1</v>
      </c>
      <c r="L229" s="822"/>
      <c r="M229" s="16"/>
      <c r="N229" s="5" t="s">
        <v>867</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891</v>
      </c>
      <c r="D230" s="16"/>
      <c r="E230" s="774">
        <f>$J$201</f>
        <v>21.224141568043322</v>
      </c>
      <c r="F230" s="667">
        <f>E230-H245</f>
        <v>0</v>
      </c>
      <c r="G230" s="16"/>
      <c r="H230" s="16" t="s">
        <v>892</v>
      </c>
      <c r="I230" s="16"/>
      <c r="J230" s="16"/>
      <c r="K230" s="774">
        <f>$R$201</f>
        <v>12.655598918298834</v>
      </c>
      <c r="L230" s="667">
        <f>K230-H261</f>
        <v>0</v>
      </c>
      <c r="M230" s="16"/>
      <c r="N230" s="491" t="s">
        <v>888</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847</v>
      </c>
      <c r="D231" s="16"/>
      <c r="E231" s="782">
        <v>1</v>
      </c>
      <c r="F231" s="822"/>
      <c r="G231" s="16"/>
      <c r="H231" s="16" t="s">
        <v>847</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850</v>
      </c>
      <c r="E234" s="22"/>
      <c r="F234" s="22"/>
      <c r="G234" s="22"/>
      <c r="H234" s="22"/>
      <c r="I234" s="22"/>
      <c r="J234" s="7"/>
      <c r="K234" s="784"/>
      <c r="L234" s="63" t="s">
        <v>851</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806</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867</v>
      </c>
      <c r="F270" s="44"/>
      <c r="G270" s="109" t="s">
        <v>902</v>
      </c>
      <c r="H270" s="109"/>
      <c r="I270" s="109" t="s">
        <v>903</v>
      </c>
      <c r="J270" s="109"/>
      <c r="K270" s="109" t="s">
        <v>865</v>
      </c>
      <c r="L270" s="109"/>
      <c r="M270" s="45" t="s">
        <v>904</v>
      </c>
      <c r="N270" s="16"/>
      <c r="O270" s="92" t="s">
        <v>905</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868</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871</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872</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873</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874</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875</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876</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877</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869</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870</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906</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906</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906</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906</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907</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908</v>
      </c>
      <c r="M5" s="112"/>
      <c r="N5" s="112"/>
      <c r="O5" s="112"/>
      <c r="P5" s="112"/>
      <c r="Q5" s="112"/>
      <c r="R5" s="839" t="s">
        <v>909</v>
      </c>
      <c r="S5" s="112"/>
      <c r="T5" s="112"/>
      <c r="U5" s="112"/>
      <c r="V5" s="112"/>
      <c r="W5" s="112"/>
      <c r="X5" s="839" t="s">
        <v>910</v>
      </c>
      <c r="Y5" s="112"/>
      <c r="Z5" s="112"/>
      <c r="AA5" s="112"/>
      <c r="AB5" s="112"/>
      <c r="AC5" s="112"/>
      <c r="AD5" s="839" t="s">
        <v>911</v>
      </c>
      <c r="AE5" s="112"/>
      <c r="AF5" s="112"/>
      <c r="AG5" s="112"/>
      <c r="AH5" s="112"/>
      <c r="AI5" s="112"/>
      <c r="AJ5" s="16"/>
      <c r="AK5" s="16"/>
      <c r="AL5" s="840" t="s">
        <v>908</v>
      </c>
      <c r="AM5" s="112"/>
      <c r="AN5" s="112"/>
      <c r="AO5" s="112"/>
      <c r="AP5" s="112"/>
      <c r="AQ5" s="112"/>
      <c r="AR5" s="839" t="s">
        <v>909</v>
      </c>
      <c r="AS5" s="112"/>
      <c r="AT5" s="112"/>
      <c r="AU5" s="112"/>
      <c r="AV5" s="112"/>
      <c r="AW5" s="112"/>
      <c r="AX5" s="839" t="s">
        <v>910</v>
      </c>
      <c r="AY5" s="112"/>
      <c r="AZ5" s="112"/>
      <c r="BA5" s="112"/>
      <c r="BB5" s="112"/>
      <c r="BC5" s="112"/>
      <c r="BD5" s="839" t="s">
        <v>911</v>
      </c>
      <c r="BE5" s="112"/>
      <c r="BF5" s="112"/>
      <c r="BG5" s="112"/>
      <c r="BH5" s="112"/>
      <c r="BI5" s="112"/>
      <c r="BJ5" s="16"/>
      <c r="BK5" s="16"/>
      <c r="BL5" s="840" t="s">
        <v>908</v>
      </c>
      <c r="BM5" s="112"/>
      <c r="BN5" s="112"/>
      <c r="BO5" s="112"/>
      <c r="BP5" s="112"/>
      <c r="BQ5" s="112"/>
      <c r="BR5" s="839" t="s">
        <v>909</v>
      </c>
      <c r="BS5" s="112"/>
      <c r="BT5" s="112"/>
      <c r="BU5" s="112"/>
      <c r="BV5" s="112"/>
      <c r="BW5" s="112"/>
      <c r="BX5" s="839" t="s">
        <v>910</v>
      </c>
      <c r="BY5" s="112"/>
      <c r="BZ5" s="112"/>
      <c r="CA5" s="112"/>
      <c r="CB5" s="112"/>
      <c r="CC5" s="112"/>
      <c r="CD5" s="839" t="s">
        <v>911</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912</v>
      </c>
      <c r="AY6" s="843" t="str">
        <f t="shared" ref="AY6:BC6" si="4">AS6</f>
        <v>Raytheon</v>
      </c>
      <c r="AZ6" s="843" t="str">
        <f>AT6</f>
        <v>Boeing</v>
      </c>
      <c r="BA6" s="843" t="str">
        <f>AU6</f>
        <v>Huntington Ingalls</v>
      </c>
      <c r="BB6" s="843" t="str">
        <f>AV6</f>
        <v>Lockheed Martin</v>
      </c>
      <c r="BC6" s="844" t="str">
        <f>AW6</f>
        <v>Northrop Grumman</v>
      </c>
      <c r="BD6" s="843" t="s">
        <v>912</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912</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913</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908</v>
      </c>
      <c r="F8" s="84" t="s">
        <v>909</v>
      </c>
      <c r="G8" s="84" t="s">
        <v>910</v>
      </c>
      <c r="H8" s="84" t="s">
        <v>911</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882</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884</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879</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885</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914</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908</v>
      </c>
      <c r="F14" s="84" t="s">
        <v>909</v>
      </c>
      <c r="G14" s="84" t="s">
        <v>910</v>
      </c>
      <c r="H14" s="84" t="s">
        <v>911</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915</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916</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917</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918</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919</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920</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921</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922</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923</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924</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925</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926</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913</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908</v>
      </c>
      <c r="F30" s="84" t="s">
        <v>909</v>
      </c>
      <c r="G30" s="84" t="s">
        <v>910</v>
      </c>
      <c r="H30" s="84" t="s">
        <v>911</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882</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884</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879</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885</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914</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908</v>
      </c>
      <c r="F36" s="84" t="s">
        <v>909</v>
      </c>
      <c r="G36" s="84" t="s">
        <v>910</v>
      </c>
      <c r="H36" s="84" t="s">
        <v>911</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915</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916</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917</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918</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919</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920</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921</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922</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923</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924</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925</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926</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913</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908</v>
      </c>
      <c r="F52" s="84" t="s">
        <v>909</v>
      </c>
      <c r="G52" s="84" t="s">
        <v>910</v>
      </c>
      <c r="H52" s="84" t="s">
        <v>911</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882</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884</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879</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885</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914</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908</v>
      </c>
      <c r="F58" s="84" t="s">
        <v>909</v>
      </c>
      <c r="G58" s="84" t="s">
        <v>910</v>
      </c>
      <c r="H58" s="84" t="s">
        <v>911</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915</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916</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917</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918</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919</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920</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921</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922</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923</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924</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925</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926</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913</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908</v>
      </c>
      <c r="F74" s="84" t="s">
        <v>909</v>
      </c>
      <c r="G74" s="84" t="s">
        <v>910</v>
      </c>
      <c r="H74" s="84" t="s">
        <v>911</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882</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884</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879</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885</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914</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908</v>
      </c>
      <c r="F80" s="84" t="s">
        <v>909</v>
      </c>
      <c r="G80" s="84" t="s">
        <v>910</v>
      </c>
      <c r="H80" s="84" t="s">
        <v>911</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915</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916</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917</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918</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919</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920</v>
      </c>
      <c r="D86" s="16"/>
      <c r="E86" s="724">
        <f>AVERAGE(BM8:BQ19)</f>
        <v>25.08153198498405</v>
      </c>
      <c r="F86" s="724">
        <f>AVERAGE(BS8:BW19)</f>
        <v>19.390935509155117</v>
      </c>
      <c r="G86" s="724">
        <f>AVERAGE(BY8:CC19)</f>
        <v>9.982036835170295</v>
      </c>
      <c r="H86" s="724" t="e">
        <f>AVERAGE(CE8:CI19)</f>
        <v>#DIV/0!</v>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921</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922</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923</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924</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925</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926</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927</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928</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929</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929</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929</v>
      </c>
      <c r="D52" s="860">
        <v>0</v>
      </c>
      <c r="E52" s="861" t="e">
        <f t="shared" ref="E52:I52" si="6">E51/D51-1</f>
        <v>#DIV/0!</v>
      </c>
      <c r="F52" s="861" t="e">
        <f>F51/E51-1</f>
        <v>#DIV/0!</v>
      </c>
      <c r="G52" s="861" t="e">
        <f>G51/F51-1</f>
        <v>#DIV/0!</v>
      </c>
      <c r="H52" s="861" t="e">
        <f>H51/G51-1</f>
        <v>#DIV/0!</v>
      </c>
      <c r="I52" s="861" t="e">
        <f>I51/H51-1</f>
        <v>#DIV/0!</v>
      </c>
      <c r="J52" s="16"/>
      <c r="K52" s="857" t="s">
        <v>929</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929</v>
      </c>
      <c r="D72" s="860">
        <v>0</v>
      </c>
      <c r="E72" s="861">
        <f t="shared" ref="E72:I72" si="10">E71/D71-1</f>
        <v>-0.257436167412477</v>
      </c>
      <c r="F72" s="861">
        <f>F71/E71-1</f>
        <v>1.0258773484579935</v>
      </c>
      <c r="G72" s="861">
        <f>G71/F71-1</f>
      </c>
      <c r="H72" s="861">
        <f>H71/G71-1</f>
      </c>
      <c r="I72" s="861">
        <f>I71/H71-1</f>
      </c>
      <c r="J72" s="16"/>
      <c r="K72" s="857" t="s">
        <v>929</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929</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930</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931</v>
      </c>
      <c r="D117" s="866">
        <f>'Segment Analysis'!$T$16</f>
        <v>1</v>
      </c>
      <c r="E117" s="867">
        <f>'Segment Analysis'!$T$17</f>
        <v>0</v>
      </c>
      <c r="F117" s="867">
        <f>'Segment Analysis'!$T$20</f>
        <v>0</v>
      </c>
      <c r="G117" s="867">
        <f>'Segment Analysis'!$T$18</f>
        <v>0</v>
      </c>
      <c r="H117" s="867">
        <f>'Segment Analysis'!$T$19</f>
        <v>0</v>
      </c>
      <c r="I117" s="867">
        <f>'Segment Analysis'!$T$21</f>
        <v>0</v>
      </c>
      <c r="J117" s="168" t="s">
        <v>932</v>
      </c>
      <c r="K117" s="868">
        <f>SUM(D117:I117)</f>
        <v>1</v>
      </c>
      <c r="L117" s="16" t="s">
        <v>933</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934</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935</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936</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937</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938</v>
      </c>
      <c r="D157" s="110"/>
      <c r="E157" s="110"/>
      <c r="F157" s="110"/>
      <c r="G157" s="110"/>
      <c r="H157" s="110"/>
      <c r="I157" s="110"/>
      <c r="J157" s="16"/>
      <c r="K157" s="110" t="s">
        <v>939</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940</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941</v>
      </c>
      <c r="D160" s="863">
        <v>380</v>
      </c>
      <c r="E160" s="863">
        <v>400</v>
      </c>
      <c r="F160" s="863">
        <v>420</v>
      </c>
      <c r="G160" s="863">
        <v>460</v>
      </c>
      <c r="H160" s="863">
        <v>480</v>
      </c>
      <c r="I160" s="863">
        <v>490</v>
      </c>
      <c r="J160" s="16"/>
      <c r="K160" s="857" t="s">
        <v>942</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943</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944</v>
      </c>
      <c r="E179" s="210" t="s">
        <v>255</v>
      </c>
      <c r="F179" s="210" t="s">
        <v>253</v>
      </c>
      <c r="G179" s="210" t="s">
        <v>252</v>
      </c>
      <c r="H179" s="210" t="s">
        <v>251</v>
      </c>
      <c r="I179" s="16"/>
      <c r="J179" s="16"/>
      <c r="K179" s="16"/>
      <c r="L179" s="16"/>
      <c r="M179" s="16"/>
      <c r="N179" s="239" t="s">
        <v>945</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946</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947</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948</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949</v>
      </c>
      <c r="D10" s="112"/>
      <c r="E10" s="112"/>
      <c r="F10" s="47"/>
      <c r="G10" s="16"/>
      <c r="H10" s="16"/>
      <c r="I10" s="16"/>
      <c r="J10" s="16"/>
      <c r="K10" s="16"/>
      <c r="L10" s="16"/>
      <c r="M10" s="16"/>
      <c r="N10" s="16"/>
      <c r="O10" s="883" t="s">
        <v>950</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26</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501</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505</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508</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511</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951</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952</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953</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954</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955</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956</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957</v>
      </c>
      <c r="D4" s="16"/>
      <c r="E4" s="16"/>
      <c r="F4" s="16"/>
      <c r="G4" s="16"/>
      <c r="H4" s="53" t="s">
        <v>958</v>
      </c>
      <c r="I4" s="16"/>
      <c r="J4" s="16"/>
      <c r="K4" s="16"/>
      <c r="L4" s="16"/>
      <c r="M4" s="16"/>
      <c r="N4" s="16"/>
      <c r="O4" s="16"/>
      <c r="P4" s="16"/>
      <c r="Q4" s="4"/>
      <c r="R4" s="4"/>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963</v>
      </c>
      <c r="I10" s="111" t="s">
        <v>964</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957</v>
      </c>
      <c r="D4" s="16"/>
      <c r="E4" s="16"/>
      <c r="F4" s="16"/>
      <c r="G4" s="16"/>
      <c r="H4" s="53" t="s">
        <v>958</v>
      </c>
      <c r="I4" s="16"/>
      <c r="J4" s="915" t="s">
        <v>907</v>
      </c>
      <c r="K4" s="16"/>
      <c r="L4" s="16"/>
      <c r="M4" s="16"/>
      <c r="N4" s="16"/>
      <c r="O4" s="16"/>
      <c r="P4" s="16"/>
      <c r="Q4" s="16"/>
      <c r="R4" s="16"/>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963</v>
      </c>
      <c r="J10" s="111" t="s">
        <v>964</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0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965</v>
      </c>
      <c r="B1" s="918" t="s">
        <v>966</v>
      </c>
      <c r="C1" s="918" t="s">
        <v>967</v>
      </c>
      <c r="D1" s="918" t="s">
        <v>968</v>
      </c>
      <c r="E1" s="918" t="s">
        <v>969</v>
      </c>
      <c r="F1" s="918" t="s">
        <v>970</v>
      </c>
      <c r="G1" s="918" t="s">
        <v>971</v>
      </c>
      <c r="H1" s="918" t="s">
        <v>972</v>
      </c>
      <c r="I1" s="918" t="s">
        <v>973</v>
      </c>
      <c r="J1" s="918" t="s">
        <v>974</v>
      </c>
      <c r="K1" s="918" t="s">
        <v>975</v>
      </c>
      <c r="L1" s="918" t="s">
        <v>976</v>
      </c>
      <c r="M1" s="918" t="s">
        <v>977</v>
      </c>
      <c r="N1" s="918" t="s">
        <v>978</v>
      </c>
      <c r="O1" s="918" t="s">
        <v>979</v>
      </c>
      <c r="P1" s="918" t="s">
        <v>980</v>
      </c>
      <c r="Q1" s="918" t="s">
        <v>981</v>
      </c>
      <c r="R1" s="918" t="s">
        <v>982</v>
      </c>
      <c r="S1" s="918" t="s">
        <v>983</v>
      </c>
      <c r="T1" s="918" t="s">
        <v>984</v>
      </c>
      <c r="U1" s="918" t="s">
        <v>985</v>
      </c>
      <c r="V1" s="918" t="s">
        <v>986</v>
      </c>
      <c r="W1" s="918" t="s">
        <v>987</v>
      </c>
      <c r="X1" s="918" t="s">
        <v>988</v>
      </c>
    </row>
    <row r="2" spans="1:24" x14ac:dyDescent="0.25">
      <c r="A2" t="s">
        <v>42</v>
      </c>
      <c r="B2" t="s">
        <v>989</v>
      </c>
      <c r="C2" t="s">
        <v>375</v>
      </c>
      <c r="E2" t="s">
        <v>990</v>
      </c>
      <c r="F2">
        <v>0</v>
      </c>
      <c r="G2" t="s">
        <v>991</v>
      </c>
      <c r="H2" t="s">
        <v>992</v>
      </c>
      <c r="J2" t="s">
        <v>993</v>
      </c>
      <c r="K2" t="s">
        <v>992</v>
      </c>
      <c r="L2" t="s">
        <v>992</v>
      </c>
      <c r="Q2" t="b">
        <v>1</v>
      </c>
      <c r="R2" t="b">
        <v>0</v>
      </c>
      <c r="T2" t="s">
        <v>992</v>
      </c>
      <c r="U2" t="s">
        <v>994</v>
      </c>
      <c r="V2" t="s">
        <v>995</v>
      </c>
      <c r="W2" t="s">
        <v>996</v>
      </c>
      <c r="X2" t="s">
        <v>997</v>
      </c>
    </row>
    <row r="3" spans="1:24" x14ac:dyDescent="0.25">
      <c r="A3" t="s">
        <v>42</v>
      </c>
      <c r="B3" t="s">
        <v>998</v>
      </c>
      <c r="C3" t="s">
        <v>375</v>
      </c>
      <c r="E3" t="s">
        <v>999</v>
      </c>
      <c r="F3">
        <v>0</v>
      </c>
      <c r="G3" t="s">
        <v>991</v>
      </c>
      <c r="H3" t="s">
        <v>992</v>
      </c>
      <c r="J3" t="s">
        <v>993</v>
      </c>
      <c r="K3" t="s">
        <v>992</v>
      </c>
      <c r="L3" t="s">
        <v>992</v>
      </c>
      <c r="Q3" t="b">
        <v>1</v>
      </c>
      <c r="R3" t="b">
        <v>0</v>
      </c>
      <c r="T3" t="s">
        <v>992</v>
      </c>
      <c r="U3" t="s">
        <v>994</v>
      </c>
      <c r="V3" t="s">
        <v>995</v>
      </c>
      <c r="W3" t="s">
        <v>996</v>
      </c>
      <c r="X3" t="s">
        <v>997</v>
      </c>
    </row>
    <row r="4" spans="1:24" x14ac:dyDescent="0.25">
      <c r="A4" t="s">
        <v>42</v>
      </c>
      <c r="B4" t="s">
        <v>1000</v>
      </c>
      <c r="C4" t="s">
        <v>375</v>
      </c>
      <c r="E4" t="s">
        <v>1001</v>
      </c>
      <c r="F4">
        <v>0</v>
      </c>
      <c r="G4" t="s">
        <v>991</v>
      </c>
      <c r="H4" t="s">
        <v>992</v>
      </c>
      <c r="J4" t="s">
        <v>993</v>
      </c>
      <c r="K4" t="s">
        <v>992</v>
      </c>
      <c r="L4" t="s">
        <v>992</v>
      </c>
      <c r="Q4" t="b">
        <v>1</v>
      </c>
      <c r="R4" t="b">
        <v>0</v>
      </c>
      <c r="T4" t="s">
        <v>992</v>
      </c>
      <c r="U4" t="s">
        <v>994</v>
      </c>
      <c r="V4" t="s">
        <v>995</v>
      </c>
      <c r="W4" t="s">
        <v>996</v>
      </c>
      <c r="X4" t="s">
        <v>997</v>
      </c>
    </row>
    <row r="5" spans="1:24" x14ac:dyDescent="0.25">
      <c r="A5" t="s">
        <v>42</v>
      </c>
      <c r="B5" t="s">
        <v>1002</v>
      </c>
      <c r="C5" t="s">
        <v>375</v>
      </c>
      <c r="E5" t="s">
        <v>1003</v>
      </c>
      <c r="F5">
        <v>0</v>
      </c>
      <c r="G5" t="s">
        <v>991</v>
      </c>
      <c r="H5" t="s">
        <v>992</v>
      </c>
      <c r="J5" t="s">
        <v>993</v>
      </c>
      <c r="K5" t="s">
        <v>992</v>
      </c>
      <c r="L5" t="s">
        <v>992</v>
      </c>
      <c r="Q5" t="b">
        <v>1</v>
      </c>
      <c r="R5" t="b">
        <v>0</v>
      </c>
      <c r="T5" t="s">
        <v>992</v>
      </c>
      <c r="U5" t="s">
        <v>994</v>
      </c>
      <c r="V5" t="s">
        <v>995</v>
      </c>
      <c r="W5" t="s">
        <v>996</v>
      </c>
      <c r="X5" t="s">
        <v>997</v>
      </c>
    </row>
    <row r="6" spans="1:24" x14ac:dyDescent="0.25">
      <c r="A6" t="s">
        <v>42</v>
      </c>
      <c r="B6" t="s">
        <v>1004</v>
      </c>
      <c r="C6" t="s">
        <v>375</v>
      </c>
      <c r="E6" t="s">
        <v>1005</v>
      </c>
      <c r="F6">
        <v>0</v>
      </c>
      <c r="G6" t="s">
        <v>991</v>
      </c>
      <c r="H6" t="s">
        <v>992</v>
      </c>
      <c r="J6" t="s">
        <v>993</v>
      </c>
      <c r="K6" t="s">
        <v>992</v>
      </c>
      <c r="L6" t="s">
        <v>992</v>
      </c>
      <c r="Q6" t="b">
        <v>1</v>
      </c>
      <c r="R6" t="b">
        <v>0</v>
      </c>
      <c r="T6" t="s">
        <v>992</v>
      </c>
      <c r="U6" t="s">
        <v>994</v>
      </c>
      <c r="V6" t="s">
        <v>995</v>
      </c>
      <c r="W6" t="s">
        <v>996</v>
      </c>
      <c r="X6" t="s">
        <v>997</v>
      </c>
    </row>
    <row r="7" spans="1:24" x14ac:dyDescent="0.25">
      <c r="A7" t="s">
        <v>42</v>
      </c>
      <c r="B7" t="s">
        <v>1006</v>
      </c>
      <c r="C7" t="s">
        <v>375</v>
      </c>
      <c r="E7" t="s">
        <v>1007</v>
      </c>
      <c r="F7">
        <v>0</v>
      </c>
      <c r="G7" t="s">
        <v>991</v>
      </c>
      <c r="H7" t="s">
        <v>992</v>
      </c>
      <c r="J7" t="s">
        <v>993</v>
      </c>
      <c r="K7" t="s">
        <v>992</v>
      </c>
      <c r="L7" t="s">
        <v>992</v>
      </c>
      <c r="Q7" t="b">
        <v>1</v>
      </c>
      <c r="R7" t="b">
        <v>0</v>
      </c>
      <c r="T7" t="s">
        <v>992</v>
      </c>
      <c r="U7" t="s">
        <v>994</v>
      </c>
      <c r="V7" t="s">
        <v>995</v>
      </c>
      <c r="W7" t="s">
        <v>996</v>
      </c>
      <c r="X7" t="s">
        <v>997</v>
      </c>
    </row>
    <row r="8" spans="1:24" x14ac:dyDescent="0.25">
      <c r="A8" t="s">
        <v>42</v>
      </c>
      <c r="B8" t="s">
        <v>1008</v>
      </c>
      <c r="C8" t="s">
        <v>375</v>
      </c>
      <c r="E8" t="s">
        <v>1009</v>
      </c>
      <c r="F8">
        <v>0</v>
      </c>
      <c r="G8" t="s">
        <v>991</v>
      </c>
      <c r="H8" t="s">
        <v>992</v>
      </c>
      <c r="J8" t="s">
        <v>993</v>
      </c>
      <c r="K8" t="s">
        <v>992</v>
      </c>
      <c r="L8" t="s">
        <v>992</v>
      </c>
      <c r="Q8" t="b">
        <v>1</v>
      </c>
      <c r="R8" t="b">
        <v>0</v>
      </c>
      <c r="T8" t="s">
        <v>992</v>
      </c>
      <c r="U8" t="s">
        <v>994</v>
      </c>
      <c r="V8" t="s">
        <v>995</v>
      </c>
      <c r="W8" t="s">
        <v>996</v>
      </c>
      <c r="X8" t="s">
        <v>997</v>
      </c>
    </row>
    <row r="9" spans="1:24" x14ac:dyDescent="0.25">
      <c r="A9" t="s">
        <v>42</v>
      </c>
      <c r="B9" t="s">
        <v>1010</v>
      </c>
      <c r="C9" t="s">
        <v>375</v>
      </c>
      <c r="E9" t="s">
        <v>1011</v>
      </c>
      <c r="F9">
        <v>0</v>
      </c>
      <c r="G9" t="s">
        <v>991</v>
      </c>
      <c r="H9" t="s">
        <v>992</v>
      </c>
      <c r="J9" t="s">
        <v>993</v>
      </c>
      <c r="K9" t="s">
        <v>992</v>
      </c>
      <c r="L9" t="s">
        <v>992</v>
      </c>
      <c r="Q9" t="b">
        <v>1</v>
      </c>
      <c r="R9" t="b">
        <v>0</v>
      </c>
      <c r="T9" t="s">
        <v>992</v>
      </c>
      <c r="U9" t="s">
        <v>994</v>
      </c>
      <c r="V9" t="s">
        <v>995</v>
      </c>
      <c r="W9" t="s">
        <v>996</v>
      </c>
      <c r="X9" t="s">
        <v>997</v>
      </c>
    </row>
    <row r="10" spans="1:24" x14ac:dyDescent="0.25">
      <c r="A10" t="s">
        <v>42</v>
      </c>
      <c r="B10" t="s">
        <v>1012</v>
      </c>
      <c r="C10" t="s">
        <v>375</v>
      </c>
      <c r="E10" t="s">
        <v>1013</v>
      </c>
      <c r="F10">
        <v>0</v>
      </c>
      <c r="G10" t="s">
        <v>991</v>
      </c>
      <c r="H10" t="s">
        <v>992</v>
      </c>
      <c r="J10" t="s">
        <v>993</v>
      </c>
      <c r="K10" t="s">
        <v>992</v>
      </c>
      <c r="L10" t="s">
        <v>992</v>
      </c>
      <c r="Q10" t="b">
        <v>1</v>
      </c>
      <c r="R10" t="b">
        <v>0</v>
      </c>
      <c r="T10" t="s">
        <v>992</v>
      </c>
      <c r="U10" t="s">
        <v>994</v>
      </c>
      <c r="V10" t="s">
        <v>995</v>
      </c>
      <c r="W10" t="s">
        <v>996</v>
      </c>
      <c r="X10" t="s">
        <v>997</v>
      </c>
    </row>
    <row r="11" spans="1:24" x14ac:dyDescent="0.25">
      <c r="A11" t="s">
        <v>42</v>
      </c>
      <c r="B11" t="s">
        <v>1014</v>
      </c>
      <c r="C11" t="s">
        <v>375</v>
      </c>
      <c r="E11" t="s">
        <v>1015</v>
      </c>
      <c r="F11">
        <v>0</v>
      </c>
      <c r="G11" t="s">
        <v>991</v>
      </c>
      <c r="H11" t="s">
        <v>992</v>
      </c>
      <c r="J11" t="s">
        <v>993</v>
      </c>
      <c r="K11" t="s">
        <v>992</v>
      </c>
      <c r="L11" t="s">
        <v>992</v>
      </c>
      <c r="Q11" t="b">
        <v>1</v>
      </c>
      <c r="R11" t="b">
        <v>0</v>
      </c>
      <c r="T11" t="s">
        <v>992</v>
      </c>
      <c r="U11" t="s">
        <v>994</v>
      </c>
      <c r="V11" t="s">
        <v>995</v>
      </c>
      <c r="W11" t="s">
        <v>996</v>
      </c>
      <c r="X11" t="s">
        <v>997</v>
      </c>
    </row>
    <row r="12" spans="1:24" x14ac:dyDescent="0.25">
      <c r="A12" t="s">
        <v>42</v>
      </c>
      <c r="B12" t="s">
        <v>1016</v>
      </c>
      <c r="C12" t="s">
        <v>375</v>
      </c>
      <c r="E12" t="s">
        <v>1017</v>
      </c>
      <c r="F12">
        <v>0</v>
      </c>
      <c r="G12" t="s">
        <v>991</v>
      </c>
      <c r="H12" t="s">
        <v>992</v>
      </c>
      <c r="J12" t="s">
        <v>993</v>
      </c>
      <c r="K12" t="s">
        <v>992</v>
      </c>
      <c r="L12" t="s">
        <v>992</v>
      </c>
      <c r="Q12" t="b">
        <v>1</v>
      </c>
      <c r="R12" t="b">
        <v>0</v>
      </c>
      <c r="T12" t="s">
        <v>992</v>
      </c>
      <c r="U12" t="s">
        <v>994</v>
      </c>
      <c r="V12" t="s">
        <v>995</v>
      </c>
      <c r="W12" t="s">
        <v>996</v>
      </c>
      <c r="X12" t="s">
        <v>997</v>
      </c>
    </row>
    <row r="13" spans="1:24" x14ac:dyDescent="0.25">
      <c r="A13" t="s">
        <v>42</v>
      </c>
      <c r="B13" t="s">
        <v>1018</v>
      </c>
      <c r="C13" t="s">
        <v>375</v>
      </c>
      <c r="E13" t="s">
        <v>1019</v>
      </c>
      <c r="F13">
        <v>0</v>
      </c>
      <c r="G13" t="s">
        <v>991</v>
      </c>
      <c r="H13" t="s">
        <v>992</v>
      </c>
      <c r="J13" t="s">
        <v>993</v>
      </c>
      <c r="K13" t="s">
        <v>992</v>
      </c>
      <c r="L13" t="s">
        <v>992</v>
      </c>
      <c r="Q13" t="b">
        <v>1</v>
      </c>
      <c r="R13" t="b">
        <v>0</v>
      </c>
      <c r="T13" t="s">
        <v>992</v>
      </c>
      <c r="U13" t="s">
        <v>994</v>
      </c>
      <c r="V13" t="s">
        <v>995</v>
      </c>
      <c r="W13" t="s">
        <v>996</v>
      </c>
      <c r="X13" t="s">
        <v>997</v>
      </c>
    </row>
    <row r="14" spans="1:24" x14ac:dyDescent="0.25">
      <c r="A14" t="s">
        <v>42</v>
      </c>
      <c r="B14" t="s">
        <v>1020</v>
      </c>
      <c r="C14" t="s">
        <v>375</v>
      </c>
      <c r="E14" t="s">
        <v>1021</v>
      </c>
      <c r="F14">
        <v>0</v>
      </c>
      <c r="G14" t="s">
        <v>991</v>
      </c>
      <c r="H14" t="s">
        <v>992</v>
      </c>
      <c r="J14" t="s">
        <v>993</v>
      </c>
      <c r="K14" t="s">
        <v>992</v>
      </c>
      <c r="L14" t="s">
        <v>992</v>
      </c>
      <c r="Q14" t="b">
        <v>1</v>
      </c>
      <c r="R14" t="b">
        <v>0</v>
      </c>
      <c r="T14" t="s">
        <v>992</v>
      </c>
      <c r="U14" t="s">
        <v>994</v>
      </c>
      <c r="V14" t="s">
        <v>995</v>
      </c>
      <c r="W14" t="s">
        <v>996</v>
      </c>
      <c r="X14" t="s">
        <v>997</v>
      </c>
    </row>
    <row r="15" spans="1:24" x14ac:dyDescent="0.25">
      <c r="A15" t="s">
        <v>42</v>
      </c>
      <c r="B15" t="s">
        <v>1022</v>
      </c>
      <c r="C15" t="s">
        <v>269</v>
      </c>
      <c r="D15" t="s">
        <v>427</v>
      </c>
      <c r="E15" t="s">
        <v>990</v>
      </c>
      <c r="F15">
        <v>-66822</v>
      </c>
      <c r="G15" t="s">
        <v>1023</v>
      </c>
      <c r="H15" t="s">
        <v>1024</v>
      </c>
      <c r="I15" t="s">
        <v>1025</v>
      </c>
      <c r="J15" t="s">
        <v>993</v>
      </c>
      <c r="K15" t="s">
        <v>1026</v>
      </c>
      <c r="L15" t="s">
        <v>1027</v>
      </c>
      <c r="M15" t="s">
        <v>1028</v>
      </c>
      <c r="N15" t="s">
        <v>1029</v>
      </c>
      <c r="O15" t="s">
        <v>1030</v>
      </c>
      <c r="P15" t="s">
        <v>1031</v>
      </c>
      <c r="Q15" t="b">
        <v>1</v>
      </c>
      <c r="R15" t="b">
        <v>0</v>
      </c>
      <c r="S15" t="s">
        <v>1032</v>
      </c>
      <c r="T15" t="s">
        <v>992</v>
      </c>
      <c r="U15" t="s">
        <v>1033</v>
      </c>
      <c r="V15" t="s">
        <v>995</v>
      </c>
      <c r="W15" t="s">
        <v>1034</v>
      </c>
      <c r="X15" t="s">
        <v>1035</v>
      </c>
    </row>
    <row r="16" spans="1:24" x14ac:dyDescent="0.25">
      <c r="A16" t="s">
        <v>42</v>
      </c>
      <c r="B16" t="s">
        <v>1036</v>
      </c>
      <c r="C16" t="s">
        <v>269</v>
      </c>
      <c r="D16" t="s">
        <v>427</v>
      </c>
      <c r="E16" t="s">
        <v>999</v>
      </c>
      <c r="F16">
        <v>-52860</v>
      </c>
      <c r="G16" t="s">
        <v>1023</v>
      </c>
      <c r="H16" t="s">
        <v>1037</v>
      </c>
      <c r="I16" t="s">
        <v>1025</v>
      </c>
      <c r="J16" t="s">
        <v>993</v>
      </c>
      <c r="K16" t="s">
        <v>1038</v>
      </c>
      <c r="L16" t="s">
        <v>1039</v>
      </c>
      <c r="M16" t="s">
        <v>1028</v>
      </c>
      <c r="N16" t="s">
        <v>1040</v>
      </c>
      <c r="O16" t="s">
        <v>1041</v>
      </c>
      <c r="P16" t="s">
        <v>1042</v>
      </c>
      <c r="Q16" t="b">
        <v>1</v>
      </c>
      <c r="R16" t="b">
        <v>0</v>
      </c>
      <c r="S16" t="s">
        <v>1032</v>
      </c>
      <c r="T16" t="s">
        <v>992</v>
      </c>
      <c r="U16" t="s">
        <v>1033</v>
      </c>
      <c r="V16" t="s">
        <v>995</v>
      </c>
      <c r="W16" t="s">
        <v>1034</v>
      </c>
      <c r="X16" t="s">
        <v>1035</v>
      </c>
    </row>
    <row r="17" spans="1:24" x14ac:dyDescent="0.25">
      <c r="A17" t="s">
        <v>42</v>
      </c>
      <c r="B17" t="s">
        <v>1043</v>
      </c>
      <c r="C17" t="s">
        <v>269</v>
      </c>
      <c r="D17" t="s">
        <v>427</v>
      </c>
      <c r="E17" t="s">
        <v>1001</v>
      </c>
      <c r="F17">
        <v>-45384</v>
      </c>
      <c r="G17" t="s">
        <v>1023</v>
      </c>
      <c r="H17" t="s">
        <v>1044</v>
      </c>
      <c r="I17" t="s">
        <v>1025</v>
      </c>
      <c r="J17" t="s">
        <v>993</v>
      </c>
      <c r="K17" t="s">
        <v>1045</v>
      </c>
      <c r="L17" t="s">
        <v>1046</v>
      </c>
      <c r="M17" t="s">
        <v>1028</v>
      </c>
      <c r="N17" t="s">
        <v>1047</v>
      </c>
      <c r="O17" t="s">
        <v>1048</v>
      </c>
      <c r="P17" t="s">
        <v>1049</v>
      </c>
      <c r="Q17" t="b">
        <v>1</v>
      </c>
      <c r="R17" t="b">
        <v>0</v>
      </c>
      <c r="S17" t="s">
        <v>1032</v>
      </c>
      <c r="T17" t="s">
        <v>992</v>
      </c>
      <c r="U17" t="s">
        <v>1033</v>
      </c>
      <c r="V17" t="s">
        <v>995</v>
      </c>
      <c r="W17" t="s">
        <v>1034</v>
      </c>
      <c r="X17" t="s">
        <v>1035</v>
      </c>
    </row>
    <row r="18" spans="1:24" x14ac:dyDescent="0.25">
      <c r="A18" t="s">
        <v>42</v>
      </c>
      <c r="B18" t="s">
        <v>1050</v>
      </c>
      <c r="C18" t="s">
        <v>269</v>
      </c>
      <c r="D18" t="s">
        <v>427</v>
      </c>
      <c r="E18" t="s">
        <v>1003</v>
      </c>
      <c r="F18">
        <v>-49071</v>
      </c>
      <c r="G18" t="s">
        <v>1051</v>
      </c>
      <c r="H18" t="s">
        <v>1052</v>
      </c>
      <c r="I18" t="s">
        <v>1053</v>
      </c>
      <c r="J18" t="s">
        <v>993</v>
      </c>
      <c r="K18" t="s">
        <v>1054</v>
      </c>
      <c r="L18" t="s">
        <v>1055</v>
      </c>
      <c r="M18" t="s">
        <v>1056</v>
      </c>
      <c r="N18" t="s">
        <v>1057</v>
      </c>
      <c r="O18" t="s">
        <v>1030</v>
      </c>
      <c r="P18" t="s">
        <v>1058</v>
      </c>
      <c r="Q18" t="b">
        <v>1</v>
      </c>
      <c r="R18" t="b">
        <v>1</v>
      </c>
      <c r="S18" t="s">
        <v>1059</v>
      </c>
      <c r="T18" t="s">
        <v>992</v>
      </c>
      <c r="U18" t="s">
        <v>1060</v>
      </c>
      <c r="V18" t="s">
        <v>1061</v>
      </c>
      <c r="W18" t="s">
        <v>1034</v>
      </c>
      <c r="X18" t="s">
        <v>1062</v>
      </c>
    </row>
    <row r="19" spans="1:24" x14ac:dyDescent="0.25">
      <c r="A19" t="s">
        <v>42</v>
      </c>
      <c r="B19" t="s">
        <v>1063</v>
      </c>
      <c r="C19" t="s">
        <v>269</v>
      </c>
      <c r="D19" t="s">
        <v>427</v>
      </c>
      <c r="E19" t="s">
        <v>1005</v>
      </c>
      <c r="F19">
        <v>-64720</v>
      </c>
      <c r="G19" t="s">
        <v>1023</v>
      </c>
      <c r="H19" t="s">
        <v>1064</v>
      </c>
      <c r="I19" t="s">
        <v>1025</v>
      </c>
      <c r="J19" t="s">
        <v>993</v>
      </c>
      <c r="K19" t="s">
        <v>1065</v>
      </c>
      <c r="L19" t="s">
        <v>1066</v>
      </c>
      <c r="M19" t="s">
        <v>1028</v>
      </c>
      <c r="N19" t="s">
        <v>1067</v>
      </c>
      <c r="O19" t="s">
        <v>1068</v>
      </c>
      <c r="P19" t="s">
        <v>1069</v>
      </c>
      <c r="Q19" t="b">
        <v>1</v>
      </c>
      <c r="R19" t="b">
        <v>0</v>
      </c>
      <c r="S19" t="s">
        <v>1032</v>
      </c>
      <c r="T19" t="s">
        <v>992</v>
      </c>
      <c r="U19" t="s">
        <v>1033</v>
      </c>
      <c r="V19" t="s">
        <v>995</v>
      </c>
      <c r="W19" t="s">
        <v>1034</v>
      </c>
      <c r="X19" t="s">
        <v>1035</v>
      </c>
    </row>
    <row r="20" spans="1:24" x14ac:dyDescent="0.25">
      <c r="A20" t="s">
        <v>42</v>
      </c>
      <c r="B20" t="s">
        <v>1070</v>
      </c>
      <c r="C20" t="s">
        <v>269</v>
      </c>
      <c r="D20" t="s">
        <v>427</v>
      </c>
      <c r="E20" t="s">
        <v>1007</v>
      </c>
      <c r="F20">
        <v>-48482</v>
      </c>
      <c r="G20" t="s">
        <v>1023</v>
      </c>
      <c r="H20" t="s">
        <v>1071</v>
      </c>
      <c r="I20" t="s">
        <v>1025</v>
      </c>
      <c r="J20" t="s">
        <v>993</v>
      </c>
      <c r="K20" t="s">
        <v>1072</v>
      </c>
      <c r="L20" t="s">
        <v>1073</v>
      </c>
      <c r="M20" t="s">
        <v>1028</v>
      </c>
      <c r="N20" t="s">
        <v>1074</v>
      </c>
      <c r="O20" t="s">
        <v>1075</v>
      </c>
      <c r="P20" t="s">
        <v>1076</v>
      </c>
      <c r="Q20" t="b">
        <v>1</v>
      </c>
      <c r="R20" t="b">
        <v>0</v>
      </c>
      <c r="S20" t="s">
        <v>1032</v>
      </c>
      <c r="T20" t="s">
        <v>992</v>
      </c>
      <c r="U20" t="s">
        <v>1033</v>
      </c>
      <c r="V20" t="s">
        <v>995</v>
      </c>
      <c r="W20" t="s">
        <v>1034</v>
      </c>
      <c r="X20" t="s">
        <v>1035</v>
      </c>
    </row>
    <row r="21" spans="1:24" x14ac:dyDescent="0.25">
      <c r="A21" t="s">
        <v>42</v>
      </c>
      <c r="B21" t="s">
        <v>1077</v>
      </c>
      <c r="C21" t="s">
        <v>269</v>
      </c>
      <c r="D21" t="s">
        <v>427</v>
      </c>
      <c r="E21" t="s">
        <v>1009</v>
      </c>
      <c r="F21">
        <v>-46099</v>
      </c>
      <c r="G21" t="s">
        <v>1023</v>
      </c>
      <c r="H21" t="s">
        <v>1078</v>
      </c>
      <c r="I21" t="s">
        <v>1025</v>
      </c>
      <c r="J21" t="s">
        <v>993</v>
      </c>
      <c r="K21" t="s">
        <v>1079</v>
      </c>
      <c r="L21" t="s">
        <v>1080</v>
      </c>
      <c r="M21" t="s">
        <v>1028</v>
      </c>
      <c r="N21" t="s">
        <v>1081</v>
      </c>
      <c r="O21" t="s">
        <v>1082</v>
      </c>
      <c r="P21" t="s">
        <v>1083</v>
      </c>
      <c r="Q21" t="b">
        <v>1</v>
      </c>
      <c r="R21" t="b">
        <v>0</v>
      </c>
      <c r="S21" t="s">
        <v>1032</v>
      </c>
      <c r="T21" t="s">
        <v>992</v>
      </c>
      <c r="U21" t="s">
        <v>1033</v>
      </c>
      <c r="V21" t="s">
        <v>995</v>
      </c>
      <c r="W21" t="s">
        <v>1034</v>
      </c>
      <c r="X21" t="s">
        <v>1035</v>
      </c>
    </row>
    <row r="22" spans="1:24" x14ac:dyDescent="0.25">
      <c r="A22" t="s">
        <v>42</v>
      </c>
      <c r="B22" t="s">
        <v>1084</v>
      </c>
      <c r="C22" t="s">
        <v>269</v>
      </c>
      <c r="D22" t="s">
        <v>427</v>
      </c>
      <c r="E22" t="s">
        <v>1011</v>
      </c>
      <c r="F22">
        <v>-51051</v>
      </c>
      <c r="G22" t="s">
        <v>1085</v>
      </c>
      <c r="H22" t="s">
        <v>1086</v>
      </c>
      <c r="I22" t="s">
        <v>1053</v>
      </c>
      <c r="J22" t="s">
        <v>993</v>
      </c>
      <c r="K22" t="s">
        <v>1087</v>
      </c>
      <c r="L22" t="s">
        <v>1088</v>
      </c>
      <c r="M22" t="s">
        <v>1056</v>
      </c>
      <c r="N22" t="s">
        <v>1089</v>
      </c>
      <c r="O22" t="s">
        <v>1068</v>
      </c>
      <c r="P22" t="s">
        <v>1090</v>
      </c>
      <c r="Q22" t="b">
        <v>1</v>
      </c>
      <c r="R22" t="b">
        <v>0</v>
      </c>
      <c r="S22" t="s">
        <v>1032</v>
      </c>
      <c r="T22" t="s">
        <v>992</v>
      </c>
      <c r="U22" t="s">
        <v>1033</v>
      </c>
      <c r="V22" t="s">
        <v>1061</v>
      </c>
      <c r="W22" t="s">
        <v>1034</v>
      </c>
      <c r="X22" t="s">
        <v>1091</v>
      </c>
    </row>
    <row r="23" spans="1:24" x14ac:dyDescent="0.25">
      <c r="A23" t="s">
        <v>42</v>
      </c>
      <c r="B23" t="s">
        <v>1092</v>
      </c>
      <c r="C23" t="s">
        <v>269</v>
      </c>
      <c r="D23" t="s">
        <v>427</v>
      </c>
      <c r="E23" t="s">
        <v>1013</v>
      </c>
      <c r="F23">
        <v>-66025</v>
      </c>
      <c r="G23" t="s">
        <v>1051</v>
      </c>
      <c r="H23" t="s">
        <v>1093</v>
      </c>
      <c r="I23" t="s">
        <v>1025</v>
      </c>
      <c r="J23" t="s">
        <v>993</v>
      </c>
      <c r="K23" t="s">
        <v>1094</v>
      </c>
      <c r="L23" t="s">
        <v>1095</v>
      </c>
      <c r="M23" t="s">
        <v>1028</v>
      </c>
      <c r="N23" t="s">
        <v>1096</v>
      </c>
      <c r="O23" t="s">
        <v>1097</v>
      </c>
      <c r="P23" t="s">
        <v>1098</v>
      </c>
      <c r="Q23" t="b">
        <v>1</v>
      </c>
      <c r="R23" t="b">
        <v>0</v>
      </c>
      <c r="S23" t="s">
        <v>1099</v>
      </c>
      <c r="T23" t="s">
        <v>992</v>
      </c>
      <c r="U23" t="s">
        <v>1060</v>
      </c>
      <c r="V23" t="s">
        <v>995</v>
      </c>
      <c r="W23" t="s">
        <v>1034</v>
      </c>
      <c r="X23" t="s">
        <v>1100</v>
      </c>
    </row>
    <row r="24" spans="1:24" x14ac:dyDescent="0.25">
      <c r="A24" t="s">
        <v>42</v>
      </c>
      <c r="B24" t="s">
        <v>1101</v>
      </c>
      <c r="C24" t="s">
        <v>269</v>
      </c>
      <c r="D24" t="s">
        <v>427</v>
      </c>
      <c r="E24" t="s">
        <v>1015</v>
      </c>
      <c r="F24">
        <v>-50492</v>
      </c>
      <c r="G24" t="s">
        <v>1051</v>
      </c>
      <c r="H24" t="s">
        <v>1102</v>
      </c>
      <c r="I24" t="s">
        <v>1025</v>
      </c>
      <c r="J24" t="s">
        <v>993</v>
      </c>
      <c r="K24" t="s">
        <v>1103</v>
      </c>
      <c r="L24" t="s">
        <v>1104</v>
      </c>
      <c r="M24" t="s">
        <v>1028</v>
      </c>
      <c r="N24" t="s">
        <v>1105</v>
      </c>
      <c r="O24" t="s">
        <v>1106</v>
      </c>
      <c r="P24" t="s">
        <v>1107</v>
      </c>
      <c r="Q24" t="b">
        <v>1</v>
      </c>
      <c r="R24" t="b">
        <v>0</v>
      </c>
      <c r="S24" t="s">
        <v>1099</v>
      </c>
      <c r="T24" t="s">
        <v>992</v>
      </c>
      <c r="U24" t="s">
        <v>1060</v>
      </c>
      <c r="V24" t="s">
        <v>995</v>
      </c>
      <c r="W24" t="s">
        <v>1034</v>
      </c>
      <c r="X24" t="s">
        <v>1100</v>
      </c>
    </row>
    <row r="25" spans="1:24" x14ac:dyDescent="0.25">
      <c r="A25" t="s">
        <v>42</v>
      </c>
      <c r="B25" t="s">
        <v>1108</v>
      </c>
      <c r="C25" t="s">
        <v>269</v>
      </c>
      <c r="D25" t="s">
        <v>427</v>
      </c>
      <c r="E25" t="s">
        <v>1017</v>
      </c>
      <c r="F25">
        <v>-50318</v>
      </c>
      <c r="G25" t="s">
        <v>1051</v>
      </c>
      <c r="H25" t="s">
        <v>1109</v>
      </c>
      <c r="I25" t="s">
        <v>1025</v>
      </c>
      <c r="J25" t="s">
        <v>993</v>
      </c>
      <c r="K25" t="s">
        <v>1110</v>
      </c>
      <c r="L25" t="s">
        <v>1111</v>
      </c>
      <c r="M25" t="s">
        <v>1028</v>
      </c>
      <c r="N25" t="s">
        <v>1112</v>
      </c>
      <c r="O25" t="s">
        <v>1113</v>
      </c>
      <c r="P25" t="s">
        <v>1114</v>
      </c>
      <c r="Q25" t="b">
        <v>1</v>
      </c>
      <c r="R25" t="b">
        <v>0</v>
      </c>
      <c r="S25" t="s">
        <v>1099</v>
      </c>
      <c r="T25" t="s">
        <v>992</v>
      </c>
      <c r="U25" t="s">
        <v>1060</v>
      </c>
      <c r="V25" t="s">
        <v>995</v>
      </c>
      <c r="W25" t="s">
        <v>1034</v>
      </c>
      <c r="X25" t="s">
        <v>1100</v>
      </c>
    </row>
    <row r="26" spans="1:24" x14ac:dyDescent="0.25">
      <c r="A26" t="s">
        <v>42</v>
      </c>
      <c r="B26" t="s">
        <v>1115</v>
      </c>
      <c r="C26" t="s">
        <v>269</v>
      </c>
      <c r="D26" t="s">
        <v>427</v>
      </c>
      <c r="E26" t="s">
        <v>1019</v>
      </c>
      <c r="F26">
        <v>-54125</v>
      </c>
      <c r="G26" t="s">
        <v>1085</v>
      </c>
      <c r="H26" t="s">
        <v>1116</v>
      </c>
      <c r="I26" t="s">
        <v>1053</v>
      </c>
      <c r="J26" t="s">
        <v>993</v>
      </c>
      <c r="K26" t="s">
        <v>1117</v>
      </c>
      <c r="L26" t="s">
        <v>1118</v>
      </c>
      <c r="M26" t="s">
        <v>1056</v>
      </c>
      <c r="N26" t="s">
        <v>1119</v>
      </c>
      <c r="O26" t="s">
        <v>1097</v>
      </c>
      <c r="P26" t="s">
        <v>1120</v>
      </c>
      <c r="Q26" t="b">
        <v>1</v>
      </c>
      <c r="R26" t="b">
        <v>0</v>
      </c>
      <c r="S26" t="s">
        <v>1032</v>
      </c>
      <c r="T26" t="s">
        <v>992</v>
      </c>
      <c r="U26" t="s">
        <v>1033</v>
      </c>
      <c r="V26" t="s">
        <v>1061</v>
      </c>
      <c r="W26" t="s">
        <v>1034</v>
      </c>
      <c r="X26" t="s">
        <v>1121</v>
      </c>
    </row>
    <row r="27" spans="1:24" x14ac:dyDescent="0.25">
      <c r="A27" t="s">
        <v>42</v>
      </c>
      <c r="B27" t="s">
        <v>1122</v>
      </c>
      <c r="C27" t="s">
        <v>269</v>
      </c>
      <c r="D27" t="s">
        <v>427</v>
      </c>
      <c r="E27" t="s">
        <v>1021</v>
      </c>
      <c r="F27">
        <v>-74525</v>
      </c>
      <c r="G27" t="s">
        <v>1051</v>
      </c>
      <c r="H27" t="s">
        <v>1123</v>
      </c>
      <c r="I27" t="s">
        <v>1025</v>
      </c>
      <c r="J27" t="s">
        <v>993</v>
      </c>
      <c r="K27" t="s">
        <v>1124</v>
      </c>
      <c r="L27" t="s">
        <v>1125</v>
      </c>
      <c r="M27" t="s">
        <v>1028</v>
      </c>
      <c r="N27" t="s">
        <v>1126</v>
      </c>
      <c r="O27" t="s">
        <v>1127</v>
      </c>
      <c r="P27" t="s">
        <v>1128</v>
      </c>
      <c r="Q27" t="b">
        <v>1</v>
      </c>
      <c r="R27" t="b">
        <v>0</v>
      </c>
      <c r="S27" t="s">
        <v>1099</v>
      </c>
      <c r="T27" t="s">
        <v>992</v>
      </c>
      <c r="U27" t="s">
        <v>1060</v>
      </c>
      <c r="V27" t="s">
        <v>995</v>
      </c>
      <c r="W27" t="s">
        <v>1034</v>
      </c>
      <c r="X27" t="s">
        <v>1100</v>
      </c>
    </row>
    <row r="28" spans="1:24" x14ac:dyDescent="0.25">
      <c r="A28" t="s">
        <v>42</v>
      </c>
      <c r="B28" t="s">
        <v>1129</v>
      </c>
      <c r="C28" t="s">
        <v>269</v>
      </c>
      <c r="D28" t="s">
        <v>427</v>
      </c>
      <c r="E28" t="s">
        <v>1130</v>
      </c>
      <c r="F28">
        <v>-56403</v>
      </c>
      <c r="G28" t="s">
        <v>1051</v>
      </c>
      <c r="H28" t="s">
        <v>1131</v>
      </c>
      <c r="I28" t="s">
        <v>1025</v>
      </c>
      <c r="J28" t="s">
        <v>993</v>
      </c>
      <c r="K28" t="s">
        <v>1132</v>
      </c>
      <c r="L28" t="s">
        <v>1133</v>
      </c>
      <c r="M28" t="s">
        <v>1028</v>
      </c>
      <c r="N28" t="s">
        <v>1134</v>
      </c>
      <c r="O28" t="s">
        <v>1135</v>
      </c>
      <c r="P28" t="s">
        <v>1136</v>
      </c>
      <c r="Q28" t="b">
        <v>1</v>
      </c>
      <c r="R28" t="b">
        <v>0</v>
      </c>
      <c r="S28" t="s">
        <v>1099</v>
      </c>
      <c r="T28" t="s">
        <v>992</v>
      </c>
      <c r="U28" t="s">
        <v>1060</v>
      </c>
      <c r="V28" t="s">
        <v>995</v>
      </c>
      <c r="W28" t="s">
        <v>1034</v>
      </c>
      <c r="X28" t="s">
        <v>1100</v>
      </c>
    </row>
    <row r="29" spans="1:24" x14ac:dyDescent="0.25">
      <c r="A29" t="s">
        <v>42</v>
      </c>
      <c r="B29" t="s">
        <v>1137</v>
      </c>
      <c r="C29" t="s">
        <v>271</v>
      </c>
      <c r="D29" t="s">
        <v>427</v>
      </c>
      <c r="E29" t="s">
        <v>990</v>
      </c>
      <c r="F29">
        <v>-6607</v>
      </c>
      <c r="G29" t="s">
        <v>1023</v>
      </c>
      <c r="H29" t="s">
        <v>1138</v>
      </c>
      <c r="I29" t="s">
        <v>1139</v>
      </c>
      <c r="J29" t="s">
        <v>993</v>
      </c>
      <c r="K29" t="s">
        <v>1026</v>
      </c>
      <c r="L29" t="s">
        <v>1027</v>
      </c>
      <c r="M29" t="s">
        <v>1028</v>
      </c>
      <c r="N29" t="s">
        <v>1029</v>
      </c>
      <c r="O29" t="s">
        <v>1030</v>
      </c>
      <c r="P29" t="s">
        <v>1031</v>
      </c>
      <c r="Q29" t="b">
        <v>1</v>
      </c>
      <c r="R29" t="b">
        <v>0</v>
      </c>
      <c r="S29" t="s">
        <v>1032</v>
      </c>
      <c r="T29" t="s">
        <v>992</v>
      </c>
      <c r="U29" t="s">
        <v>1140</v>
      </c>
      <c r="V29" t="s">
        <v>995</v>
      </c>
      <c r="W29" t="s">
        <v>1034</v>
      </c>
      <c r="X29" t="s">
        <v>1141</v>
      </c>
    </row>
    <row r="30" spans="1:24" x14ac:dyDescent="0.25">
      <c r="A30" t="s">
        <v>42</v>
      </c>
      <c r="B30" t="s">
        <v>1142</v>
      </c>
      <c r="C30" t="s">
        <v>271</v>
      </c>
      <c r="D30" t="s">
        <v>427</v>
      </c>
      <c r="E30" t="s">
        <v>999</v>
      </c>
      <c r="F30">
        <v>-6201</v>
      </c>
      <c r="G30" t="s">
        <v>1023</v>
      </c>
      <c r="H30" t="s">
        <v>1143</v>
      </c>
      <c r="I30" t="s">
        <v>1139</v>
      </c>
      <c r="J30" t="s">
        <v>993</v>
      </c>
      <c r="K30" t="s">
        <v>1038</v>
      </c>
      <c r="L30" t="s">
        <v>1039</v>
      </c>
      <c r="M30" t="s">
        <v>1028</v>
      </c>
      <c r="N30" t="s">
        <v>1040</v>
      </c>
      <c r="O30" t="s">
        <v>1041</v>
      </c>
      <c r="P30" t="s">
        <v>1042</v>
      </c>
      <c r="Q30" t="b">
        <v>1</v>
      </c>
      <c r="R30" t="b">
        <v>0</v>
      </c>
      <c r="S30" t="s">
        <v>1032</v>
      </c>
      <c r="T30" t="s">
        <v>992</v>
      </c>
      <c r="U30" t="s">
        <v>1140</v>
      </c>
      <c r="V30" t="s">
        <v>995</v>
      </c>
      <c r="W30" t="s">
        <v>1034</v>
      </c>
      <c r="X30" t="s">
        <v>1141</v>
      </c>
    </row>
    <row r="31" spans="1:24" x14ac:dyDescent="0.25">
      <c r="A31" t="s">
        <v>42</v>
      </c>
      <c r="B31" t="s">
        <v>1144</v>
      </c>
      <c r="C31" t="s">
        <v>271</v>
      </c>
      <c r="D31" t="s">
        <v>427</v>
      </c>
      <c r="E31" t="s">
        <v>1001</v>
      </c>
      <c r="F31">
        <v>-5973</v>
      </c>
      <c r="G31" t="s">
        <v>1023</v>
      </c>
      <c r="H31" t="s">
        <v>1145</v>
      </c>
      <c r="I31" t="s">
        <v>1139</v>
      </c>
      <c r="J31" t="s">
        <v>993</v>
      </c>
      <c r="K31" t="s">
        <v>1045</v>
      </c>
      <c r="L31" t="s">
        <v>1046</v>
      </c>
      <c r="M31" t="s">
        <v>1028</v>
      </c>
      <c r="N31" t="s">
        <v>1047</v>
      </c>
      <c r="O31" t="s">
        <v>1048</v>
      </c>
      <c r="P31" t="s">
        <v>1049</v>
      </c>
      <c r="Q31" t="b">
        <v>1</v>
      </c>
      <c r="R31" t="b">
        <v>0</v>
      </c>
      <c r="S31" t="s">
        <v>1032</v>
      </c>
      <c r="T31" t="s">
        <v>992</v>
      </c>
      <c r="U31" t="s">
        <v>1140</v>
      </c>
      <c r="V31" t="s">
        <v>995</v>
      </c>
      <c r="W31" t="s">
        <v>1034</v>
      </c>
      <c r="X31" t="s">
        <v>1141</v>
      </c>
    </row>
    <row r="32" spans="1:24" x14ac:dyDescent="0.25">
      <c r="A32" t="s">
        <v>42</v>
      </c>
      <c r="B32" t="s">
        <v>1146</v>
      </c>
      <c r="C32" t="s">
        <v>271</v>
      </c>
      <c r="D32" t="s">
        <v>427</v>
      </c>
      <c r="E32" t="s">
        <v>1003</v>
      </c>
      <c r="F32">
        <v>-6151</v>
      </c>
      <c r="G32" t="s">
        <v>1051</v>
      </c>
      <c r="H32" t="s">
        <v>1147</v>
      </c>
      <c r="I32" t="s">
        <v>1148</v>
      </c>
      <c r="J32" t="s">
        <v>993</v>
      </c>
      <c r="K32" t="s">
        <v>1054</v>
      </c>
      <c r="L32" t="s">
        <v>1055</v>
      </c>
      <c r="M32" t="s">
        <v>1056</v>
      </c>
      <c r="N32" t="s">
        <v>1057</v>
      </c>
      <c r="O32" t="s">
        <v>1030</v>
      </c>
      <c r="P32" t="s">
        <v>1058</v>
      </c>
      <c r="Q32" t="b">
        <v>1</v>
      </c>
      <c r="R32" t="b">
        <v>1</v>
      </c>
      <c r="S32" t="s">
        <v>1059</v>
      </c>
      <c r="T32" t="s">
        <v>992</v>
      </c>
      <c r="U32" t="s">
        <v>1060</v>
      </c>
      <c r="V32" t="s">
        <v>1061</v>
      </c>
      <c r="W32" t="s">
        <v>1034</v>
      </c>
      <c r="X32" t="s">
        <v>1062</v>
      </c>
    </row>
    <row r="33" spans="1:24" x14ac:dyDescent="0.25">
      <c r="A33" t="s">
        <v>42</v>
      </c>
      <c r="B33" t="s">
        <v>1149</v>
      </c>
      <c r="C33" t="s">
        <v>271</v>
      </c>
      <c r="D33" t="s">
        <v>427</v>
      </c>
      <c r="E33" t="s">
        <v>1005</v>
      </c>
      <c r="F33">
        <v>-6786</v>
      </c>
      <c r="G33" t="s">
        <v>1023</v>
      </c>
      <c r="H33" t="s">
        <v>1150</v>
      </c>
      <c r="I33" t="s">
        <v>1139</v>
      </c>
      <c r="J33" t="s">
        <v>993</v>
      </c>
      <c r="K33" t="s">
        <v>1065</v>
      </c>
      <c r="L33" t="s">
        <v>1066</v>
      </c>
      <c r="M33" t="s">
        <v>1028</v>
      </c>
      <c r="N33" t="s">
        <v>1067</v>
      </c>
      <c r="O33" t="s">
        <v>1068</v>
      </c>
      <c r="P33" t="s">
        <v>1069</v>
      </c>
      <c r="Q33" t="b">
        <v>1</v>
      </c>
      <c r="R33" t="b">
        <v>0</v>
      </c>
      <c r="S33" t="s">
        <v>1032</v>
      </c>
      <c r="T33" t="s">
        <v>992</v>
      </c>
      <c r="U33" t="s">
        <v>1140</v>
      </c>
      <c r="V33" t="s">
        <v>995</v>
      </c>
      <c r="W33" t="s">
        <v>1034</v>
      </c>
      <c r="X33" t="s">
        <v>1141</v>
      </c>
    </row>
    <row r="34" spans="1:24" x14ac:dyDescent="0.25">
      <c r="A34" t="s">
        <v>42</v>
      </c>
      <c r="B34" t="s">
        <v>1151</v>
      </c>
      <c r="C34" t="s">
        <v>271</v>
      </c>
      <c r="D34" t="s">
        <v>427</v>
      </c>
      <c r="E34" t="s">
        <v>1007</v>
      </c>
      <c r="F34">
        <v>-6468</v>
      </c>
      <c r="G34" t="s">
        <v>1023</v>
      </c>
      <c r="H34" t="s">
        <v>1152</v>
      </c>
      <c r="I34" t="s">
        <v>1139</v>
      </c>
      <c r="J34" t="s">
        <v>993</v>
      </c>
      <c r="K34" t="s">
        <v>1072</v>
      </c>
      <c r="L34" t="s">
        <v>1073</v>
      </c>
      <c r="M34" t="s">
        <v>1028</v>
      </c>
      <c r="N34" t="s">
        <v>1074</v>
      </c>
      <c r="O34" t="s">
        <v>1075</v>
      </c>
      <c r="P34" t="s">
        <v>1076</v>
      </c>
      <c r="Q34" t="b">
        <v>1</v>
      </c>
      <c r="R34" t="b">
        <v>0</v>
      </c>
      <c r="S34" t="s">
        <v>1032</v>
      </c>
      <c r="T34" t="s">
        <v>992</v>
      </c>
      <c r="U34" t="s">
        <v>1140</v>
      </c>
      <c r="V34" t="s">
        <v>995</v>
      </c>
      <c r="W34" t="s">
        <v>1034</v>
      </c>
      <c r="X34" t="s">
        <v>1141</v>
      </c>
    </row>
    <row r="35" spans="1:24" x14ac:dyDescent="0.25">
      <c r="A35" t="s">
        <v>42</v>
      </c>
      <c r="B35" t="s">
        <v>1153</v>
      </c>
      <c r="C35" t="s">
        <v>271</v>
      </c>
      <c r="D35" t="s">
        <v>427</v>
      </c>
      <c r="E35" t="s">
        <v>1009</v>
      </c>
      <c r="F35">
        <v>-6320</v>
      </c>
      <c r="G35" t="s">
        <v>1023</v>
      </c>
      <c r="H35" t="s">
        <v>1154</v>
      </c>
      <c r="I35" t="s">
        <v>1139</v>
      </c>
      <c r="J35" t="s">
        <v>993</v>
      </c>
      <c r="K35" t="s">
        <v>1079</v>
      </c>
      <c r="L35" t="s">
        <v>1080</v>
      </c>
      <c r="M35" t="s">
        <v>1028</v>
      </c>
      <c r="N35" t="s">
        <v>1081</v>
      </c>
      <c r="O35" t="s">
        <v>1082</v>
      </c>
      <c r="P35" t="s">
        <v>1083</v>
      </c>
      <c r="Q35" t="b">
        <v>1</v>
      </c>
      <c r="R35" t="b">
        <v>0</v>
      </c>
      <c r="S35" t="s">
        <v>1032</v>
      </c>
      <c r="T35" t="s">
        <v>992</v>
      </c>
      <c r="U35" t="s">
        <v>1140</v>
      </c>
      <c r="V35" t="s">
        <v>995</v>
      </c>
      <c r="W35" t="s">
        <v>1034</v>
      </c>
      <c r="X35" t="s">
        <v>1141</v>
      </c>
    </row>
    <row r="36" spans="1:24" x14ac:dyDescent="0.25">
      <c r="A36" t="s">
        <v>42</v>
      </c>
      <c r="B36" t="s">
        <v>1155</v>
      </c>
      <c r="C36" t="s">
        <v>271</v>
      </c>
      <c r="D36" t="s">
        <v>427</v>
      </c>
      <c r="E36" t="s">
        <v>1011</v>
      </c>
      <c r="F36">
        <v>-6523</v>
      </c>
      <c r="G36" t="s">
        <v>1023</v>
      </c>
      <c r="H36" t="s">
        <v>1156</v>
      </c>
      <c r="I36" t="s">
        <v>1148</v>
      </c>
      <c r="J36" t="s">
        <v>993</v>
      </c>
      <c r="K36" t="s">
        <v>1087</v>
      </c>
      <c r="L36" t="s">
        <v>1088</v>
      </c>
      <c r="M36" t="s">
        <v>1056</v>
      </c>
      <c r="N36" t="s">
        <v>1089</v>
      </c>
      <c r="O36" t="s">
        <v>1068</v>
      </c>
      <c r="P36" t="s">
        <v>1090</v>
      </c>
      <c r="Q36" t="b">
        <v>1</v>
      </c>
      <c r="R36" t="b">
        <v>0</v>
      </c>
      <c r="S36" t="s">
        <v>1032</v>
      </c>
      <c r="T36" t="s">
        <v>992</v>
      </c>
      <c r="U36" t="s">
        <v>1140</v>
      </c>
      <c r="V36" t="s">
        <v>1061</v>
      </c>
      <c r="W36" t="s">
        <v>1034</v>
      </c>
      <c r="X36" t="s">
        <v>1157</v>
      </c>
    </row>
    <row r="37" spans="1:24" x14ac:dyDescent="0.25">
      <c r="A37" t="s">
        <v>42</v>
      </c>
      <c r="B37" t="s">
        <v>1158</v>
      </c>
      <c r="C37" t="s">
        <v>271</v>
      </c>
      <c r="D37" t="s">
        <v>427</v>
      </c>
      <c r="E37" t="s">
        <v>1013</v>
      </c>
      <c r="F37">
        <v>-7175</v>
      </c>
      <c r="G37" t="s">
        <v>1051</v>
      </c>
      <c r="H37" t="s">
        <v>1159</v>
      </c>
      <c r="I37" t="s">
        <v>1139</v>
      </c>
      <c r="J37" t="s">
        <v>993</v>
      </c>
      <c r="K37" t="s">
        <v>1094</v>
      </c>
      <c r="L37" t="s">
        <v>1095</v>
      </c>
      <c r="M37" t="s">
        <v>1028</v>
      </c>
      <c r="N37" t="s">
        <v>1096</v>
      </c>
      <c r="O37" t="s">
        <v>1097</v>
      </c>
      <c r="P37" t="s">
        <v>1098</v>
      </c>
      <c r="Q37" t="b">
        <v>1</v>
      </c>
      <c r="R37" t="b">
        <v>0</v>
      </c>
      <c r="S37" t="s">
        <v>1099</v>
      </c>
      <c r="T37" t="s">
        <v>992</v>
      </c>
      <c r="U37" t="s">
        <v>1060</v>
      </c>
      <c r="V37" t="s">
        <v>995</v>
      </c>
      <c r="W37" t="s">
        <v>1034</v>
      </c>
      <c r="X37" t="s">
        <v>1100</v>
      </c>
    </row>
    <row r="38" spans="1:24" x14ac:dyDescent="0.25">
      <c r="A38" t="s">
        <v>42</v>
      </c>
      <c r="B38" t="s">
        <v>1160</v>
      </c>
      <c r="C38" t="s">
        <v>271</v>
      </c>
      <c r="D38" t="s">
        <v>427</v>
      </c>
      <c r="E38" t="s">
        <v>1015</v>
      </c>
      <c r="F38">
        <v>-6728</v>
      </c>
      <c r="G38" t="s">
        <v>1051</v>
      </c>
      <c r="H38" t="s">
        <v>1161</v>
      </c>
      <c r="I38" t="s">
        <v>1139</v>
      </c>
      <c r="J38" t="s">
        <v>993</v>
      </c>
      <c r="K38" t="s">
        <v>1103</v>
      </c>
      <c r="L38" t="s">
        <v>1104</v>
      </c>
      <c r="M38" t="s">
        <v>1028</v>
      </c>
      <c r="N38" t="s">
        <v>1105</v>
      </c>
      <c r="O38" t="s">
        <v>1106</v>
      </c>
      <c r="P38" t="s">
        <v>1107</v>
      </c>
      <c r="Q38" t="b">
        <v>1</v>
      </c>
      <c r="R38" t="b">
        <v>0</v>
      </c>
      <c r="S38" t="s">
        <v>1099</v>
      </c>
      <c r="T38" t="s">
        <v>992</v>
      </c>
      <c r="U38" t="s">
        <v>1060</v>
      </c>
      <c r="V38" t="s">
        <v>995</v>
      </c>
      <c r="W38" t="s">
        <v>1034</v>
      </c>
      <c r="X38" t="s">
        <v>1100</v>
      </c>
    </row>
    <row r="39" spans="1:24" x14ac:dyDescent="0.25">
      <c r="A39" t="s">
        <v>42</v>
      </c>
      <c r="B39" t="s">
        <v>1162</v>
      </c>
      <c r="C39" t="s">
        <v>271</v>
      </c>
      <c r="D39" t="s">
        <v>427</v>
      </c>
      <c r="E39" t="s">
        <v>1017</v>
      </c>
      <c r="F39">
        <v>-6650</v>
      </c>
      <c r="G39" t="s">
        <v>1051</v>
      </c>
      <c r="H39" t="s">
        <v>1163</v>
      </c>
      <c r="I39" t="s">
        <v>1139</v>
      </c>
      <c r="J39" t="s">
        <v>993</v>
      </c>
      <c r="K39" t="s">
        <v>1110</v>
      </c>
      <c r="L39" t="s">
        <v>1111</v>
      </c>
      <c r="M39" t="s">
        <v>1028</v>
      </c>
      <c r="N39" t="s">
        <v>1112</v>
      </c>
      <c r="O39" t="s">
        <v>1113</v>
      </c>
      <c r="P39" t="s">
        <v>1114</v>
      </c>
      <c r="Q39" t="b">
        <v>1</v>
      </c>
      <c r="R39" t="b">
        <v>0</v>
      </c>
      <c r="S39" t="s">
        <v>1099</v>
      </c>
      <c r="T39" t="s">
        <v>992</v>
      </c>
      <c r="U39" t="s">
        <v>1060</v>
      </c>
      <c r="V39" t="s">
        <v>995</v>
      </c>
      <c r="W39" t="s">
        <v>1034</v>
      </c>
      <c r="X39" t="s">
        <v>1100</v>
      </c>
    </row>
    <row r="40" spans="1:24" x14ac:dyDescent="0.25">
      <c r="A40" t="s">
        <v>42</v>
      </c>
      <c r="B40" t="s">
        <v>1164</v>
      </c>
      <c r="C40" t="s">
        <v>271</v>
      </c>
      <c r="D40" t="s">
        <v>427</v>
      </c>
      <c r="E40" t="s">
        <v>1019</v>
      </c>
      <c r="F40">
        <v>-7048</v>
      </c>
      <c r="G40" t="s">
        <v>1023</v>
      </c>
      <c r="H40" t="s">
        <v>1165</v>
      </c>
      <c r="I40" t="s">
        <v>1148</v>
      </c>
      <c r="J40" t="s">
        <v>993</v>
      </c>
      <c r="K40" t="s">
        <v>1117</v>
      </c>
      <c r="L40" t="s">
        <v>1118</v>
      </c>
      <c r="M40" t="s">
        <v>1056</v>
      </c>
      <c r="N40" t="s">
        <v>1119</v>
      </c>
      <c r="O40" t="s">
        <v>1097</v>
      </c>
      <c r="P40" t="s">
        <v>1120</v>
      </c>
      <c r="Q40" t="b">
        <v>1</v>
      </c>
      <c r="R40" t="b">
        <v>0</v>
      </c>
      <c r="S40" t="s">
        <v>1032</v>
      </c>
      <c r="T40" t="s">
        <v>992</v>
      </c>
      <c r="U40" t="s">
        <v>1140</v>
      </c>
      <c r="V40" t="s">
        <v>1061</v>
      </c>
      <c r="W40" t="s">
        <v>1034</v>
      </c>
      <c r="X40" t="s">
        <v>1166</v>
      </c>
    </row>
    <row r="41" spans="1:24" x14ac:dyDescent="0.25">
      <c r="A41" t="s">
        <v>42</v>
      </c>
      <c r="B41" t="s">
        <v>1167</v>
      </c>
      <c r="C41" t="s">
        <v>271</v>
      </c>
      <c r="D41" t="s">
        <v>427</v>
      </c>
      <c r="E41" t="s">
        <v>1021</v>
      </c>
      <c r="F41">
        <v>-7492</v>
      </c>
      <c r="G41" t="s">
        <v>1023</v>
      </c>
      <c r="H41" t="s">
        <v>1168</v>
      </c>
      <c r="I41" t="s">
        <v>1139</v>
      </c>
      <c r="J41" t="s">
        <v>993</v>
      </c>
      <c r="K41" t="s">
        <v>1124</v>
      </c>
      <c r="L41" t="s">
        <v>1125</v>
      </c>
      <c r="M41" t="s">
        <v>1028</v>
      </c>
      <c r="N41" t="s">
        <v>1126</v>
      </c>
      <c r="O41" t="s">
        <v>1127</v>
      </c>
      <c r="P41" t="s">
        <v>1128</v>
      </c>
      <c r="Q41" t="b">
        <v>1</v>
      </c>
      <c r="R41" t="b">
        <v>0</v>
      </c>
      <c r="S41" t="s">
        <v>1032</v>
      </c>
      <c r="T41" t="s">
        <v>992</v>
      </c>
      <c r="U41" t="s">
        <v>1140</v>
      </c>
      <c r="V41" t="s">
        <v>995</v>
      </c>
      <c r="W41" t="s">
        <v>1034</v>
      </c>
      <c r="X41" t="s">
        <v>1141</v>
      </c>
    </row>
    <row r="42" spans="1:24" x14ac:dyDescent="0.25">
      <c r="A42" t="s">
        <v>42</v>
      </c>
      <c r="B42" t="s">
        <v>1169</v>
      </c>
      <c r="C42" t="s">
        <v>271</v>
      </c>
      <c r="D42" t="s">
        <v>427</v>
      </c>
      <c r="E42" t="s">
        <v>1130</v>
      </c>
      <c r="F42">
        <v>-7477</v>
      </c>
      <c r="G42" t="s">
        <v>1051</v>
      </c>
      <c r="H42" t="s">
        <v>1170</v>
      </c>
      <c r="I42" t="s">
        <v>1139</v>
      </c>
      <c r="J42" t="s">
        <v>993</v>
      </c>
      <c r="K42" t="s">
        <v>1132</v>
      </c>
      <c r="L42" t="s">
        <v>1133</v>
      </c>
      <c r="M42" t="s">
        <v>1028</v>
      </c>
      <c r="N42" t="s">
        <v>1134</v>
      </c>
      <c r="O42" t="s">
        <v>1135</v>
      </c>
      <c r="P42" t="s">
        <v>1136</v>
      </c>
      <c r="Q42" t="b">
        <v>1</v>
      </c>
      <c r="R42" t="b">
        <v>0</v>
      </c>
      <c r="S42" t="s">
        <v>1099</v>
      </c>
      <c r="T42" t="s">
        <v>992</v>
      </c>
      <c r="U42" t="s">
        <v>1060</v>
      </c>
      <c r="V42" t="s">
        <v>995</v>
      </c>
      <c r="W42" t="s">
        <v>1034</v>
      </c>
      <c r="X42" t="s">
        <v>1100</v>
      </c>
    </row>
    <row r="43" spans="1:24" x14ac:dyDescent="0.25">
      <c r="A43" t="s">
        <v>42</v>
      </c>
      <c r="B43" t="s">
        <v>1171</v>
      </c>
      <c r="C43" t="s">
        <v>272</v>
      </c>
      <c r="D43" t="s">
        <v>427</v>
      </c>
      <c r="E43" t="s">
        <v>990</v>
      </c>
      <c r="F43">
        <v>-7709</v>
      </c>
      <c r="G43" t="s">
        <v>1023</v>
      </c>
      <c r="H43" t="s">
        <v>1172</v>
      </c>
      <c r="I43" t="s">
        <v>1173</v>
      </c>
      <c r="J43" t="s">
        <v>993</v>
      </c>
      <c r="K43" t="s">
        <v>1026</v>
      </c>
      <c r="L43" t="s">
        <v>1027</v>
      </c>
      <c r="M43" t="s">
        <v>1028</v>
      </c>
      <c r="N43" t="s">
        <v>1029</v>
      </c>
      <c r="O43" t="s">
        <v>1030</v>
      </c>
      <c r="P43" t="s">
        <v>1031</v>
      </c>
      <c r="Q43" t="b">
        <v>1</v>
      </c>
      <c r="R43" t="b">
        <v>0</v>
      </c>
      <c r="S43" t="s">
        <v>1032</v>
      </c>
      <c r="T43" t="s">
        <v>992</v>
      </c>
      <c r="U43" t="s">
        <v>1140</v>
      </c>
      <c r="V43" t="s">
        <v>995</v>
      </c>
      <c r="W43" t="s">
        <v>1034</v>
      </c>
      <c r="X43" t="s">
        <v>1174</v>
      </c>
    </row>
    <row r="44" spans="1:24" x14ac:dyDescent="0.25">
      <c r="A44" t="s">
        <v>42</v>
      </c>
      <c r="B44" t="s">
        <v>1175</v>
      </c>
      <c r="C44" t="s">
        <v>272</v>
      </c>
      <c r="D44" t="s">
        <v>427</v>
      </c>
      <c r="E44" t="s">
        <v>999</v>
      </c>
      <c r="F44">
        <v>-7457</v>
      </c>
      <c r="G44" t="s">
        <v>1023</v>
      </c>
      <c r="H44" t="s">
        <v>1176</v>
      </c>
      <c r="I44" t="s">
        <v>1173</v>
      </c>
      <c r="J44" t="s">
        <v>993</v>
      </c>
      <c r="K44" t="s">
        <v>1038</v>
      </c>
      <c r="L44" t="s">
        <v>1039</v>
      </c>
      <c r="M44" t="s">
        <v>1028</v>
      </c>
      <c r="N44" t="s">
        <v>1040</v>
      </c>
      <c r="O44" t="s">
        <v>1041</v>
      </c>
      <c r="P44" t="s">
        <v>1042</v>
      </c>
      <c r="Q44" t="b">
        <v>1</v>
      </c>
      <c r="R44" t="b">
        <v>0</v>
      </c>
      <c r="S44" t="s">
        <v>1032</v>
      </c>
      <c r="T44" t="s">
        <v>992</v>
      </c>
      <c r="U44" t="s">
        <v>1140</v>
      </c>
      <c r="V44" t="s">
        <v>995</v>
      </c>
      <c r="W44" t="s">
        <v>1034</v>
      </c>
      <c r="X44" t="s">
        <v>1174</v>
      </c>
    </row>
    <row r="45" spans="1:24" x14ac:dyDescent="0.25">
      <c r="A45" t="s">
        <v>42</v>
      </c>
      <c r="B45" t="s">
        <v>1177</v>
      </c>
      <c r="C45" t="s">
        <v>272</v>
      </c>
      <c r="D45" t="s">
        <v>427</v>
      </c>
      <c r="E45" t="s">
        <v>1001</v>
      </c>
      <c r="F45">
        <v>-7442</v>
      </c>
      <c r="G45" t="s">
        <v>1023</v>
      </c>
      <c r="H45" t="s">
        <v>1178</v>
      </c>
      <c r="I45" t="s">
        <v>1173</v>
      </c>
      <c r="J45" t="s">
        <v>993</v>
      </c>
      <c r="K45" t="s">
        <v>1045</v>
      </c>
      <c r="L45" t="s">
        <v>1046</v>
      </c>
      <c r="M45" t="s">
        <v>1028</v>
      </c>
      <c r="N45" t="s">
        <v>1047</v>
      </c>
      <c r="O45" t="s">
        <v>1048</v>
      </c>
      <c r="P45" t="s">
        <v>1049</v>
      </c>
      <c r="Q45" t="b">
        <v>1</v>
      </c>
      <c r="R45" t="b">
        <v>0</v>
      </c>
      <c r="S45" t="s">
        <v>1032</v>
      </c>
      <c r="T45" t="s">
        <v>992</v>
      </c>
      <c r="U45" t="s">
        <v>1140</v>
      </c>
      <c r="V45" t="s">
        <v>995</v>
      </c>
      <c r="W45" t="s">
        <v>1034</v>
      </c>
      <c r="X45" t="s">
        <v>1174</v>
      </c>
    </row>
    <row r="46" spans="1:24" x14ac:dyDescent="0.25">
      <c r="A46" t="s">
        <v>42</v>
      </c>
      <c r="B46" t="s">
        <v>1179</v>
      </c>
      <c r="C46" t="s">
        <v>272</v>
      </c>
      <c r="D46" t="s">
        <v>427</v>
      </c>
      <c r="E46" t="s">
        <v>1003</v>
      </c>
      <c r="F46">
        <v>-7307</v>
      </c>
      <c r="G46" t="s">
        <v>1023</v>
      </c>
      <c r="H46" t="s">
        <v>1180</v>
      </c>
      <c r="I46" t="s">
        <v>1181</v>
      </c>
      <c r="J46" t="s">
        <v>993</v>
      </c>
      <c r="K46" t="s">
        <v>1054</v>
      </c>
      <c r="L46" t="s">
        <v>1055</v>
      </c>
      <c r="M46" t="s">
        <v>1056</v>
      </c>
      <c r="N46" t="s">
        <v>1057</v>
      </c>
      <c r="O46" t="s">
        <v>1030</v>
      </c>
      <c r="P46" t="s">
        <v>1058</v>
      </c>
      <c r="Q46" t="b">
        <v>1</v>
      </c>
      <c r="R46" t="b">
        <v>0</v>
      </c>
      <c r="S46" t="s">
        <v>1032</v>
      </c>
      <c r="T46" t="s">
        <v>992</v>
      </c>
      <c r="U46" t="s">
        <v>1140</v>
      </c>
      <c r="V46" t="s">
        <v>1061</v>
      </c>
      <c r="W46" t="s">
        <v>1034</v>
      </c>
      <c r="X46" t="s">
        <v>1182</v>
      </c>
    </row>
    <row r="47" spans="1:24" x14ac:dyDescent="0.25">
      <c r="A47" t="s">
        <v>42</v>
      </c>
      <c r="B47" t="s">
        <v>1183</v>
      </c>
      <c r="C47" t="s">
        <v>272</v>
      </c>
      <c r="D47" t="s">
        <v>427</v>
      </c>
      <c r="E47" t="s">
        <v>1005</v>
      </c>
      <c r="F47">
        <v>-7696</v>
      </c>
      <c r="G47" t="s">
        <v>1023</v>
      </c>
      <c r="H47" t="s">
        <v>1184</v>
      </c>
      <c r="I47" t="s">
        <v>1173</v>
      </c>
      <c r="J47" t="s">
        <v>993</v>
      </c>
      <c r="K47" t="s">
        <v>1065</v>
      </c>
      <c r="L47" t="s">
        <v>1066</v>
      </c>
      <c r="M47" t="s">
        <v>1028</v>
      </c>
      <c r="N47" t="s">
        <v>1067</v>
      </c>
      <c r="O47" t="s">
        <v>1068</v>
      </c>
      <c r="P47" t="s">
        <v>1069</v>
      </c>
      <c r="Q47" t="b">
        <v>1</v>
      </c>
      <c r="R47" t="b">
        <v>0</v>
      </c>
      <c r="S47" t="s">
        <v>1032</v>
      </c>
      <c r="T47" t="s">
        <v>992</v>
      </c>
      <c r="U47" t="s">
        <v>1140</v>
      </c>
      <c r="V47" t="s">
        <v>995</v>
      </c>
      <c r="W47" t="s">
        <v>1034</v>
      </c>
      <c r="X47" t="s">
        <v>1174</v>
      </c>
    </row>
    <row r="48" spans="1:24" x14ac:dyDescent="0.25">
      <c r="A48" t="s">
        <v>42</v>
      </c>
      <c r="B48" t="s">
        <v>1185</v>
      </c>
      <c r="C48" t="s">
        <v>272</v>
      </c>
      <c r="D48" t="s">
        <v>427</v>
      </c>
      <c r="E48" t="s">
        <v>1007</v>
      </c>
      <c r="F48">
        <v>-7903</v>
      </c>
      <c r="G48" t="s">
        <v>1023</v>
      </c>
      <c r="H48" t="s">
        <v>1186</v>
      </c>
      <c r="I48" t="s">
        <v>1173</v>
      </c>
      <c r="J48" t="s">
        <v>993</v>
      </c>
      <c r="K48" t="s">
        <v>1072</v>
      </c>
      <c r="L48" t="s">
        <v>1073</v>
      </c>
      <c r="M48" t="s">
        <v>1028</v>
      </c>
      <c r="N48" t="s">
        <v>1074</v>
      </c>
      <c r="O48" t="s">
        <v>1075</v>
      </c>
      <c r="P48" t="s">
        <v>1076</v>
      </c>
      <c r="Q48" t="b">
        <v>1</v>
      </c>
      <c r="R48" t="b">
        <v>0</v>
      </c>
      <c r="S48" t="s">
        <v>1032</v>
      </c>
      <c r="T48" t="s">
        <v>992</v>
      </c>
      <c r="U48" t="s">
        <v>1140</v>
      </c>
      <c r="V48" t="s">
        <v>995</v>
      </c>
      <c r="W48" t="s">
        <v>1034</v>
      </c>
      <c r="X48" t="s">
        <v>1174</v>
      </c>
    </row>
    <row r="49" spans="1:24" x14ac:dyDescent="0.25">
      <c r="A49" t="s">
        <v>42</v>
      </c>
      <c r="B49" t="s">
        <v>1187</v>
      </c>
      <c r="C49" t="s">
        <v>272</v>
      </c>
      <c r="D49" t="s">
        <v>427</v>
      </c>
      <c r="E49" t="s">
        <v>1009</v>
      </c>
      <c r="F49">
        <v>-8006</v>
      </c>
      <c r="G49" t="s">
        <v>1023</v>
      </c>
      <c r="H49" t="s">
        <v>1188</v>
      </c>
      <c r="I49" t="s">
        <v>1173</v>
      </c>
      <c r="J49" t="s">
        <v>993</v>
      </c>
      <c r="K49" t="s">
        <v>1079</v>
      </c>
      <c r="L49" t="s">
        <v>1080</v>
      </c>
      <c r="M49" t="s">
        <v>1028</v>
      </c>
      <c r="N49" t="s">
        <v>1081</v>
      </c>
      <c r="O49" t="s">
        <v>1082</v>
      </c>
      <c r="P49" t="s">
        <v>1083</v>
      </c>
      <c r="Q49" t="b">
        <v>1</v>
      </c>
      <c r="R49" t="b">
        <v>0</v>
      </c>
      <c r="S49" t="s">
        <v>1032</v>
      </c>
      <c r="T49" t="s">
        <v>992</v>
      </c>
      <c r="U49" t="s">
        <v>1140</v>
      </c>
      <c r="V49" t="s">
        <v>995</v>
      </c>
      <c r="W49" t="s">
        <v>1034</v>
      </c>
      <c r="X49" t="s">
        <v>1174</v>
      </c>
    </row>
    <row r="50" spans="1:24" x14ac:dyDescent="0.25">
      <c r="A50" t="s">
        <v>42</v>
      </c>
      <c r="B50" t="s">
        <v>1189</v>
      </c>
      <c r="C50" t="s">
        <v>272</v>
      </c>
      <c r="D50" t="s">
        <v>427</v>
      </c>
      <c r="E50" t="s">
        <v>1011</v>
      </c>
      <c r="F50">
        <v>-7765</v>
      </c>
      <c r="G50" t="s">
        <v>1023</v>
      </c>
      <c r="H50" t="s">
        <v>1190</v>
      </c>
      <c r="I50" t="s">
        <v>1181</v>
      </c>
      <c r="J50" t="s">
        <v>993</v>
      </c>
      <c r="K50" t="s">
        <v>1087</v>
      </c>
      <c r="L50" t="s">
        <v>1088</v>
      </c>
      <c r="M50" t="s">
        <v>1056</v>
      </c>
      <c r="N50" t="s">
        <v>1089</v>
      </c>
      <c r="O50" t="s">
        <v>1068</v>
      </c>
      <c r="P50" t="s">
        <v>1090</v>
      </c>
      <c r="Q50" t="b">
        <v>1</v>
      </c>
      <c r="R50" t="b">
        <v>0</v>
      </c>
      <c r="S50" t="s">
        <v>1032</v>
      </c>
      <c r="T50" t="s">
        <v>992</v>
      </c>
      <c r="U50" t="s">
        <v>1140</v>
      </c>
      <c r="V50" t="s">
        <v>1061</v>
      </c>
      <c r="W50" t="s">
        <v>1034</v>
      </c>
      <c r="X50" t="s">
        <v>1191</v>
      </c>
    </row>
    <row r="51" spans="1:24" x14ac:dyDescent="0.25">
      <c r="A51" t="s">
        <v>42</v>
      </c>
      <c r="B51" t="s">
        <v>1192</v>
      </c>
      <c r="C51" t="s">
        <v>272</v>
      </c>
      <c r="D51" t="s">
        <v>427</v>
      </c>
      <c r="E51" t="s">
        <v>1013</v>
      </c>
      <c r="F51">
        <v>-8268</v>
      </c>
      <c r="G51" t="s">
        <v>1023</v>
      </c>
      <c r="H51" t="s">
        <v>1193</v>
      </c>
      <c r="I51" t="s">
        <v>1173</v>
      </c>
      <c r="J51" t="s">
        <v>993</v>
      </c>
      <c r="K51" t="s">
        <v>1094</v>
      </c>
      <c r="L51" t="s">
        <v>1095</v>
      </c>
      <c r="M51" t="s">
        <v>1028</v>
      </c>
      <c r="N51" t="s">
        <v>1096</v>
      </c>
      <c r="O51" t="s">
        <v>1097</v>
      </c>
      <c r="P51" t="s">
        <v>1098</v>
      </c>
      <c r="Q51" t="b">
        <v>1</v>
      </c>
      <c r="R51" t="b">
        <v>0</v>
      </c>
      <c r="S51" t="s">
        <v>1032</v>
      </c>
      <c r="T51" t="s">
        <v>992</v>
      </c>
      <c r="U51" t="s">
        <v>1140</v>
      </c>
      <c r="V51" t="s">
        <v>995</v>
      </c>
      <c r="W51" t="s">
        <v>1034</v>
      </c>
      <c r="X51" t="s">
        <v>1174</v>
      </c>
    </row>
    <row r="52" spans="1:24" x14ac:dyDescent="0.25">
      <c r="A52" t="s">
        <v>42</v>
      </c>
      <c r="B52" t="s">
        <v>1194</v>
      </c>
      <c r="C52" t="s">
        <v>272</v>
      </c>
      <c r="D52" t="s">
        <v>427</v>
      </c>
      <c r="E52" t="s">
        <v>1015</v>
      </c>
      <c r="F52">
        <v>-8550</v>
      </c>
      <c r="G52" t="s">
        <v>1023</v>
      </c>
      <c r="H52" t="s">
        <v>1195</v>
      </c>
      <c r="I52" t="s">
        <v>1173</v>
      </c>
      <c r="J52" t="s">
        <v>993</v>
      </c>
      <c r="K52" t="s">
        <v>1103</v>
      </c>
      <c r="L52" t="s">
        <v>1104</v>
      </c>
      <c r="M52" t="s">
        <v>1028</v>
      </c>
      <c r="N52" t="s">
        <v>1105</v>
      </c>
      <c r="O52" t="s">
        <v>1106</v>
      </c>
      <c r="P52" t="s">
        <v>1107</v>
      </c>
      <c r="Q52" t="b">
        <v>1</v>
      </c>
      <c r="R52" t="b">
        <v>0</v>
      </c>
      <c r="S52" t="s">
        <v>1032</v>
      </c>
      <c r="T52" t="s">
        <v>992</v>
      </c>
      <c r="U52" t="s">
        <v>1140</v>
      </c>
      <c r="V52" t="s">
        <v>995</v>
      </c>
      <c r="W52" t="s">
        <v>1034</v>
      </c>
      <c r="X52" t="s">
        <v>1174</v>
      </c>
    </row>
    <row r="53" spans="1:24" x14ac:dyDescent="0.25">
      <c r="A53" t="s">
        <v>42</v>
      </c>
      <c r="B53" t="s">
        <v>1196</v>
      </c>
      <c r="C53" t="s">
        <v>272</v>
      </c>
      <c r="D53" t="s">
        <v>427</v>
      </c>
      <c r="E53" t="s">
        <v>1017</v>
      </c>
      <c r="F53">
        <v>-8866</v>
      </c>
      <c r="G53" t="s">
        <v>1023</v>
      </c>
      <c r="H53" t="s">
        <v>1197</v>
      </c>
      <c r="I53" t="s">
        <v>1173</v>
      </c>
      <c r="J53" t="s">
        <v>993</v>
      </c>
      <c r="K53" t="s">
        <v>1110</v>
      </c>
      <c r="L53" t="s">
        <v>1111</v>
      </c>
      <c r="M53" t="s">
        <v>1028</v>
      </c>
      <c r="N53" t="s">
        <v>1112</v>
      </c>
      <c r="O53" t="s">
        <v>1113</v>
      </c>
      <c r="P53" t="s">
        <v>1114</v>
      </c>
      <c r="Q53" t="b">
        <v>1</v>
      </c>
      <c r="R53" t="b">
        <v>0</v>
      </c>
      <c r="S53" t="s">
        <v>1032</v>
      </c>
      <c r="T53" t="s">
        <v>992</v>
      </c>
      <c r="U53" t="s">
        <v>1140</v>
      </c>
      <c r="V53" t="s">
        <v>995</v>
      </c>
      <c r="W53" t="s">
        <v>1034</v>
      </c>
      <c r="X53" t="s">
        <v>1174</v>
      </c>
    </row>
    <row r="54" spans="1:24" x14ac:dyDescent="0.25">
      <c r="A54" t="s">
        <v>42</v>
      </c>
      <c r="B54" t="s">
        <v>1198</v>
      </c>
      <c r="C54" t="s">
        <v>272</v>
      </c>
      <c r="D54" t="s">
        <v>427</v>
      </c>
      <c r="E54" t="s">
        <v>1019</v>
      </c>
      <c r="F54">
        <v>-8866</v>
      </c>
      <c r="G54" t="s">
        <v>1023</v>
      </c>
      <c r="H54" t="s">
        <v>1197</v>
      </c>
      <c r="I54" t="s">
        <v>1181</v>
      </c>
      <c r="J54" t="s">
        <v>993</v>
      </c>
      <c r="K54" t="s">
        <v>1117</v>
      </c>
      <c r="L54" t="s">
        <v>1118</v>
      </c>
      <c r="M54" t="s">
        <v>1056</v>
      </c>
      <c r="N54" t="s">
        <v>1119</v>
      </c>
      <c r="O54" t="s">
        <v>1097</v>
      </c>
      <c r="P54" t="s">
        <v>1120</v>
      </c>
      <c r="Q54" t="b">
        <v>1</v>
      </c>
      <c r="R54" t="b">
        <v>0</v>
      </c>
      <c r="S54" t="s">
        <v>1032</v>
      </c>
      <c r="T54" t="s">
        <v>992</v>
      </c>
      <c r="U54" t="s">
        <v>1140</v>
      </c>
      <c r="V54" t="s">
        <v>1061</v>
      </c>
      <c r="W54" t="s">
        <v>1034</v>
      </c>
      <c r="X54" t="s">
        <v>1199</v>
      </c>
    </row>
    <row r="55" spans="1:24" x14ac:dyDescent="0.25">
      <c r="A55" t="s">
        <v>42</v>
      </c>
      <c r="B55" t="s">
        <v>1200</v>
      </c>
      <c r="C55" t="s">
        <v>272</v>
      </c>
      <c r="D55" t="s">
        <v>427</v>
      </c>
      <c r="E55" t="s">
        <v>1021</v>
      </c>
      <c r="F55">
        <v>-10887</v>
      </c>
      <c r="G55" t="s">
        <v>1023</v>
      </c>
      <c r="H55" t="s">
        <v>1201</v>
      </c>
      <c r="I55" t="s">
        <v>1173</v>
      </c>
      <c r="J55" t="s">
        <v>993</v>
      </c>
      <c r="K55" t="s">
        <v>1124</v>
      </c>
      <c r="L55" t="s">
        <v>1125</v>
      </c>
      <c r="M55" t="s">
        <v>1028</v>
      </c>
      <c r="N55" t="s">
        <v>1126</v>
      </c>
      <c r="O55" t="s">
        <v>1127</v>
      </c>
      <c r="P55" t="s">
        <v>1128</v>
      </c>
      <c r="Q55" t="b">
        <v>1</v>
      </c>
      <c r="R55" t="b">
        <v>0</v>
      </c>
      <c r="S55" t="s">
        <v>1032</v>
      </c>
      <c r="T55" t="s">
        <v>992</v>
      </c>
      <c r="U55" t="s">
        <v>1140</v>
      </c>
      <c r="V55" t="s">
        <v>995</v>
      </c>
      <c r="W55" t="s">
        <v>1034</v>
      </c>
      <c r="X55" t="s">
        <v>1174</v>
      </c>
    </row>
    <row r="56" spans="1:24" x14ac:dyDescent="0.25">
      <c r="A56" t="s">
        <v>42</v>
      </c>
      <c r="B56" t="s">
        <v>1202</v>
      </c>
      <c r="C56" t="s">
        <v>272</v>
      </c>
      <c r="D56" t="s">
        <v>427</v>
      </c>
      <c r="E56" t="s">
        <v>1130</v>
      </c>
      <c r="F56">
        <v>-11419</v>
      </c>
      <c r="G56" t="s">
        <v>1023</v>
      </c>
      <c r="H56" t="s">
        <v>1203</v>
      </c>
      <c r="I56" t="s">
        <v>1173</v>
      </c>
      <c r="J56" t="s">
        <v>993</v>
      </c>
      <c r="K56" t="s">
        <v>1132</v>
      </c>
      <c r="L56" t="s">
        <v>1133</v>
      </c>
      <c r="M56" t="s">
        <v>1028</v>
      </c>
      <c r="N56" t="s">
        <v>1134</v>
      </c>
      <c r="O56" t="s">
        <v>1135</v>
      </c>
      <c r="P56" t="s">
        <v>1136</v>
      </c>
      <c r="Q56" t="b">
        <v>1</v>
      </c>
      <c r="R56" t="b">
        <v>0</v>
      </c>
      <c r="S56" t="s">
        <v>1032</v>
      </c>
      <c r="T56" t="s">
        <v>992</v>
      </c>
      <c r="U56" t="s">
        <v>1140</v>
      </c>
      <c r="V56" t="s">
        <v>995</v>
      </c>
      <c r="W56" t="s">
        <v>1034</v>
      </c>
      <c r="X56" t="s">
        <v>1174</v>
      </c>
    </row>
    <row r="57" spans="1:24" x14ac:dyDescent="0.25">
      <c r="A57" t="s">
        <v>42</v>
      </c>
      <c r="B57" t="s">
        <v>1204</v>
      </c>
      <c r="C57" t="s">
        <v>273</v>
      </c>
      <c r="D57" t="s">
        <v>427</v>
      </c>
      <c r="E57" t="s">
        <v>990</v>
      </c>
      <c r="F57">
        <v>0</v>
      </c>
      <c r="G57" t="s">
        <v>1085</v>
      </c>
      <c r="H57" t="s">
        <v>1205</v>
      </c>
      <c r="I57" t="s">
        <v>1206</v>
      </c>
      <c r="J57" t="s">
        <v>993</v>
      </c>
      <c r="K57" t="s">
        <v>992</v>
      </c>
      <c r="L57" t="s">
        <v>992</v>
      </c>
      <c r="M57" t="s">
        <v>992</v>
      </c>
      <c r="N57" t="s">
        <v>992</v>
      </c>
      <c r="O57" t="s">
        <v>992</v>
      </c>
      <c r="P57" t="s">
        <v>992</v>
      </c>
      <c r="Q57" t="b">
        <v>1</v>
      </c>
      <c r="R57" t="b">
        <v>0</v>
      </c>
      <c r="S57" t="s">
        <v>1032</v>
      </c>
      <c r="T57" t="s">
        <v>992</v>
      </c>
      <c r="U57" t="s">
        <v>1140</v>
      </c>
      <c r="V57" t="s">
        <v>1061</v>
      </c>
      <c r="W57" t="s">
        <v>1207</v>
      </c>
      <c r="X57" t="s">
        <v>1208</v>
      </c>
    </row>
    <row r="58" spans="1:24" x14ac:dyDescent="0.25">
      <c r="A58" t="s">
        <v>42</v>
      </c>
      <c r="B58" t="s">
        <v>1209</v>
      </c>
      <c r="C58" t="s">
        <v>273</v>
      </c>
      <c r="D58" t="s">
        <v>427</v>
      </c>
      <c r="E58" t="s">
        <v>999</v>
      </c>
      <c r="F58">
        <v>0</v>
      </c>
      <c r="G58" t="s">
        <v>1085</v>
      </c>
      <c r="H58" t="s">
        <v>1205</v>
      </c>
      <c r="I58" t="s">
        <v>1206</v>
      </c>
      <c r="J58" t="s">
        <v>993</v>
      </c>
      <c r="K58" t="s">
        <v>992</v>
      </c>
      <c r="L58" t="s">
        <v>992</v>
      </c>
      <c r="M58" t="s">
        <v>992</v>
      </c>
      <c r="N58" t="s">
        <v>992</v>
      </c>
      <c r="O58" t="s">
        <v>992</v>
      </c>
      <c r="P58" t="s">
        <v>992</v>
      </c>
      <c r="Q58" t="b">
        <v>1</v>
      </c>
      <c r="R58" t="b">
        <v>0</v>
      </c>
      <c r="S58" t="s">
        <v>1032</v>
      </c>
      <c r="T58" t="s">
        <v>992</v>
      </c>
      <c r="U58" t="s">
        <v>1140</v>
      </c>
      <c r="V58" t="s">
        <v>1061</v>
      </c>
      <c r="W58" t="s">
        <v>1207</v>
      </c>
      <c r="X58" t="s">
        <v>1210</v>
      </c>
    </row>
    <row r="59" spans="1:24" x14ac:dyDescent="0.25">
      <c r="A59" t="s">
        <v>42</v>
      </c>
      <c r="B59" t="s">
        <v>1211</v>
      </c>
      <c r="C59" t="s">
        <v>273</v>
      </c>
      <c r="D59" t="s">
        <v>427</v>
      </c>
      <c r="E59" t="s">
        <v>1001</v>
      </c>
      <c r="F59">
        <v>0</v>
      </c>
      <c r="G59" t="s">
        <v>1085</v>
      </c>
      <c r="H59" t="s">
        <v>1205</v>
      </c>
      <c r="I59" t="s">
        <v>1206</v>
      </c>
      <c r="J59" t="s">
        <v>993</v>
      </c>
      <c r="K59" t="s">
        <v>992</v>
      </c>
      <c r="L59" t="s">
        <v>992</v>
      </c>
      <c r="M59" t="s">
        <v>992</v>
      </c>
      <c r="N59" t="s">
        <v>992</v>
      </c>
      <c r="O59" t="s">
        <v>992</v>
      </c>
      <c r="P59" t="s">
        <v>992</v>
      </c>
      <c r="Q59" t="b">
        <v>1</v>
      </c>
      <c r="R59" t="b">
        <v>0</v>
      </c>
      <c r="S59" t="s">
        <v>1032</v>
      </c>
      <c r="T59" t="s">
        <v>992</v>
      </c>
      <c r="U59" t="s">
        <v>1140</v>
      </c>
      <c r="V59" t="s">
        <v>1061</v>
      </c>
      <c r="W59" t="s">
        <v>1207</v>
      </c>
      <c r="X59" t="s">
        <v>1212</v>
      </c>
    </row>
    <row r="60" spans="1:24" x14ac:dyDescent="0.25">
      <c r="A60" t="s">
        <v>42</v>
      </c>
      <c r="B60" t="s">
        <v>1213</v>
      </c>
      <c r="C60" t="s">
        <v>273</v>
      </c>
      <c r="D60" t="s">
        <v>427</v>
      </c>
      <c r="E60" t="s">
        <v>1003</v>
      </c>
      <c r="F60">
        <v>0</v>
      </c>
      <c r="G60" t="s">
        <v>1051</v>
      </c>
      <c r="H60" t="s">
        <v>1205</v>
      </c>
      <c r="I60" t="s">
        <v>1206</v>
      </c>
      <c r="J60" t="s">
        <v>993</v>
      </c>
      <c r="K60" t="s">
        <v>992</v>
      </c>
      <c r="L60" t="s">
        <v>992</v>
      </c>
      <c r="M60" t="s">
        <v>992</v>
      </c>
      <c r="N60" t="s">
        <v>992</v>
      </c>
      <c r="O60" t="s">
        <v>992</v>
      </c>
      <c r="P60" t="s">
        <v>992</v>
      </c>
      <c r="Q60" t="b">
        <v>1</v>
      </c>
      <c r="R60" t="b">
        <v>0</v>
      </c>
      <c r="S60" t="s">
        <v>1099</v>
      </c>
      <c r="T60" t="s">
        <v>992</v>
      </c>
      <c r="U60" t="s">
        <v>1060</v>
      </c>
      <c r="V60" t="s">
        <v>1061</v>
      </c>
      <c r="W60" t="s">
        <v>1207</v>
      </c>
      <c r="X60" t="s">
        <v>1214</v>
      </c>
    </row>
    <row r="61" spans="1:24" x14ac:dyDescent="0.25">
      <c r="A61" t="s">
        <v>42</v>
      </c>
      <c r="B61" t="s">
        <v>1215</v>
      </c>
      <c r="C61" t="s">
        <v>273</v>
      </c>
      <c r="D61" t="s">
        <v>427</v>
      </c>
      <c r="E61" t="s">
        <v>1005</v>
      </c>
      <c r="F61">
        <v>0</v>
      </c>
      <c r="G61" t="s">
        <v>1085</v>
      </c>
      <c r="H61" t="s">
        <v>1205</v>
      </c>
      <c r="I61" t="s">
        <v>1206</v>
      </c>
      <c r="J61" t="s">
        <v>993</v>
      </c>
      <c r="K61" t="s">
        <v>992</v>
      </c>
      <c r="L61" t="s">
        <v>992</v>
      </c>
      <c r="M61" t="s">
        <v>992</v>
      </c>
      <c r="N61" t="s">
        <v>992</v>
      </c>
      <c r="O61" t="s">
        <v>992</v>
      </c>
      <c r="P61" t="s">
        <v>992</v>
      </c>
      <c r="Q61" t="b">
        <v>1</v>
      </c>
      <c r="R61" t="b">
        <v>0</v>
      </c>
      <c r="S61" t="s">
        <v>1032</v>
      </c>
      <c r="T61" t="s">
        <v>992</v>
      </c>
      <c r="U61" t="s">
        <v>1140</v>
      </c>
      <c r="V61" t="s">
        <v>1061</v>
      </c>
      <c r="W61" t="s">
        <v>1207</v>
      </c>
      <c r="X61" t="s">
        <v>1216</v>
      </c>
    </row>
    <row r="62" spans="1:24" x14ac:dyDescent="0.25">
      <c r="A62" t="s">
        <v>42</v>
      </c>
      <c r="B62" t="s">
        <v>1217</v>
      </c>
      <c r="C62" t="s">
        <v>273</v>
      </c>
      <c r="D62" t="s">
        <v>427</v>
      </c>
      <c r="E62" t="s">
        <v>1007</v>
      </c>
      <c r="F62">
        <v>0</v>
      </c>
      <c r="G62" t="s">
        <v>1085</v>
      </c>
      <c r="H62" t="s">
        <v>1205</v>
      </c>
      <c r="I62" t="s">
        <v>1206</v>
      </c>
      <c r="J62" t="s">
        <v>993</v>
      </c>
      <c r="K62" t="s">
        <v>992</v>
      </c>
      <c r="L62" t="s">
        <v>992</v>
      </c>
      <c r="M62" t="s">
        <v>992</v>
      </c>
      <c r="N62" t="s">
        <v>992</v>
      </c>
      <c r="O62" t="s">
        <v>992</v>
      </c>
      <c r="P62" t="s">
        <v>992</v>
      </c>
      <c r="Q62" t="b">
        <v>1</v>
      </c>
      <c r="R62" t="b">
        <v>0</v>
      </c>
      <c r="S62" t="s">
        <v>1032</v>
      </c>
      <c r="T62" t="s">
        <v>992</v>
      </c>
      <c r="U62" t="s">
        <v>1140</v>
      </c>
      <c r="V62" t="s">
        <v>1061</v>
      </c>
      <c r="W62" t="s">
        <v>1207</v>
      </c>
      <c r="X62" t="s">
        <v>1218</v>
      </c>
    </row>
    <row r="63" spans="1:24" x14ac:dyDescent="0.25">
      <c r="A63" t="s">
        <v>42</v>
      </c>
      <c r="B63" t="s">
        <v>1219</v>
      </c>
      <c r="C63" t="s">
        <v>273</v>
      </c>
      <c r="D63" t="s">
        <v>427</v>
      </c>
      <c r="E63" t="s">
        <v>1009</v>
      </c>
      <c r="F63">
        <v>0</v>
      </c>
      <c r="G63" t="s">
        <v>1085</v>
      </c>
      <c r="H63" t="s">
        <v>1205</v>
      </c>
      <c r="I63" t="s">
        <v>1206</v>
      </c>
      <c r="J63" t="s">
        <v>993</v>
      </c>
      <c r="K63" t="s">
        <v>992</v>
      </c>
      <c r="L63" t="s">
        <v>992</v>
      </c>
      <c r="M63" t="s">
        <v>992</v>
      </c>
      <c r="N63" t="s">
        <v>992</v>
      </c>
      <c r="O63" t="s">
        <v>992</v>
      </c>
      <c r="P63" t="s">
        <v>992</v>
      </c>
      <c r="Q63" t="b">
        <v>1</v>
      </c>
      <c r="R63" t="b">
        <v>0</v>
      </c>
      <c r="S63" t="s">
        <v>1032</v>
      </c>
      <c r="T63" t="s">
        <v>992</v>
      </c>
      <c r="U63" t="s">
        <v>1140</v>
      </c>
      <c r="V63" t="s">
        <v>1061</v>
      </c>
      <c r="W63" t="s">
        <v>1207</v>
      </c>
      <c r="X63" t="s">
        <v>1220</v>
      </c>
    </row>
    <row r="64" spans="1:24" x14ac:dyDescent="0.25">
      <c r="A64" t="s">
        <v>42</v>
      </c>
      <c r="B64" t="s">
        <v>1221</v>
      </c>
      <c r="C64" t="s">
        <v>273</v>
      </c>
      <c r="D64" t="s">
        <v>427</v>
      </c>
      <c r="E64" t="s">
        <v>1011</v>
      </c>
      <c r="F64">
        <v>0</v>
      </c>
      <c r="G64" t="s">
        <v>1085</v>
      </c>
      <c r="H64" t="s">
        <v>1205</v>
      </c>
      <c r="I64" t="s">
        <v>1206</v>
      </c>
      <c r="J64" t="s">
        <v>993</v>
      </c>
      <c r="K64" t="s">
        <v>992</v>
      </c>
      <c r="L64" t="s">
        <v>992</v>
      </c>
      <c r="M64" t="s">
        <v>992</v>
      </c>
      <c r="N64" t="s">
        <v>992</v>
      </c>
      <c r="O64" t="s">
        <v>992</v>
      </c>
      <c r="P64" t="s">
        <v>992</v>
      </c>
      <c r="Q64" t="b">
        <v>1</v>
      </c>
      <c r="R64" t="b">
        <v>0</v>
      </c>
      <c r="S64" t="s">
        <v>1032</v>
      </c>
      <c r="T64" t="s">
        <v>992</v>
      </c>
      <c r="U64" t="s">
        <v>1140</v>
      </c>
      <c r="V64" t="s">
        <v>1061</v>
      </c>
      <c r="W64" t="s">
        <v>1207</v>
      </c>
      <c r="X64" t="s">
        <v>1222</v>
      </c>
    </row>
    <row r="65" spans="1:24" x14ac:dyDescent="0.25">
      <c r="A65" t="s">
        <v>42</v>
      </c>
      <c r="B65" t="s">
        <v>1223</v>
      </c>
      <c r="C65" t="s">
        <v>273</v>
      </c>
      <c r="D65" t="s">
        <v>427</v>
      </c>
      <c r="E65" t="s">
        <v>1013</v>
      </c>
      <c r="F65">
        <v>0</v>
      </c>
      <c r="G65" t="s">
        <v>1051</v>
      </c>
      <c r="H65" t="s">
        <v>1205</v>
      </c>
      <c r="I65" t="s">
        <v>1206</v>
      </c>
      <c r="J65" t="s">
        <v>993</v>
      </c>
      <c r="K65" t="s">
        <v>992</v>
      </c>
      <c r="L65" t="s">
        <v>992</v>
      </c>
      <c r="M65" t="s">
        <v>992</v>
      </c>
      <c r="N65" t="s">
        <v>992</v>
      </c>
      <c r="O65" t="s">
        <v>992</v>
      </c>
      <c r="P65" t="s">
        <v>992</v>
      </c>
      <c r="Q65" t="b">
        <v>1</v>
      </c>
      <c r="R65" t="b">
        <v>0</v>
      </c>
      <c r="S65" t="s">
        <v>1099</v>
      </c>
      <c r="T65" t="s">
        <v>992</v>
      </c>
      <c r="U65" t="s">
        <v>1060</v>
      </c>
      <c r="V65" t="s">
        <v>1061</v>
      </c>
      <c r="W65" t="s">
        <v>1207</v>
      </c>
      <c r="X65" t="s">
        <v>1214</v>
      </c>
    </row>
    <row r="66" spans="1:24" x14ac:dyDescent="0.25">
      <c r="A66" t="s">
        <v>42</v>
      </c>
      <c r="B66" t="s">
        <v>1224</v>
      </c>
      <c r="C66" t="s">
        <v>273</v>
      </c>
      <c r="D66" t="s">
        <v>427</v>
      </c>
      <c r="E66" t="s">
        <v>1015</v>
      </c>
      <c r="F66">
        <v>0</v>
      </c>
      <c r="G66" t="s">
        <v>1051</v>
      </c>
      <c r="H66" t="s">
        <v>1205</v>
      </c>
      <c r="I66" t="s">
        <v>1206</v>
      </c>
      <c r="J66" t="s">
        <v>993</v>
      </c>
      <c r="K66" t="s">
        <v>992</v>
      </c>
      <c r="L66" t="s">
        <v>992</v>
      </c>
      <c r="M66" t="s">
        <v>992</v>
      </c>
      <c r="N66" t="s">
        <v>992</v>
      </c>
      <c r="O66" t="s">
        <v>992</v>
      </c>
      <c r="P66" t="s">
        <v>992</v>
      </c>
      <c r="Q66" t="b">
        <v>1</v>
      </c>
      <c r="R66" t="b">
        <v>0</v>
      </c>
      <c r="S66" t="s">
        <v>1099</v>
      </c>
      <c r="T66" t="s">
        <v>992</v>
      </c>
      <c r="U66" t="s">
        <v>1060</v>
      </c>
      <c r="V66" t="s">
        <v>1061</v>
      </c>
      <c r="W66" t="s">
        <v>1207</v>
      </c>
      <c r="X66" t="s">
        <v>1214</v>
      </c>
    </row>
    <row r="67" spans="1:24" x14ac:dyDescent="0.25">
      <c r="A67" t="s">
        <v>42</v>
      </c>
      <c r="B67" t="s">
        <v>1225</v>
      </c>
      <c r="C67" t="s">
        <v>273</v>
      </c>
      <c r="D67" t="s">
        <v>427</v>
      </c>
      <c r="E67" t="s">
        <v>1017</v>
      </c>
      <c r="F67">
        <v>0</v>
      </c>
      <c r="G67" t="s">
        <v>1051</v>
      </c>
      <c r="H67" t="s">
        <v>1205</v>
      </c>
      <c r="I67" t="s">
        <v>1206</v>
      </c>
      <c r="J67" t="s">
        <v>993</v>
      </c>
      <c r="K67" t="s">
        <v>992</v>
      </c>
      <c r="L67" t="s">
        <v>992</v>
      </c>
      <c r="M67" t="s">
        <v>992</v>
      </c>
      <c r="N67" t="s">
        <v>992</v>
      </c>
      <c r="O67" t="s">
        <v>992</v>
      </c>
      <c r="P67" t="s">
        <v>992</v>
      </c>
      <c r="Q67" t="b">
        <v>1</v>
      </c>
      <c r="R67" t="b">
        <v>0</v>
      </c>
      <c r="S67" t="s">
        <v>1099</v>
      </c>
      <c r="T67" t="s">
        <v>992</v>
      </c>
      <c r="U67" t="s">
        <v>1060</v>
      </c>
      <c r="V67" t="s">
        <v>1061</v>
      </c>
      <c r="W67" t="s">
        <v>1207</v>
      </c>
      <c r="X67" t="s">
        <v>1214</v>
      </c>
    </row>
    <row r="68" spans="1:24" x14ac:dyDescent="0.25">
      <c r="A68" t="s">
        <v>42</v>
      </c>
      <c r="B68" t="s">
        <v>1226</v>
      </c>
      <c r="C68" t="s">
        <v>273</v>
      </c>
      <c r="D68" t="s">
        <v>427</v>
      </c>
      <c r="E68" t="s">
        <v>1019</v>
      </c>
      <c r="F68">
        <v>0</v>
      </c>
      <c r="G68" t="s">
        <v>1085</v>
      </c>
      <c r="H68" t="s">
        <v>1205</v>
      </c>
      <c r="I68" t="s">
        <v>1206</v>
      </c>
      <c r="J68" t="s">
        <v>993</v>
      </c>
      <c r="K68" t="s">
        <v>992</v>
      </c>
      <c r="L68" t="s">
        <v>992</v>
      </c>
      <c r="M68" t="s">
        <v>992</v>
      </c>
      <c r="N68" t="s">
        <v>992</v>
      </c>
      <c r="O68" t="s">
        <v>992</v>
      </c>
      <c r="P68" t="s">
        <v>992</v>
      </c>
      <c r="Q68" t="b">
        <v>1</v>
      </c>
      <c r="R68" t="b">
        <v>0</v>
      </c>
      <c r="S68" t="s">
        <v>1032</v>
      </c>
      <c r="T68" t="s">
        <v>992</v>
      </c>
      <c r="U68" t="s">
        <v>1140</v>
      </c>
      <c r="V68" t="s">
        <v>1061</v>
      </c>
      <c r="W68" t="s">
        <v>1207</v>
      </c>
      <c r="X68" t="s">
        <v>1227</v>
      </c>
    </row>
    <row r="69" spans="1:24" x14ac:dyDescent="0.25">
      <c r="A69" t="s">
        <v>42</v>
      </c>
      <c r="B69" t="s">
        <v>1228</v>
      </c>
      <c r="C69" t="s">
        <v>273</v>
      </c>
      <c r="D69" t="s">
        <v>427</v>
      </c>
      <c r="E69" t="s">
        <v>1021</v>
      </c>
      <c r="F69">
        <v>0</v>
      </c>
      <c r="G69" t="s">
        <v>1085</v>
      </c>
      <c r="H69" t="s">
        <v>1205</v>
      </c>
      <c r="I69" t="s">
        <v>1206</v>
      </c>
      <c r="J69" t="s">
        <v>993</v>
      </c>
      <c r="K69" t="s">
        <v>992</v>
      </c>
      <c r="L69" t="s">
        <v>992</v>
      </c>
      <c r="M69" t="s">
        <v>992</v>
      </c>
      <c r="N69" t="s">
        <v>992</v>
      </c>
      <c r="O69" t="s">
        <v>992</v>
      </c>
      <c r="P69" t="s">
        <v>992</v>
      </c>
      <c r="Q69" t="b">
        <v>1</v>
      </c>
      <c r="R69" t="b">
        <v>0</v>
      </c>
      <c r="S69" t="s">
        <v>1032</v>
      </c>
      <c r="T69" t="s">
        <v>992</v>
      </c>
      <c r="U69" t="s">
        <v>1140</v>
      </c>
      <c r="V69" t="s">
        <v>1061</v>
      </c>
      <c r="W69" t="s">
        <v>1207</v>
      </c>
      <c r="X69" t="s">
        <v>1229</v>
      </c>
    </row>
    <row r="70" spans="1:24" x14ac:dyDescent="0.25">
      <c r="A70" t="s">
        <v>42</v>
      </c>
      <c r="B70" t="s">
        <v>1230</v>
      </c>
      <c r="C70" t="s">
        <v>273</v>
      </c>
      <c r="D70" t="s">
        <v>427</v>
      </c>
      <c r="E70" t="s">
        <v>1130</v>
      </c>
      <c r="F70">
        <v>0</v>
      </c>
      <c r="G70" t="s">
        <v>1085</v>
      </c>
      <c r="H70" t="s">
        <v>1205</v>
      </c>
      <c r="I70" t="s">
        <v>1206</v>
      </c>
      <c r="J70" t="s">
        <v>993</v>
      </c>
      <c r="K70" t="s">
        <v>992</v>
      </c>
      <c r="L70" t="s">
        <v>992</v>
      </c>
      <c r="M70" t="s">
        <v>992</v>
      </c>
      <c r="N70" t="s">
        <v>992</v>
      </c>
      <c r="O70" t="s">
        <v>992</v>
      </c>
      <c r="P70" t="s">
        <v>992</v>
      </c>
      <c r="Q70" t="b">
        <v>1</v>
      </c>
      <c r="R70" t="b">
        <v>0</v>
      </c>
      <c r="S70" t="s">
        <v>1032</v>
      </c>
      <c r="T70" t="s">
        <v>992</v>
      </c>
      <c r="U70" t="s">
        <v>1140</v>
      </c>
      <c r="V70" t="s">
        <v>1061</v>
      </c>
      <c r="W70" t="s">
        <v>1207</v>
      </c>
      <c r="X70" t="s">
        <v>1231</v>
      </c>
    </row>
    <row r="71" spans="1:24" x14ac:dyDescent="0.25">
      <c r="A71" t="s">
        <v>42</v>
      </c>
      <c r="B71" t="s">
        <v>1232</v>
      </c>
      <c r="C71" t="s">
        <v>274</v>
      </c>
      <c r="D71" t="s">
        <v>427</v>
      </c>
      <c r="E71" t="s">
        <v>990</v>
      </c>
      <c r="F71">
        <v>0</v>
      </c>
      <c r="G71" t="s">
        <v>1085</v>
      </c>
      <c r="H71" t="s">
        <v>1233</v>
      </c>
      <c r="I71" t="s">
        <v>1234</v>
      </c>
      <c r="J71" t="s">
        <v>993</v>
      </c>
      <c r="K71" t="s">
        <v>1026</v>
      </c>
      <c r="L71" t="s">
        <v>1027</v>
      </c>
      <c r="M71" t="s">
        <v>1028</v>
      </c>
      <c r="N71" t="s">
        <v>1029</v>
      </c>
      <c r="O71" t="s">
        <v>1030</v>
      </c>
      <c r="P71" t="s">
        <v>1031</v>
      </c>
      <c r="Q71" t="b">
        <v>1</v>
      </c>
      <c r="R71" t="b">
        <v>0</v>
      </c>
      <c r="S71" t="s">
        <v>1032</v>
      </c>
      <c r="T71" t="s">
        <v>992</v>
      </c>
      <c r="U71" t="s">
        <v>1140</v>
      </c>
      <c r="V71" t="s">
        <v>1061</v>
      </c>
      <c r="W71" t="s">
        <v>1034</v>
      </c>
      <c r="X71" t="s">
        <v>1235</v>
      </c>
    </row>
    <row r="72" spans="1:24" x14ac:dyDescent="0.25">
      <c r="A72" t="s">
        <v>42</v>
      </c>
      <c r="B72" t="s">
        <v>1236</v>
      </c>
      <c r="C72" t="s">
        <v>274</v>
      </c>
      <c r="D72" t="s">
        <v>427</v>
      </c>
      <c r="E72" t="s">
        <v>999</v>
      </c>
      <c r="F72">
        <v>0</v>
      </c>
      <c r="G72" t="s">
        <v>1085</v>
      </c>
      <c r="H72" t="s">
        <v>1237</v>
      </c>
      <c r="I72" t="s">
        <v>1234</v>
      </c>
      <c r="J72" t="s">
        <v>993</v>
      </c>
      <c r="K72" t="s">
        <v>1038</v>
      </c>
      <c r="L72" t="s">
        <v>1039</v>
      </c>
      <c r="M72" t="s">
        <v>1028</v>
      </c>
      <c r="N72" t="s">
        <v>1040</v>
      </c>
      <c r="O72" t="s">
        <v>1041</v>
      </c>
      <c r="P72" t="s">
        <v>1042</v>
      </c>
      <c r="Q72" t="b">
        <v>1</v>
      </c>
      <c r="R72" t="b">
        <v>0</v>
      </c>
      <c r="S72" t="s">
        <v>1032</v>
      </c>
      <c r="T72" t="s">
        <v>992</v>
      </c>
      <c r="U72" t="s">
        <v>1140</v>
      </c>
      <c r="V72" t="s">
        <v>1061</v>
      </c>
      <c r="W72" t="s">
        <v>1034</v>
      </c>
      <c r="X72" t="s">
        <v>1238</v>
      </c>
    </row>
    <row r="73" spans="1:24" x14ac:dyDescent="0.25">
      <c r="A73" t="s">
        <v>42</v>
      </c>
      <c r="B73" t="s">
        <v>1239</v>
      </c>
      <c r="C73" t="s">
        <v>274</v>
      </c>
      <c r="D73" t="s">
        <v>427</v>
      </c>
      <c r="E73" t="s">
        <v>1001</v>
      </c>
      <c r="F73">
        <v>0</v>
      </c>
      <c r="G73" t="s">
        <v>1085</v>
      </c>
      <c r="H73" t="s">
        <v>1240</v>
      </c>
      <c r="I73" t="s">
        <v>1234</v>
      </c>
      <c r="J73" t="s">
        <v>993</v>
      </c>
      <c r="K73" t="s">
        <v>1045</v>
      </c>
      <c r="L73" t="s">
        <v>1046</v>
      </c>
      <c r="M73" t="s">
        <v>1028</v>
      </c>
      <c r="N73" t="s">
        <v>1047</v>
      </c>
      <c r="O73" t="s">
        <v>1048</v>
      </c>
      <c r="P73" t="s">
        <v>1049</v>
      </c>
      <c r="Q73" t="b">
        <v>1</v>
      </c>
      <c r="R73" t="b">
        <v>0</v>
      </c>
      <c r="S73" t="s">
        <v>1032</v>
      </c>
      <c r="T73" t="s">
        <v>992</v>
      </c>
      <c r="U73" t="s">
        <v>1140</v>
      </c>
      <c r="V73" t="s">
        <v>1061</v>
      </c>
      <c r="W73" t="s">
        <v>1034</v>
      </c>
      <c r="X73" t="s">
        <v>1241</v>
      </c>
    </row>
    <row r="74" spans="1:24" x14ac:dyDescent="0.25">
      <c r="A74" t="s">
        <v>42</v>
      </c>
      <c r="B74" t="s">
        <v>1242</v>
      </c>
      <c r="C74" t="s">
        <v>274</v>
      </c>
      <c r="D74" t="s">
        <v>427</v>
      </c>
      <c r="E74" t="s">
        <v>1003</v>
      </c>
      <c r="F74">
        <v>0</v>
      </c>
      <c r="G74" t="s">
        <v>1085</v>
      </c>
      <c r="H74" t="s">
        <v>1243</v>
      </c>
      <c r="I74" t="s">
        <v>1244</v>
      </c>
      <c r="J74" t="s">
        <v>993</v>
      </c>
      <c r="K74" t="s">
        <v>1054</v>
      </c>
      <c r="L74" t="s">
        <v>1055</v>
      </c>
      <c r="M74" t="s">
        <v>1056</v>
      </c>
      <c r="N74" t="s">
        <v>1057</v>
      </c>
      <c r="O74" t="s">
        <v>1030</v>
      </c>
      <c r="P74" t="s">
        <v>1058</v>
      </c>
      <c r="Q74" t="b">
        <v>1</v>
      </c>
      <c r="R74" t="b">
        <v>0</v>
      </c>
      <c r="S74" t="s">
        <v>1032</v>
      </c>
      <c r="T74" t="s">
        <v>992</v>
      </c>
      <c r="U74" t="s">
        <v>1140</v>
      </c>
      <c r="V74" t="s">
        <v>1061</v>
      </c>
      <c r="W74" t="s">
        <v>1034</v>
      </c>
      <c r="X74" t="s">
        <v>1245</v>
      </c>
    </row>
    <row r="75" spans="1:24" x14ac:dyDescent="0.25">
      <c r="A75" t="s">
        <v>42</v>
      </c>
      <c r="B75" t="s">
        <v>1246</v>
      </c>
      <c r="C75" t="s">
        <v>274</v>
      </c>
      <c r="D75" t="s">
        <v>427</v>
      </c>
      <c r="E75" t="s">
        <v>1005</v>
      </c>
      <c r="F75">
        <v>0</v>
      </c>
      <c r="G75" t="s">
        <v>1085</v>
      </c>
      <c r="H75" t="s">
        <v>1247</v>
      </c>
      <c r="I75" t="s">
        <v>1234</v>
      </c>
      <c r="J75" t="s">
        <v>993</v>
      </c>
      <c r="K75" t="s">
        <v>1065</v>
      </c>
      <c r="L75" t="s">
        <v>1066</v>
      </c>
      <c r="M75" t="s">
        <v>1028</v>
      </c>
      <c r="N75" t="s">
        <v>1067</v>
      </c>
      <c r="O75" t="s">
        <v>1068</v>
      </c>
      <c r="P75" t="s">
        <v>1069</v>
      </c>
      <c r="Q75" t="b">
        <v>1</v>
      </c>
      <c r="R75" t="b">
        <v>0</v>
      </c>
      <c r="S75" t="s">
        <v>1032</v>
      </c>
      <c r="T75" t="s">
        <v>992</v>
      </c>
      <c r="U75" t="s">
        <v>1140</v>
      </c>
      <c r="V75" t="s">
        <v>1061</v>
      </c>
      <c r="W75" t="s">
        <v>1034</v>
      </c>
      <c r="X75" t="s">
        <v>1248</v>
      </c>
    </row>
    <row r="76" spans="1:24" x14ac:dyDescent="0.25">
      <c r="A76" t="s">
        <v>42</v>
      </c>
      <c r="B76" t="s">
        <v>1249</v>
      </c>
      <c r="C76" t="s">
        <v>274</v>
      </c>
      <c r="D76" t="s">
        <v>427</v>
      </c>
      <c r="E76" t="s">
        <v>1007</v>
      </c>
      <c r="F76">
        <v>0</v>
      </c>
      <c r="G76" t="s">
        <v>1085</v>
      </c>
      <c r="H76" t="s">
        <v>1250</v>
      </c>
      <c r="I76" t="s">
        <v>1234</v>
      </c>
      <c r="J76" t="s">
        <v>993</v>
      </c>
      <c r="K76" t="s">
        <v>1072</v>
      </c>
      <c r="L76" t="s">
        <v>1073</v>
      </c>
      <c r="M76" t="s">
        <v>1028</v>
      </c>
      <c r="N76" t="s">
        <v>1074</v>
      </c>
      <c r="O76" t="s">
        <v>1075</v>
      </c>
      <c r="P76" t="s">
        <v>1076</v>
      </c>
      <c r="Q76" t="b">
        <v>1</v>
      </c>
      <c r="R76" t="b">
        <v>0</v>
      </c>
      <c r="S76" t="s">
        <v>1032</v>
      </c>
      <c r="T76" t="s">
        <v>992</v>
      </c>
      <c r="U76" t="s">
        <v>1140</v>
      </c>
      <c r="V76" t="s">
        <v>1061</v>
      </c>
      <c r="W76" t="s">
        <v>1034</v>
      </c>
      <c r="X76" t="s">
        <v>1251</v>
      </c>
    </row>
    <row r="77" spans="1:24" x14ac:dyDescent="0.25">
      <c r="A77" t="s">
        <v>42</v>
      </c>
      <c r="B77" t="s">
        <v>1252</v>
      </c>
      <c r="C77" t="s">
        <v>274</v>
      </c>
      <c r="D77" t="s">
        <v>427</v>
      </c>
      <c r="E77" t="s">
        <v>1009</v>
      </c>
      <c r="F77">
        <v>0</v>
      </c>
      <c r="G77" t="s">
        <v>1085</v>
      </c>
      <c r="H77" t="s">
        <v>1253</v>
      </c>
      <c r="I77" t="s">
        <v>1234</v>
      </c>
      <c r="J77" t="s">
        <v>993</v>
      </c>
      <c r="K77" t="s">
        <v>1079</v>
      </c>
      <c r="L77" t="s">
        <v>1080</v>
      </c>
      <c r="M77" t="s">
        <v>1028</v>
      </c>
      <c r="N77" t="s">
        <v>1081</v>
      </c>
      <c r="O77" t="s">
        <v>1082</v>
      </c>
      <c r="P77" t="s">
        <v>1083</v>
      </c>
      <c r="Q77" t="b">
        <v>1</v>
      </c>
      <c r="R77" t="b">
        <v>0</v>
      </c>
      <c r="S77" t="s">
        <v>1032</v>
      </c>
      <c r="T77" t="s">
        <v>992</v>
      </c>
      <c r="U77" t="s">
        <v>1140</v>
      </c>
      <c r="V77" t="s">
        <v>1061</v>
      </c>
      <c r="W77" t="s">
        <v>1034</v>
      </c>
      <c r="X77" t="s">
        <v>1254</v>
      </c>
    </row>
    <row r="78" spans="1:24" x14ac:dyDescent="0.25">
      <c r="A78" t="s">
        <v>42</v>
      </c>
      <c r="B78" t="s">
        <v>1255</v>
      </c>
      <c r="C78" t="s">
        <v>274</v>
      </c>
      <c r="D78" t="s">
        <v>427</v>
      </c>
      <c r="E78" t="s">
        <v>1011</v>
      </c>
      <c r="F78">
        <v>0</v>
      </c>
      <c r="G78" t="s">
        <v>1085</v>
      </c>
      <c r="H78" t="s">
        <v>1256</v>
      </c>
      <c r="I78" t="s">
        <v>1244</v>
      </c>
      <c r="J78" t="s">
        <v>993</v>
      </c>
      <c r="K78" t="s">
        <v>1087</v>
      </c>
      <c r="L78" t="s">
        <v>1088</v>
      </c>
      <c r="M78" t="s">
        <v>1056</v>
      </c>
      <c r="N78" t="s">
        <v>1089</v>
      </c>
      <c r="O78" t="s">
        <v>1068</v>
      </c>
      <c r="P78" t="s">
        <v>1090</v>
      </c>
      <c r="Q78" t="b">
        <v>1</v>
      </c>
      <c r="R78" t="b">
        <v>0</v>
      </c>
      <c r="S78" t="s">
        <v>1032</v>
      </c>
      <c r="T78" t="s">
        <v>992</v>
      </c>
      <c r="U78" t="s">
        <v>1140</v>
      </c>
      <c r="V78" t="s">
        <v>1061</v>
      </c>
      <c r="W78" t="s">
        <v>1034</v>
      </c>
      <c r="X78" t="s">
        <v>1257</v>
      </c>
    </row>
    <row r="79" spans="1:24" x14ac:dyDescent="0.25">
      <c r="A79" t="s">
        <v>42</v>
      </c>
      <c r="B79" t="s">
        <v>1258</v>
      </c>
      <c r="C79" t="s">
        <v>274</v>
      </c>
      <c r="D79" t="s">
        <v>427</v>
      </c>
      <c r="E79" t="s">
        <v>1013</v>
      </c>
      <c r="F79">
        <v>0</v>
      </c>
      <c r="G79" t="s">
        <v>1085</v>
      </c>
      <c r="H79" t="s">
        <v>1259</v>
      </c>
      <c r="I79" t="s">
        <v>1234</v>
      </c>
      <c r="J79" t="s">
        <v>993</v>
      </c>
      <c r="K79" t="s">
        <v>1094</v>
      </c>
      <c r="L79" t="s">
        <v>1095</v>
      </c>
      <c r="M79" t="s">
        <v>1028</v>
      </c>
      <c r="N79" t="s">
        <v>1096</v>
      </c>
      <c r="O79" t="s">
        <v>1097</v>
      </c>
      <c r="P79" t="s">
        <v>1098</v>
      </c>
      <c r="Q79" t="b">
        <v>1</v>
      </c>
      <c r="R79" t="b">
        <v>0</v>
      </c>
      <c r="S79" t="s">
        <v>1032</v>
      </c>
      <c r="T79" t="s">
        <v>992</v>
      </c>
      <c r="U79" t="s">
        <v>1140</v>
      </c>
      <c r="V79" t="s">
        <v>1061</v>
      </c>
      <c r="W79" t="s">
        <v>1034</v>
      </c>
      <c r="X79" t="s">
        <v>1260</v>
      </c>
    </row>
    <row r="80" spans="1:24" x14ac:dyDescent="0.25">
      <c r="A80" t="s">
        <v>42</v>
      </c>
      <c r="B80" t="s">
        <v>1261</v>
      </c>
      <c r="C80" t="s">
        <v>274</v>
      </c>
      <c r="D80" t="s">
        <v>427</v>
      </c>
      <c r="E80" t="s">
        <v>1015</v>
      </c>
      <c r="F80">
        <v>0</v>
      </c>
      <c r="G80" t="s">
        <v>1085</v>
      </c>
      <c r="H80" t="s">
        <v>1262</v>
      </c>
      <c r="I80" t="s">
        <v>1234</v>
      </c>
      <c r="J80" t="s">
        <v>993</v>
      </c>
      <c r="K80" t="s">
        <v>1103</v>
      </c>
      <c r="L80" t="s">
        <v>1104</v>
      </c>
      <c r="M80" t="s">
        <v>1028</v>
      </c>
      <c r="N80" t="s">
        <v>1105</v>
      </c>
      <c r="O80" t="s">
        <v>1106</v>
      </c>
      <c r="P80" t="s">
        <v>1107</v>
      </c>
      <c r="Q80" t="b">
        <v>1</v>
      </c>
      <c r="R80" t="b">
        <v>0</v>
      </c>
      <c r="S80" t="s">
        <v>1032</v>
      </c>
      <c r="T80" t="s">
        <v>992</v>
      </c>
      <c r="U80" t="s">
        <v>1140</v>
      </c>
      <c r="V80" t="s">
        <v>1061</v>
      </c>
      <c r="W80" t="s">
        <v>1034</v>
      </c>
      <c r="X80" t="s">
        <v>1263</v>
      </c>
    </row>
    <row r="81" spans="1:24" x14ac:dyDescent="0.25">
      <c r="A81" t="s">
        <v>42</v>
      </c>
      <c r="B81" t="s">
        <v>1264</v>
      </c>
      <c r="C81" t="s">
        <v>274</v>
      </c>
      <c r="D81" t="s">
        <v>427</v>
      </c>
      <c r="E81" t="s">
        <v>1017</v>
      </c>
      <c r="F81">
        <v>0</v>
      </c>
      <c r="G81" t="s">
        <v>1085</v>
      </c>
      <c r="H81" t="s">
        <v>1265</v>
      </c>
      <c r="I81" t="s">
        <v>1234</v>
      </c>
      <c r="J81" t="s">
        <v>993</v>
      </c>
      <c r="K81" t="s">
        <v>1110</v>
      </c>
      <c r="L81" t="s">
        <v>1111</v>
      </c>
      <c r="M81" t="s">
        <v>1028</v>
      </c>
      <c r="N81" t="s">
        <v>1112</v>
      </c>
      <c r="O81" t="s">
        <v>1113</v>
      </c>
      <c r="P81" t="s">
        <v>1114</v>
      </c>
      <c r="Q81" t="b">
        <v>1</v>
      </c>
      <c r="R81" t="b">
        <v>0</v>
      </c>
      <c r="S81" t="s">
        <v>1032</v>
      </c>
      <c r="T81" t="s">
        <v>992</v>
      </c>
      <c r="U81" t="s">
        <v>1140</v>
      </c>
      <c r="V81" t="s">
        <v>1061</v>
      </c>
      <c r="W81" t="s">
        <v>1034</v>
      </c>
      <c r="X81" t="s">
        <v>1266</v>
      </c>
    </row>
    <row r="82" spans="1:24" x14ac:dyDescent="0.25">
      <c r="A82" t="s">
        <v>42</v>
      </c>
      <c r="B82" t="s">
        <v>1267</v>
      </c>
      <c r="C82" t="s">
        <v>274</v>
      </c>
      <c r="D82" t="s">
        <v>427</v>
      </c>
      <c r="E82" t="s">
        <v>1019</v>
      </c>
      <c r="F82">
        <v>0</v>
      </c>
      <c r="G82" t="s">
        <v>1085</v>
      </c>
      <c r="H82" t="s">
        <v>1268</v>
      </c>
      <c r="I82" t="s">
        <v>1244</v>
      </c>
      <c r="J82" t="s">
        <v>993</v>
      </c>
      <c r="K82" t="s">
        <v>1117</v>
      </c>
      <c r="L82" t="s">
        <v>1118</v>
      </c>
      <c r="M82" t="s">
        <v>1056</v>
      </c>
      <c r="N82" t="s">
        <v>1119</v>
      </c>
      <c r="O82" t="s">
        <v>1097</v>
      </c>
      <c r="P82" t="s">
        <v>1120</v>
      </c>
      <c r="Q82" t="b">
        <v>1</v>
      </c>
      <c r="R82" t="b">
        <v>0</v>
      </c>
      <c r="S82" t="s">
        <v>1032</v>
      </c>
      <c r="T82" t="s">
        <v>992</v>
      </c>
      <c r="U82" t="s">
        <v>1140</v>
      </c>
      <c r="V82" t="s">
        <v>1061</v>
      </c>
      <c r="W82" t="s">
        <v>1034</v>
      </c>
      <c r="X82" t="s">
        <v>1269</v>
      </c>
    </row>
    <row r="83" spans="1:24" x14ac:dyDescent="0.25">
      <c r="A83" t="s">
        <v>42</v>
      </c>
      <c r="B83" t="s">
        <v>1270</v>
      </c>
      <c r="C83" t="s">
        <v>274</v>
      </c>
      <c r="D83" t="s">
        <v>427</v>
      </c>
      <c r="E83" t="s">
        <v>1021</v>
      </c>
      <c r="F83">
        <v>0</v>
      </c>
      <c r="G83" t="s">
        <v>1085</v>
      </c>
      <c r="H83" t="s">
        <v>1271</v>
      </c>
      <c r="I83" t="s">
        <v>1234</v>
      </c>
      <c r="J83" t="s">
        <v>993</v>
      </c>
      <c r="K83" t="s">
        <v>1124</v>
      </c>
      <c r="L83" t="s">
        <v>1125</v>
      </c>
      <c r="M83" t="s">
        <v>1028</v>
      </c>
      <c r="N83" t="s">
        <v>1126</v>
      </c>
      <c r="O83" t="s">
        <v>1127</v>
      </c>
      <c r="P83" t="s">
        <v>1128</v>
      </c>
      <c r="Q83" t="b">
        <v>1</v>
      </c>
      <c r="R83" t="b">
        <v>0</v>
      </c>
      <c r="S83" t="s">
        <v>1032</v>
      </c>
      <c r="T83" t="s">
        <v>992</v>
      </c>
      <c r="U83" t="s">
        <v>1140</v>
      </c>
      <c r="V83" t="s">
        <v>1061</v>
      </c>
      <c r="W83" t="s">
        <v>1034</v>
      </c>
      <c r="X83" t="s">
        <v>1272</v>
      </c>
    </row>
    <row r="84" spans="1:24" x14ac:dyDescent="0.25">
      <c r="A84" t="s">
        <v>42</v>
      </c>
      <c r="B84" t="s">
        <v>1273</v>
      </c>
      <c r="C84" t="s">
        <v>274</v>
      </c>
      <c r="D84" t="s">
        <v>427</v>
      </c>
      <c r="E84" t="s">
        <v>1130</v>
      </c>
      <c r="F84">
        <v>0</v>
      </c>
      <c r="G84" t="s">
        <v>1085</v>
      </c>
      <c r="H84" t="s">
        <v>1274</v>
      </c>
      <c r="I84" t="s">
        <v>1234</v>
      </c>
      <c r="J84" t="s">
        <v>993</v>
      </c>
      <c r="K84" t="s">
        <v>1132</v>
      </c>
      <c r="L84" t="s">
        <v>1133</v>
      </c>
      <c r="M84" t="s">
        <v>1028</v>
      </c>
      <c r="N84" t="s">
        <v>1134</v>
      </c>
      <c r="O84" t="s">
        <v>1135</v>
      </c>
      <c r="P84" t="s">
        <v>1136</v>
      </c>
      <c r="Q84" t="b">
        <v>1</v>
      </c>
      <c r="R84" t="b">
        <v>0</v>
      </c>
      <c r="S84" t="s">
        <v>1032</v>
      </c>
      <c r="T84" t="s">
        <v>992</v>
      </c>
      <c r="U84" t="s">
        <v>1140</v>
      </c>
      <c r="V84" t="s">
        <v>1061</v>
      </c>
      <c r="W84" t="s">
        <v>1034</v>
      </c>
      <c r="X84" t="s">
        <v>1275</v>
      </c>
    </row>
    <row r="85" spans="1:24" x14ac:dyDescent="0.25">
      <c r="A85" t="s">
        <v>42</v>
      </c>
      <c r="B85" t="s">
        <v>1276</v>
      </c>
      <c r="C85" t="s">
        <v>277</v>
      </c>
      <c r="D85" t="s">
        <v>427</v>
      </c>
      <c r="E85" t="s">
        <v>990</v>
      </c>
      <c r="F85">
        <v>-1003</v>
      </c>
      <c r="G85" t="s">
        <v>1023</v>
      </c>
      <c r="H85" t="s">
        <v>1277</v>
      </c>
      <c r="I85" t="s">
        <v>120</v>
      </c>
      <c r="J85" t="s">
        <v>993</v>
      </c>
      <c r="K85" t="s">
        <v>1026</v>
      </c>
      <c r="L85" t="s">
        <v>1027</v>
      </c>
      <c r="M85" t="s">
        <v>1028</v>
      </c>
      <c r="N85" t="s">
        <v>1029</v>
      </c>
      <c r="O85" t="s">
        <v>1030</v>
      </c>
      <c r="P85" t="s">
        <v>1031</v>
      </c>
      <c r="Q85" t="b">
        <v>1</v>
      </c>
      <c r="R85" t="b">
        <v>0</v>
      </c>
      <c r="S85" t="s">
        <v>1032</v>
      </c>
      <c r="T85" t="s">
        <v>992</v>
      </c>
      <c r="U85" t="s">
        <v>1140</v>
      </c>
      <c r="V85" t="s">
        <v>995</v>
      </c>
      <c r="W85" t="s">
        <v>1034</v>
      </c>
      <c r="X85" t="s">
        <v>1278</v>
      </c>
    </row>
    <row r="86" spans="1:24" x14ac:dyDescent="0.25">
      <c r="A86" t="s">
        <v>42</v>
      </c>
      <c r="B86" t="s">
        <v>1279</v>
      </c>
      <c r="C86" t="s">
        <v>277</v>
      </c>
      <c r="D86" t="s">
        <v>427</v>
      </c>
      <c r="E86" t="s">
        <v>999</v>
      </c>
      <c r="F86">
        <v>-930</v>
      </c>
      <c r="G86" t="s">
        <v>1023</v>
      </c>
      <c r="H86" t="s">
        <v>1280</v>
      </c>
      <c r="I86" t="s">
        <v>120</v>
      </c>
      <c r="J86" t="s">
        <v>993</v>
      </c>
      <c r="K86" t="s">
        <v>1038</v>
      </c>
      <c r="L86" t="s">
        <v>1039</v>
      </c>
      <c r="M86" t="s">
        <v>1028</v>
      </c>
      <c r="N86" t="s">
        <v>1040</v>
      </c>
      <c r="O86" t="s">
        <v>1041</v>
      </c>
      <c r="P86" t="s">
        <v>1042</v>
      </c>
      <c r="Q86" t="b">
        <v>1</v>
      </c>
      <c r="R86" t="b">
        <v>0</v>
      </c>
      <c r="S86" t="s">
        <v>1032</v>
      </c>
      <c r="T86" t="s">
        <v>992</v>
      </c>
      <c r="U86" t="s">
        <v>1140</v>
      </c>
      <c r="V86" t="s">
        <v>995</v>
      </c>
      <c r="W86" t="s">
        <v>1034</v>
      </c>
      <c r="X86" t="s">
        <v>1278</v>
      </c>
    </row>
    <row r="87" spans="1:24" x14ac:dyDescent="0.25">
      <c r="A87" t="s">
        <v>42</v>
      </c>
      <c r="B87" t="s">
        <v>1281</v>
      </c>
      <c r="C87" t="s">
        <v>277</v>
      </c>
      <c r="D87" t="s">
        <v>427</v>
      </c>
      <c r="E87" t="s">
        <v>1001</v>
      </c>
      <c r="F87">
        <v>-998</v>
      </c>
      <c r="G87" t="s">
        <v>1023</v>
      </c>
      <c r="H87" t="s">
        <v>1282</v>
      </c>
      <c r="I87" t="s">
        <v>120</v>
      </c>
      <c r="J87" t="s">
        <v>993</v>
      </c>
      <c r="K87" t="s">
        <v>1045</v>
      </c>
      <c r="L87" t="s">
        <v>1046</v>
      </c>
      <c r="M87" t="s">
        <v>1028</v>
      </c>
      <c r="N87" t="s">
        <v>1047</v>
      </c>
      <c r="O87" t="s">
        <v>1048</v>
      </c>
      <c r="P87" t="s">
        <v>1049</v>
      </c>
      <c r="Q87" t="b">
        <v>1</v>
      </c>
      <c r="R87" t="b">
        <v>0</v>
      </c>
      <c r="S87" t="s">
        <v>1032</v>
      </c>
      <c r="T87" t="s">
        <v>992</v>
      </c>
      <c r="U87" t="s">
        <v>1140</v>
      </c>
      <c r="V87" t="s">
        <v>995</v>
      </c>
      <c r="W87" t="s">
        <v>1034</v>
      </c>
      <c r="X87" t="s">
        <v>1278</v>
      </c>
    </row>
    <row r="88" spans="1:24" x14ac:dyDescent="0.25">
      <c r="A88" t="s">
        <v>42</v>
      </c>
      <c r="B88" t="s">
        <v>1283</v>
      </c>
      <c r="C88" t="s">
        <v>277</v>
      </c>
      <c r="D88" t="s">
        <v>427</v>
      </c>
      <c r="E88" t="s">
        <v>1003</v>
      </c>
      <c r="F88">
        <v>-1002</v>
      </c>
      <c r="G88" t="s">
        <v>1051</v>
      </c>
      <c r="H88" t="s">
        <v>1284</v>
      </c>
      <c r="I88" t="s">
        <v>1285</v>
      </c>
      <c r="J88" t="s">
        <v>993</v>
      </c>
      <c r="K88" t="s">
        <v>1054</v>
      </c>
      <c r="L88" t="s">
        <v>1055</v>
      </c>
      <c r="M88" t="s">
        <v>1056</v>
      </c>
      <c r="N88" t="s">
        <v>1057</v>
      </c>
      <c r="O88" t="s">
        <v>1030</v>
      </c>
      <c r="P88" t="s">
        <v>1058</v>
      </c>
      <c r="Q88" t="b">
        <v>1</v>
      </c>
      <c r="R88" t="b">
        <v>1</v>
      </c>
      <c r="S88" t="s">
        <v>1059</v>
      </c>
      <c r="T88" t="s">
        <v>992</v>
      </c>
      <c r="U88" t="s">
        <v>1060</v>
      </c>
      <c r="V88" t="s">
        <v>1061</v>
      </c>
      <c r="W88" t="s">
        <v>1034</v>
      </c>
      <c r="X88" t="s">
        <v>1062</v>
      </c>
    </row>
    <row r="89" spans="1:24" x14ac:dyDescent="0.25">
      <c r="A89" t="s">
        <v>42</v>
      </c>
      <c r="B89" t="s">
        <v>1286</v>
      </c>
      <c r="C89" t="s">
        <v>277</v>
      </c>
      <c r="D89" t="s">
        <v>427</v>
      </c>
      <c r="E89" t="s">
        <v>1015</v>
      </c>
      <c r="F89">
        <v>-219</v>
      </c>
      <c r="G89" t="s">
        <v>982</v>
      </c>
      <c r="H89" t="s">
        <v>992</v>
      </c>
      <c r="I89" t="s">
        <v>992</v>
      </c>
      <c r="J89" t="s">
        <v>993</v>
      </c>
      <c r="K89" t="s">
        <v>992</v>
      </c>
      <c r="L89" t="s">
        <v>992</v>
      </c>
      <c r="M89" t="s">
        <v>992</v>
      </c>
      <c r="N89" t="s">
        <v>992</v>
      </c>
      <c r="O89" t="s">
        <v>992</v>
      </c>
      <c r="P89" t="s">
        <v>992</v>
      </c>
      <c r="Q89" t="b">
        <v>0</v>
      </c>
      <c r="R89" t="b">
        <v>1</v>
      </c>
      <c r="S89" t="s">
        <v>1287</v>
      </c>
      <c r="T89" t="s">
        <v>1288</v>
      </c>
      <c r="U89" t="s">
        <v>994</v>
      </c>
      <c r="V89" t="s">
        <v>1289</v>
      </c>
      <c r="W89" t="s">
        <v>1290</v>
      </c>
      <c r="X89" t="s">
        <v>1291</v>
      </c>
    </row>
    <row r="90" spans="1:24" x14ac:dyDescent="0.25">
      <c r="A90" t="s">
        <v>42</v>
      </c>
      <c r="B90" t="s">
        <v>1292</v>
      </c>
      <c r="C90" t="s">
        <v>277</v>
      </c>
      <c r="D90" t="s">
        <v>427</v>
      </c>
      <c r="E90" t="s">
        <v>1130</v>
      </c>
      <c r="F90">
        <v>-216</v>
      </c>
      <c r="G90" t="s">
        <v>982</v>
      </c>
      <c r="H90" t="s">
        <v>992</v>
      </c>
      <c r="I90" t="s">
        <v>992</v>
      </c>
      <c r="J90" t="s">
        <v>993</v>
      </c>
      <c r="K90" t="s">
        <v>992</v>
      </c>
      <c r="L90" t="s">
        <v>992</v>
      </c>
      <c r="M90" t="s">
        <v>992</v>
      </c>
      <c r="N90" t="s">
        <v>992</v>
      </c>
      <c r="O90" t="s">
        <v>992</v>
      </c>
      <c r="P90" t="s">
        <v>992</v>
      </c>
      <c r="Q90" t="b">
        <v>0</v>
      </c>
      <c r="R90" t="b">
        <v>1</v>
      </c>
      <c r="S90" t="s">
        <v>1287</v>
      </c>
      <c r="T90" t="s">
        <v>1288</v>
      </c>
      <c r="U90" t="s">
        <v>994</v>
      </c>
      <c r="V90" t="s">
        <v>1289</v>
      </c>
      <c r="W90" t="s">
        <v>1290</v>
      </c>
      <c r="X90" t="s">
        <v>1291</v>
      </c>
    </row>
    <row r="91" spans="1:24" x14ac:dyDescent="0.25">
      <c r="A91" t="s">
        <v>42</v>
      </c>
      <c r="B91" t="s">
        <v>1293</v>
      </c>
      <c r="C91" t="s">
        <v>279</v>
      </c>
      <c r="D91" t="s">
        <v>427</v>
      </c>
      <c r="E91" t="s">
        <v>990</v>
      </c>
      <c r="F91">
        <v>-258</v>
      </c>
      <c r="G91" t="s">
        <v>1023</v>
      </c>
      <c r="H91" t="s">
        <v>1294</v>
      </c>
      <c r="I91" t="s">
        <v>1295</v>
      </c>
      <c r="J91" t="s">
        <v>993</v>
      </c>
      <c r="K91" t="s">
        <v>1026</v>
      </c>
      <c r="L91" t="s">
        <v>1027</v>
      </c>
      <c r="M91" t="s">
        <v>1028</v>
      </c>
      <c r="N91" t="s">
        <v>1029</v>
      </c>
      <c r="O91" t="s">
        <v>1030</v>
      </c>
      <c r="P91" t="s">
        <v>1031</v>
      </c>
      <c r="Q91" t="b">
        <v>1</v>
      </c>
      <c r="R91" t="b">
        <v>0</v>
      </c>
      <c r="S91" t="s">
        <v>1032</v>
      </c>
      <c r="T91" t="s">
        <v>992</v>
      </c>
      <c r="U91" t="s">
        <v>1140</v>
      </c>
      <c r="V91" t="s">
        <v>995</v>
      </c>
      <c r="W91" t="s">
        <v>1034</v>
      </c>
      <c r="X91" t="s">
        <v>992</v>
      </c>
    </row>
    <row r="92" spans="1:24" x14ac:dyDescent="0.25">
      <c r="A92" t="s">
        <v>42</v>
      </c>
      <c r="B92" t="s">
        <v>1296</v>
      </c>
      <c r="C92" t="s">
        <v>279</v>
      </c>
      <c r="D92" t="s">
        <v>427</v>
      </c>
      <c r="E92" t="s">
        <v>999</v>
      </c>
      <c r="F92">
        <v>76</v>
      </c>
      <c r="G92" t="s">
        <v>1023</v>
      </c>
      <c r="H92" t="s">
        <v>1297</v>
      </c>
      <c r="I92" t="s">
        <v>1295</v>
      </c>
      <c r="J92" t="s">
        <v>993</v>
      </c>
      <c r="K92" t="s">
        <v>1038</v>
      </c>
      <c r="L92" t="s">
        <v>1039</v>
      </c>
      <c r="M92" t="s">
        <v>1028</v>
      </c>
      <c r="N92" t="s">
        <v>1040</v>
      </c>
      <c r="O92" t="s">
        <v>1041</v>
      </c>
      <c r="P92" t="s">
        <v>1042</v>
      </c>
      <c r="Q92" t="b">
        <v>1</v>
      </c>
      <c r="R92" t="b">
        <v>0</v>
      </c>
      <c r="S92" t="s">
        <v>1032</v>
      </c>
      <c r="T92" t="s">
        <v>992</v>
      </c>
      <c r="U92" t="s">
        <v>1140</v>
      </c>
      <c r="V92" t="s">
        <v>995</v>
      </c>
      <c r="W92" t="s">
        <v>1034</v>
      </c>
      <c r="X92" t="s">
        <v>992</v>
      </c>
    </row>
    <row r="93" spans="1:24" x14ac:dyDescent="0.25">
      <c r="A93" t="s">
        <v>42</v>
      </c>
      <c r="B93" t="s">
        <v>1298</v>
      </c>
      <c r="C93" t="s">
        <v>279</v>
      </c>
      <c r="D93" t="s">
        <v>427</v>
      </c>
      <c r="E93" t="s">
        <v>1001</v>
      </c>
      <c r="F93">
        <v>-247</v>
      </c>
      <c r="G93" t="s">
        <v>1023</v>
      </c>
      <c r="H93" t="s">
        <v>1299</v>
      </c>
      <c r="I93" t="s">
        <v>1295</v>
      </c>
      <c r="J93" t="s">
        <v>993</v>
      </c>
      <c r="K93" t="s">
        <v>1045</v>
      </c>
      <c r="L93" t="s">
        <v>1046</v>
      </c>
      <c r="M93" t="s">
        <v>1028</v>
      </c>
      <c r="N93" t="s">
        <v>1047</v>
      </c>
      <c r="O93" t="s">
        <v>1048</v>
      </c>
      <c r="P93" t="s">
        <v>1049</v>
      </c>
      <c r="Q93" t="b">
        <v>1</v>
      </c>
      <c r="R93" t="b">
        <v>0</v>
      </c>
      <c r="S93" t="s">
        <v>1032</v>
      </c>
      <c r="T93" t="s">
        <v>992</v>
      </c>
      <c r="U93" t="s">
        <v>1140</v>
      </c>
      <c r="V93" t="s">
        <v>995</v>
      </c>
      <c r="W93" t="s">
        <v>1034</v>
      </c>
      <c r="X93" t="s">
        <v>992</v>
      </c>
    </row>
    <row r="94" spans="1:24" x14ac:dyDescent="0.25">
      <c r="A94" t="s">
        <v>42</v>
      </c>
      <c r="B94" t="s">
        <v>1300</v>
      </c>
      <c r="C94" t="s">
        <v>279</v>
      </c>
      <c r="D94" t="s">
        <v>427</v>
      </c>
      <c r="E94" t="s">
        <v>1003</v>
      </c>
      <c r="F94">
        <v>47</v>
      </c>
      <c r="G94" t="s">
        <v>1023</v>
      </c>
      <c r="H94" t="s">
        <v>1301</v>
      </c>
      <c r="I94" t="s">
        <v>1302</v>
      </c>
      <c r="J94" t="s">
        <v>993</v>
      </c>
      <c r="K94" t="s">
        <v>1054</v>
      </c>
      <c r="L94" t="s">
        <v>1055</v>
      </c>
      <c r="M94" t="s">
        <v>1056</v>
      </c>
      <c r="N94" t="s">
        <v>1057</v>
      </c>
      <c r="O94" t="s">
        <v>1030</v>
      </c>
      <c r="P94" t="s">
        <v>1058</v>
      </c>
      <c r="Q94" t="b">
        <v>1</v>
      </c>
      <c r="R94" t="b">
        <v>0</v>
      </c>
      <c r="S94" t="s">
        <v>1032</v>
      </c>
      <c r="T94" t="s">
        <v>992</v>
      </c>
      <c r="U94" t="s">
        <v>1140</v>
      </c>
      <c r="V94" t="s">
        <v>1061</v>
      </c>
      <c r="W94" t="s">
        <v>1034</v>
      </c>
      <c r="X94" t="s">
        <v>1303</v>
      </c>
    </row>
    <row r="95" spans="1:24" x14ac:dyDescent="0.25">
      <c r="A95" t="s">
        <v>42</v>
      </c>
      <c r="B95" t="s">
        <v>1304</v>
      </c>
      <c r="C95" t="s">
        <v>279</v>
      </c>
      <c r="D95" t="s">
        <v>427</v>
      </c>
      <c r="E95" t="s">
        <v>1019</v>
      </c>
      <c r="F95">
        <v>-1245</v>
      </c>
      <c r="G95" t="s">
        <v>982</v>
      </c>
      <c r="H95" t="s">
        <v>1305</v>
      </c>
      <c r="I95" t="s">
        <v>992</v>
      </c>
      <c r="J95" t="s">
        <v>993</v>
      </c>
      <c r="K95" t="s">
        <v>992</v>
      </c>
      <c r="L95" t="s">
        <v>992</v>
      </c>
      <c r="M95" t="s">
        <v>992</v>
      </c>
      <c r="N95" t="s">
        <v>992</v>
      </c>
      <c r="O95" t="s">
        <v>992</v>
      </c>
      <c r="P95" t="s">
        <v>992</v>
      </c>
      <c r="Q95" t="b">
        <v>0</v>
      </c>
      <c r="R95" t="b">
        <v>1</v>
      </c>
      <c r="S95" t="s">
        <v>1287</v>
      </c>
      <c r="T95" t="s">
        <v>1288</v>
      </c>
      <c r="U95" t="s">
        <v>994</v>
      </c>
      <c r="V95" t="s">
        <v>1289</v>
      </c>
      <c r="W95" t="s">
        <v>1290</v>
      </c>
      <c r="X95" t="s">
        <v>1291</v>
      </c>
    </row>
    <row r="96" spans="1:24" x14ac:dyDescent="0.25">
      <c r="A96" t="s">
        <v>42</v>
      </c>
      <c r="B96" t="s">
        <v>1306</v>
      </c>
      <c r="C96" t="s">
        <v>281</v>
      </c>
      <c r="D96" t="s">
        <v>427</v>
      </c>
      <c r="E96" t="s">
        <v>990</v>
      </c>
      <c r="F96">
        <v>-5625</v>
      </c>
      <c r="G96" t="s">
        <v>1023</v>
      </c>
      <c r="H96" t="s">
        <v>1307</v>
      </c>
      <c r="I96" t="s">
        <v>1308</v>
      </c>
      <c r="J96" t="s">
        <v>993</v>
      </c>
      <c r="K96" t="s">
        <v>1026</v>
      </c>
      <c r="L96" t="s">
        <v>1027</v>
      </c>
      <c r="M96" t="s">
        <v>1028</v>
      </c>
      <c r="N96" t="s">
        <v>1029</v>
      </c>
      <c r="O96" t="s">
        <v>1030</v>
      </c>
      <c r="P96" t="s">
        <v>1031</v>
      </c>
      <c r="Q96" t="b">
        <v>1</v>
      </c>
      <c r="R96" t="b">
        <v>0</v>
      </c>
      <c r="S96" t="s">
        <v>1032</v>
      </c>
      <c r="T96" t="s">
        <v>992</v>
      </c>
      <c r="U96" t="s">
        <v>1140</v>
      </c>
      <c r="V96" t="s">
        <v>995</v>
      </c>
      <c r="W96" t="s">
        <v>1034</v>
      </c>
      <c r="X96" t="s">
        <v>1309</v>
      </c>
    </row>
    <row r="97" spans="1:24" x14ac:dyDescent="0.25">
      <c r="A97" t="s">
        <v>42</v>
      </c>
      <c r="B97" t="s">
        <v>1310</v>
      </c>
      <c r="C97" t="s">
        <v>281</v>
      </c>
      <c r="D97" t="s">
        <v>427</v>
      </c>
      <c r="E97" t="s">
        <v>999</v>
      </c>
      <c r="F97">
        <v>-4222</v>
      </c>
      <c r="G97" t="s">
        <v>1023</v>
      </c>
      <c r="H97" t="s">
        <v>1311</v>
      </c>
      <c r="I97" t="s">
        <v>1308</v>
      </c>
      <c r="J97" t="s">
        <v>993</v>
      </c>
      <c r="K97" t="s">
        <v>1038</v>
      </c>
      <c r="L97" t="s">
        <v>1039</v>
      </c>
      <c r="M97" t="s">
        <v>1028</v>
      </c>
      <c r="N97" t="s">
        <v>1040</v>
      </c>
      <c r="O97" t="s">
        <v>1041</v>
      </c>
      <c r="P97" t="s">
        <v>1042</v>
      </c>
      <c r="Q97" t="b">
        <v>1</v>
      </c>
      <c r="R97" t="b">
        <v>0</v>
      </c>
      <c r="S97" t="s">
        <v>1032</v>
      </c>
      <c r="T97" t="s">
        <v>992</v>
      </c>
      <c r="U97" t="s">
        <v>1140</v>
      </c>
      <c r="V97" t="s">
        <v>995</v>
      </c>
      <c r="W97" t="s">
        <v>1034</v>
      </c>
      <c r="X97" t="s">
        <v>1309</v>
      </c>
    </row>
    <row r="98" spans="1:24" x14ac:dyDescent="0.25">
      <c r="A98" t="s">
        <v>42</v>
      </c>
      <c r="B98" t="s">
        <v>1312</v>
      </c>
      <c r="C98" t="s">
        <v>281</v>
      </c>
      <c r="D98" t="s">
        <v>427</v>
      </c>
      <c r="E98" t="s">
        <v>1001</v>
      </c>
      <c r="F98">
        <v>-2852</v>
      </c>
      <c r="G98" t="s">
        <v>1023</v>
      </c>
      <c r="H98" t="s">
        <v>1313</v>
      </c>
      <c r="I98" t="s">
        <v>1308</v>
      </c>
      <c r="J98" t="s">
        <v>993</v>
      </c>
      <c r="K98" t="s">
        <v>1045</v>
      </c>
      <c r="L98" t="s">
        <v>1046</v>
      </c>
      <c r="M98" t="s">
        <v>1028</v>
      </c>
      <c r="N98" t="s">
        <v>1047</v>
      </c>
      <c r="O98" t="s">
        <v>1048</v>
      </c>
      <c r="P98" t="s">
        <v>1049</v>
      </c>
      <c r="Q98" t="b">
        <v>1</v>
      </c>
      <c r="R98" t="b">
        <v>0</v>
      </c>
      <c r="S98" t="s">
        <v>1032</v>
      </c>
      <c r="T98" t="s">
        <v>992</v>
      </c>
      <c r="U98" t="s">
        <v>1140</v>
      </c>
      <c r="V98" t="s">
        <v>995</v>
      </c>
      <c r="W98" t="s">
        <v>1034</v>
      </c>
      <c r="X98" t="s">
        <v>1309</v>
      </c>
    </row>
    <row r="99" spans="1:24" x14ac:dyDescent="0.25">
      <c r="A99" t="s">
        <v>42</v>
      </c>
      <c r="B99" t="s">
        <v>1314</v>
      </c>
      <c r="C99" t="s">
        <v>281</v>
      </c>
      <c r="D99" t="s">
        <v>427</v>
      </c>
      <c r="E99" t="s">
        <v>1003</v>
      </c>
      <c r="F99">
        <v>-4042</v>
      </c>
      <c r="G99" t="s">
        <v>1051</v>
      </c>
      <c r="H99" t="s">
        <v>1315</v>
      </c>
      <c r="I99" t="s">
        <v>1316</v>
      </c>
      <c r="J99" t="s">
        <v>993</v>
      </c>
      <c r="K99" t="s">
        <v>1054</v>
      </c>
      <c r="L99" t="s">
        <v>1055</v>
      </c>
      <c r="M99" t="s">
        <v>1056</v>
      </c>
      <c r="N99" t="s">
        <v>1057</v>
      </c>
      <c r="O99" t="s">
        <v>1030</v>
      </c>
      <c r="P99" t="s">
        <v>1058</v>
      </c>
      <c r="Q99" t="b">
        <v>1</v>
      </c>
      <c r="R99" t="b">
        <v>1</v>
      </c>
      <c r="S99" t="s">
        <v>1059</v>
      </c>
      <c r="T99" t="s">
        <v>992</v>
      </c>
      <c r="U99" t="s">
        <v>1060</v>
      </c>
      <c r="V99" t="s">
        <v>1061</v>
      </c>
      <c r="W99" t="s">
        <v>1034</v>
      </c>
      <c r="X99" t="s">
        <v>1062</v>
      </c>
    </row>
    <row r="100" spans="1:24" x14ac:dyDescent="0.25">
      <c r="A100" t="s">
        <v>42</v>
      </c>
      <c r="B100" t="s">
        <v>1317</v>
      </c>
      <c r="C100" t="s">
        <v>281</v>
      </c>
      <c r="D100" t="s">
        <v>427</v>
      </c>
      <c r="E100" t="s">
        <v>1005</v>
      </c>
      <c r="F100">
        <v>-6407</v>
      </c>
      <c r="G100" t="s">
        <v>1023</v>
      </c>
      <c r="H100" t="s">
        <v>1318</v>
      </c>
      <c r="I100" t="s">
        <v>1308</v>
      </c>
      <c r="J100" t="s">
        <v>993</v>
      </c>
      <c r="K100" t="s">
        <v>1065</v>
      </c>
      <c r="L100" t="s">
        <v>1066</v>
      </c>
      <c r="M100" t="s">
        <v>1028</v>
      </c>
      <c r="N100" t="s">
        <v>1067</v>
      </c>
      <c r="O100" t="s">
        <v>1068</v>
      </c>
      <c r="P100" t="s">
        <v>1069</v>
      </c>
      <c r="Q100" t="b">
        <v>1</v>
      </c>
      <c r="R100" t="b">
        <v>0</v>
      </c>
      <c r="S100" t="s">
        <v>1032</v>
      </c>
      <c r="T100" t="s">
        <v>992</v>
      </c>
      <c r="U100" t="s">
        <v>1140</v>
      </c>
      <c r="V100" t="s">
        <v>995</v>
      </c>
      <c r="W100" t="s">
        <v>1034</v>
      </c>
      <c r="X100" t="s">
        <v>1309</v>
      </c>
    </row>
    <row r="101" spans="1:24" x14ac:dyDescent="0.25">
      <c r="A101" t="s">
        <v>42</v>
      </c>
      <c r="B101" t="s">
        <v>1319</v>
      </c>
      <c r="C101" t="s">
        <v>281</v>
      </c>
      <c r="D101" t="s">
        <v>427</v>
      </c>
      <c r="E101" t="s">
        <v>1007</v>
      </c>
      <c r="F101">
        <v>-4422</v>
      </c>
      <c r="G101" t="s">
        <v>1023</v>
      </c>
      <c r="H101" t="s">
        <v>1320</v>
      </c>
      <c r="I101" t="s">
        <v>1308</v>
      </c>
      <c r="J101" t="s">
        <v>993</v>
      </c>
      <c r="K101" t="s">
        <v>1072</v>
      </c>
      <c r="L101" t="s">
        <v>1073</v>
      </c>
      <c r="M101" t="s">
        <v>1028</v>
      </c>
      <c r="N101" t="s">
        <v>1074</v>
      </c>
      <c r="O101" t="s">
        <v>1075</v>
      </c>
      <c r="P101" t="s">
        <v>1076</v>
      </c>
      <c r="Q101" t="b">
        <v>1</v>
      </c>
      <c r="R101" t="b">
        <v>0</v>
      </c>
      <c r="S101" t="s">
        <v>1032</v>
      </c>
      <c r="T101" t="s">
        <v>992</v>
      </c>
      <c r="U101" t="s">
        <v>1140</v>
      </c>
      <c r="V101" t="s">
        <v>995</v>
      </c>
      <c r="W101" t="s">
        <v>1034</v>
      </c>
      <c r="X101" t="s">
        <v>1309</v>
      </c>
    </row>
    <row r="102" spans="1:24" x14ac:dyDescent="0.25">
      <c r="A102" t="s">
        <v>42</v>
      </c>
      <c r="B102" t="s">
        <v>1321</v>
      </c>
      <c r="C102" t="s">
        <v>281</v>
      </c>
      <c r="D102" t="s">
        <v>427</v>
      </c>
      <c r="E102" t="s">
        <v>1009</v>
      </c>
      <c r="F102">
        <v>-4046</v>
      </c>
      <c r="G102" t="s">
        <v>1023</v>
      </c>
      <c r="H102" t="s">
        <v>1322</v>
      </c>
      <c r="I102" t="s">
        <v>1308</v>
      </c>
      <c r="J102" t="s">
        <v>993</v>
      </c>
      <c r="K102" t="s">
        <v>1079</v>
      </c>
      <c r="L102" t="s">
        <v>1080</v>
      </c>
      <c r="M102" t="s">
        <v>1028</v>
      </c>
      <c r="N102" t="s">
        <v>1081</v>
      </c>
      <c r="O102" t="s">
        <v>1082</v>
      </c>
      <c r="P102" t="s">
        <v>1083</v>
      </c>
      <c r="Q102" t="b">
        <v>1</v>
      </c>
      <c r="R102" t="b">
        <v>0</v>
      </c>
      <c r="S102" t="s">
        <v>1032</v>
      </c>
      <c r="T102" t="s">
        <v>992</v>
      </c>
      <c r="U102" t="s">
        <v>1140</v>
      </c>
      <c r="V102" t="s">
        <v>995</v>
      </c>
      <c r="W102" t="s">
        <v>1034</v>
      </c>
      <c r="X102" t="s">
        <v>1309</v>
      </c>
    </row>
    <row r="103" spans="1:24" x14ac:dyDescent="0.25">
      <c r="A103" t="s">
        <v>42</v>
      </c>
      <c r="B103" t="s">
        <v>1323</v>
      </c>
      <c r="C103" t="s">
        <v>281</v>
      </c>
      <c r="D103" t="s">
        <v>427</v>
      </c>
      <c r="E103" t="s">
        <v>1011</v>
      </c>
      <c r="F103">
        <v>-14874</v>
      </c>
      <c r="G103" t="s">
        <v>1023</v>
      </c>
      <c r="H103" t="s">
        <v>1324</v>
      </c>
      <c r="I103" t="s">
        <v>1316</v>
      </c>
      <c r="J103" t="s">
        <v>993</v>
      </c>
      <c r="K103" t="s">
        <v>1087</v>
      </c>
      <c r="L103" t="s">
        <v>1088</v>
      </c>
      <c r="M103" t="s">
        <v>1056</v>
      </c>
      <c r="N103" t="s">
        <v>1089</v>
      </c>
      <c r="O103" t="s">
        <v>1068</v>
      </c>
      <c r="P103" t="s">
        <v>1090</v>
      </c>
      <c r="Q103" t="b">
        <v>1</v>
      </c>
      <c r="R103" t="b">
        <v>0</v>
      </c>
      <c r="S103" t="s">
        <v>1032</v>
      </c>
      <c r="T103" t="s">
        <v>992</v>
      </c>
      <c r="U103" t="s">
        <v>1140</v>
      </c>
      <c r="V103" t="s">
        <v>1061</v>
      </c>
      <c r="W103" t="s">
        <v>1034</v>
      </c>
      <c r="X103" t="s">
        <v>1325</v>
      </c>
    </row>
    <row r="104" spans="1:24" x14ac:dyDescent="0.25">
      <c r="A104" t="s">
        <v>42</v>
      </c>
      <c r="B104" t="s">
        <v>1326</v>
      </c>
      <c r="C104" t="s">
        <v>281</v>
      </c>
      <c r="D104" t="s">
        <v>427</v>
      </c>
      <c r="E104" t="s">
        <v>1013</v>
      </c>
      <c r="F104">
        <v>-6254</v>
      </c>
      <c r="G104" t="s">
        <v>1023</v>
      </c>
      <c r="H104" t="s">
        <v>1327</v>
      </c>
      <c r="I104" t="s">
        <v>1308</v>
      </c>
      <c r="J104" t="s">
        <v>993</v>
      </c>
      <c r="K104" t="s">
        <v>1094</v>
      </c>
      <c r="L104" t="s">
        <v>1095</v>
      </c>
      <c r="M104" t="s">
        <v>1028</v>
      </c>
      <c r="N104" t="s">
        <v>1096</v>
      </c>
      <c r="O104" t="s">
        <v>1097</v>
      </c>
      <c r="P104" t="s">
        <v>1098</v>
      </c>
      <c r="Q104" t="b">
        <v>1</v>
      </c>
      <c r="R104" t="b">
        <v>0</v>
      </c>
      <c r="S104" t="s">
        <v>1032</v>
      </c>
      <c r="T104" t="s">
        <v>992</v>
      </c>
      <c r="U104" t="s">
        <v>1140</v>
      </c>
      <c r="V104" t="s">
        <v>995</v>
      </c>
      <c r="W104" t="s">
        <v>1034</v>
      </c>
      <c r="X104" t="s">
        <v>1309</v>
      </c>
    </row>
    <row r="105" spans="1:24" x14ac:dyDescent="0.25">
      <c r="A105" t="s">
        <v>42</v>
      </c>
      <c r="B105" t="s">
        <v>1328</v>
      </c>
      <c r="C105" t="s">
        <v>281</v>
      </c>
      <c r="D105" t="s">
        <v>427</v>
      </c>
      <c r="E105" t="s">
        <v>1015</v>
      </c>
      <c r="F105">
        <v>-4530</v>
      </c>
      <c r="G105" t="s">
        <v>1023</v>
      </c>
      <c r="H105" t="s">
        <v>1329</v>
      </c>
      <c r="I105" t="s">
        <v>1308</v>
      </c>
      <c r="J105" t="s">
        <v>993</v>
      </c>
      <c r="K105" t="s">
        <v>1103</v>
      </c>
      <c r="L105" t="s">
        <v>1104</v>
      </c>
      <c r="M105" t="s">
        <v>1028</v>
      </c>
      <c r="N105" t="s">
        <v>1105</v>
      </c>
      <c r="O105" t="s">
        <v>1106</v>
      </c>
      <c r="P105" t="s">
        <v>1107</v>
      </c>
      <c r="Q105" t="b">
        <v>1</v>
      </c>
      <c r="R105" t="b">
        <v>0</v>
      </c>
      <c r="S105" t="s">
        <v>1032</v>
      </c>
      <c r="T105" t="s">
        <v>992</v>
      </c>
      <c r="U105" t="s">
        <v>1140</v>
      </c>
      <c r="V105" t="s">
        <v>995</v>
      </c>
      <c r="W105" t="s">
        <v>1034</v>
      </c>
      <c r="X105" t="s">
        <v>1309</v>
      </c>
    </row>
    <row r="106" spans="1:24" x14ac:dyDescent="0.25">
      <c r="A106" t="s">
        <v>42</v>
      </c>
      <c r="B106" t="s">
        <v>1330</v>
      </c>
      <c r="C106" t="s">
        <v>281</v>
      </c>
      <c r="D106" t="s">
        <v>427</v>
      </c>
      <c r="E106" t="s">
        <v>1017</v>
      </c>
      <c r="F106">
        <v>-4597</v>
      </c>
      <c r="G106" t="s">
        <v>1023</v>
      </c>
      <c r="H106" t="s">
        <v>1331</v>
      </c>
      <c r="I106" t="s">
        <v>1308</v>
      </c>
      <c r="J106" t="s">
        <v>993</v>
      </c>
      <c r="K106" t="s">
        <v>1110</v>
      </c>
      <c r="L106" t="s">
        <v>1111</v>
      </c>
      <c r="M106" t="s">
        <v>1028</v>
      </c>
      <c r="N106" t="s">
        <v>1112</v>
      </c>
      <c r="O106" t="s">
        <v>1113</v>
      </c>
      <c r="P106" t="s">
        <v>1114</v>
      </c>
      <c r="Q106" t="b">
        <v>1</v>
      </c>
      <c r="R106" t="b">
        <v>0</v>
      </c>
      <c r="S106" t="s">
        <v>1032</v>
      </c>
      <c r="T106" t="s">
        <v>992</v>
      </c>
      <c r="U106" t="s">
        <v>1140</v>
      </c>
      <c r="V106" t="s">
        <v>995</v>
      </c>
      <c r="W106" t="s">
        <v>1034</v>
      </c>
      <c r="X106" t="s">
        <v>1309</v>
      </c>
    </row>
    <row r="107" spans="1:24" x14ac:dyDescent="0.25">
      <c r="A107" t="s">
        <v>42</v>
      </c>
      <c r="B107" t="s">
        <v>1332</v>
      </c>
      <c r="C107" t="s">
        <v>281</v>
      </c>
      <c r="D107" t="s">
        <v>427</v>
      </c>
      <c r="E107" t="s">
        <v>1019</v>
      </c>
      <c r="F107">
        <v>-5338</v>
      </c>
      <c r="G107" t="s">
        <v>1023</v>
      </c>
      <c r="H107" t="s">
        <v>1333</v>
      </c>
      <c r="I107" t="s">
        <v>1316</v>
      </c>
      <c r="J107" t="s">
        <v>993</v>
      </c>
      <c r="K107" t="s">
        <v>1117</v>
      </c>
      <c r="L107" t="s">
        <v>1118</v>
      </c>
      <c r="M107" t="s">
        <v>1056</v>
      </c>
      <c r="N107" t="s">
        <v>1119</v>
      </c>
      <c r="O107" t="s">
        <v>1097</v>
      </c>
      <c r="P107" t="s">
        <v>1120</v>
      </c>
      <c r="Q107" t="b">
        <v>1</v>
      </c>
      <c r="R107" t="b">
        <v>0</v>
      </c>
      <c r="S107" t="s">
        <v>1032</v>
      </c>
      <c r="T107" t="s">
        <v>992</v>
      </c>
      <c r="U107" t="s">
        <v>1140</v>
      </c>
      <c r="V107" t="s">
        <v>1061</v>
      </c>
      <c r="W107" t="s">
        <v>1034</v>
      </c>
      <c r="X107" t="s">
        <v>1334</v>
      </c>
    </row>
    <row r="108" spans="1:24" x14ac:dyDescent="0.25">
      <c r="A108" t="s">
        <v>42</v>
      </c>
      <c r="B108" t="s">
        <v>1335</v>
      </c>
      <c r="C108" t="s">
        <v>281</v>
      </c>
      <c r="D108" t="s">
        <v>427</v>
      </c>
      <c r="E108" t="s">
        <v>1021</v>
      </c>
      <c r="F108">
        <v>-8905</v>
      </c>
      <c r="G108" t="s">
        <v>1023</v>
      </c>
      <c r="H108" t="s">
        <v>1336</v>
      </c>
      <c r="I108" t="s">
        <v>1308</v>
      </c>
      <c r="J108" t="s">
        <v>993</v>
      </c>
      <c r="K108" t="s">
        <v>1124</v>
      </c>
      <c r="L108" t="s">
        <v>1125</v>
      </c>
      <c r="M108" t="s">
        <v>1028</v>
      </c>
      <c r="N108" t="s">
        <v>1126</v>
      </c>
      <c r="O108" t="s">
        <v>1127</v>
      </c>
      <c r="P108" t="s">
        <v>1128</v>
      </c>
      <c r="Q108" t="b">
        <v>1</v>
      </c>
      <c r="R108" t="b">
        <v>0</v>
      </c>
      <c r="S108" t="s">
        <v>1032</v>
      </c>
      <c r="T108" t="s">
        <v>992</v>
      </c>
      <c r="U108" t="s">
        <v>1140</v>
      </c>
      <c r="V108" t="s">
        <v>995</v>
      </c>
      <c r="W108" t="s">
        <v>1034</v>
      </c>
      <c r="X108" t="s">
        <v>1309</v>
      </c>
    </row>
    <row r="109" spans="1:24" x14ac:dyDescent="0.25">
      <c r="A109" t="s">
        <v>42</v>
      </c>
      <c r="B109" t="s">
        <v>1337</v>
      </c>
      <c r="C109" t="s">
        <v>281</v>
      </c>
      <c r="D109" t="s">
        <v>427</v>
      </c>
      <c r="E109" t="s">
        <v>1130</v>
      </c>
      <c r="F109">
        <v>-6255</v>
      </c>
      <c r="G109" t="s">
        <v>1051</v>
      </c>
      <c r="H109" t="s">
        <v>1338</v>
      </c>
      <c r="I109" t="s">
        <v>1308</v>
      </c>
      <c r="J109" t="s">
        <v>993</v>
      </c>
      <c r="K109" t="s">
        <v>1132</v>
      </c>
      <c r="L109" t="s">
        <v>1133</v>
      </c>
      <c r="M109" t="s">
        <v>1028</v>
      </c>
      <c r="N109" t="s">
        <v>1134</v>
      </c>
      <c r="O109" t="s">
        <v>1135</v>
      </c>
      <c r="P109" t="s">
        <v>1136</v>
      </c>
      <c r="Q109" t="b">
        <v>1</v>
      </c>
      <c r="R109" t="b">
        <v>0</v>
      </c>
      <c r="S109" t="s">
        <v>1099</v>
      </c>
      <c r="T109" t="s">
        <v>992</v>
      </c>
      <c r="U109" t="s">
        <v>1060</v>
      </c>
      <c r="V109" t="s">
        <v>995</v>
      </c>
      <c r="W109" t="s">
        <v>1034</v>
      </c>
      <c r="X109" t="s">
        <v>1100</v>
      </c>
    </row>
    <row r="110" spans="1:24" x14ac:dyDescent="0.25">
      <c r="A110" t="s">
        <v>42</v>
      </c>
      <c r="B110" t="s">
        <v>1339</v>
      </c>
      <c r="C110" t="s">
        <v>283</v>
      </c>
      <c r="D110" t="s">
        <v>992</v>
      </c>
      <c r="E110" t="s">
        <v>990</v>
      </c>
      <c r="F110">
        <v>0</v>
      </c>
      <c r="G110" t="s">
        <v>1085</v>
      </c>
      <c r="H110" t="s">
        <v>1340</v>
      </c>
      <c r="I110" t="s">
        <v>1341</v>
      </c>
      <c r="J110" t="s">
        <v>993</v>
      </c>
      <c r="K110" t="s">
        <v>992</v>
      </c>
      <c r="L110" t="s">
        <v>992</v>
      </c>
      <c r="M110" t="s">
        <v>992</v>
      </c>
      <c r="N110" t="s">
        <v>992</v>
      </c>
      <c r="O110" t="s">
        <v>992</v>
      </c>
      <c r="P110" t="s">
        <v>992</v>
      </c>
      <c r="Q110" t="b">
        <v>1</v>
      </c>
      <c r="R110" t="b">
        <v>0</v>
      </c>
      <c r="S110" t="s">
        <v>1032</v>
      </c>
      <c r="T110" t="s">
        <v>992</v>
      </c>
      <c r="U110" t="s">
        <v>1140</v>
      </c>
      <c r="V110" t="s">
        <v>1061</v>
      </c>
      <c r="W110" t="s">
        <v>1207</v>
      </c>
      <c r="X110" t="s">
        <v>1342</v>
      </c>
    </row>
    <row r="111" spans="1:24" x14ac:dyDescent="0.25">
      <c r="A111" t="s">
        <v>42</v>
      </c>
      <c r="B111" t="s">
        <v>1343</v>
      </c>
      <c r="C111" t="s">
        <v>283</v>
      </c>
      <c r="D111" t="s">
        <v>992</v>
      </c>
      <c r="E111" t="s">
        <v>999</v>
      </c>
      <c r="F111">
        <v>0</v>
      </c>
      <c r="G111" t="s">
        <v>1085</v>
      </c>
      <c r="H111" t="s">
        <v>1340</v>
      </c>
      <c r="I111" t="s">
        <v>1341</v>
      </c>
      <c r="J111" t="s">
        <v>993</v>
      </c>
      <c r="K111" t="s">
        <v>992</v>
      </c>
      <c r="L111" t="s">
        <v>992</v>
      </c>
      <c r="M111" t="s">
        <v>992</v>
      </c>
      <c r="N111" t="s">
        <v>992</v>
      </c>
      <c r="O111" t="s">
        <v>992</v>
      </c>
      <c r="P111" t="s">
        <v>992</v>
      </c>
      <c r="Q111" t="b">
        <v>1</v>
      </c>
      <c r="R111" t="b">
        <v>0</v>
      </c>
      <c r="S111" t="s">
        <v>1032</v>
      </c>
      <c r="T111" t="s">
        <v>992</v>
      </c>
      <c r="U111" t="s">
        <v>1140</v>
      </c>
      <c r="V111" t="s">
        <v>1061</v>
      </c>
      <c r="W111" t="s">
        <v>1207</v>
      </c>
      <c r="X111" t="s">
        <v>1344</v>
      </c>
    </row>
    <row r="112" spans="1:24" x14ac:dyDescent="0.25">
      <c r="A112" t="s">
        <v>42</v>
      </c>
      <c r="B112" t="s">
        <v>1345</v>
      </c>
      <c r="C112" t="s">
        <v>283</v>
      </c>
      <c r="D112" t="s">
        <v>992</v>
      </c>
      <c r="E112" t="s">
        <v>1001</v>
      </c>
      <c r="F112">
        <v>0</v>
      </c>
      <c r="G112" t="s">
        <v>1085</v>
      </c>
      <c r="H112" t="s">
        <v>1340</v>
      </c>
      <c r="I112" t="s">
        <v>1341</v>
      </c>
      <c r="J112" t="s">
        <v>993</v>
      </c>
      <c r="K112" t="s">
        <v>992</v>
      </c>
      <c r="L112" t="s">
        <v>992</v>
      </c>
      <c r="M112" t="s">
        <v>992</v>
      </c>
      <c r="N112" t="s">
        <v>992</v>
      </c>
      <c r="O112" t="s">
        <v>992</v>
      </c>
      <c r="P112" t="s">
        <v>992</v>
      </c>
      <c r="Q112" t="b">
        <v>1</v>
      </c>
      <c r="R112" t="b">
        <v>0</v>
      </c>
      <c r="S112" t="s">
        <v>1032</v>
      </c>
      <c r="T112" t="s">
        <v>992</v>
      </c>
      <c r="U112" t="s">
        <v>1140</v>
      </c>
      <c r="V112" t="s">
        <v>1061</v>
      </c>
      <c r="W112" t="s">
        <v>1207</v>
      </c>
      <c r="X112" t="s">
        <v>1346</v>
      </c>
    </row>
    <row r="113" spans="1:24" x14ac:dyDescent="0.25">
      <c r="A113" t="s">
        <v>42</v>
      </c>
      <c r="B113" t="s">
        <v>1347</v>
      </c>
      <c r="C113" t="s">
        <v>283</v>
      </c>
      <c r="D113" t="s">
        <v>992</v>
      </c>
      <c r="E113" t="s">
        <v>1003</v>
      </c>
      <c r="F113">
        <v>0</v>
      </c>
      <c r="G113" t="s">
        <v>1085</v>
      </c>
      <c r="H113" t="s">
        <v>1340</v>
      </c>
      <c r="I113" t="s">
        <v>1341</v>
      </c>
      <c r="J113" t="s">
        <v>993</v>
      </c>
      <c r="K113" t="s">
        <v>992</v>
      </c>
      <c r="L113" t="s">
        <v>992</v>
      </c>
      <c r="M113" t="s">
        <v>992</v>
      </c>
      <c r="N113" t="s">
        <v>992</v>
      </c>
      <c r="O113" t="s">
        <v>992</v>
      </c>
      <c r="P113" t="s">
        <v>992</v>
      </c>
      <c r="Q113" t="b">
        <v>1</v>
      </c>
      <c r="R113" t="b">
        <v>0</v>
      </c>
      <c r="S113" t="s">
        <v>1032</v>
      </c>
      <c r="T113" t="s">
        <v>992</v>
      </c>
      <c r="U113" t="s">
        <v>1140</v>
      </c>
      <c r="V113" t="s">
        <v>1061</v>
      </c>
      <c r="W113" t="s">
        <v>1207</v>
      </c>
      <c r="X113" t="s">
        <v>1348</v>
      </c>
    </row>
    <row r="114" spans="1:24" x14ac:dyDescent="0.25">
      <c r="A114" t="s">
        <v>42</v>
      </c>
      <c r="B114" t="s">
        <v>1349</v>
      </c>
      <c r="C114" t="s">
        <v>283</v>
      </c>
      <c r="D114" t="s">
        <v>992</v>
      </c>
      <c r="E114" t="s">
        <v>1005</v>
      </c>
      <c r="F114">
        <v>0</v>
      </c>
      <c r="G114" t="s">
        <v>1085</v>
      </c>
      <c r="H114" t="s">
        <v>1340</v>
      </c>
      <c r="I114" t="s">
        <v>1341</v>
      </c>
      <c r="J114" t="s">
        <v>993</v>
      </c>
      <c r="K114" t="s">
        <v>992</v>
      </c>
      <c r="L114" t="s">
        <v>992</v>
      </c>
      <c r="M114" t="s">
        <v>992</v>
      </c>
      <c r="N114" t="s">
        <v>992</v>
      </c>
      <c r="O114" t="s">
        <v>992</v>
      </c>
      <c r="P114" t="s">
        <v>992</v>
      </c>
      <c r="Q114" t="b">
        <v>1</v>
      </c>
      <c r="R114" t="b">
        <v>0</v>
      </c>
      <c r="S114" t="s">
        <v>1032</v>
      </c>
      <c r="T114" t="s">
        <v>992</v>
      </c>
      <c r="U114" t="s">
        <v>1140</v>
      </c>
      <c r="V114" t="s">
        <v>1061</v>
      </c>
      <c r="W114" t="s">
        <v>1207</v>
      </c>
      <c r="X114" t="s">
        <v>1350</v>
      </c>
    </row>
    <row r="115" spans="1:24" x14ac:dyDescent="0.25">
      <c r="A115" t="s">
        <v>42</v>
      </c>
      <c r="B115" t="s">
        <v>1351</v>
      </c>
      <c r="C115" t="s">
        <v>283</v>
      </c>
      <c r="D115" t="s">
        <v>992</v>
      </c>
      <c r="E115" t="s">
        <v>1007</v>
      </c>
      <c r="F115">
        <v>0</v>
      </c>
      <c r="G115" t="s">
        <v>1085</v>
      </c>
      <c r="H115" t="s">
        <v>1340</v>
      </c>
      <c r="I115" t="s">
        <v>1341</v>
      </c>
      <c r="J115" t="s">
        <v>993</v>
      </c>
      <c r="K115" t="s">
        <v>992</v>
      </c>
      <c r="L115" t="s">
        <v>992</v>
      </c>
      <c r="M115" t="s">
        <v>992</v>
      </c>
      <c r="N115" t="s">
        <v>992</v>
      </c>
      <c r="O115" t="s">
        <v>992</v>
      </c>
      <c r="P115" t="s">
        <v>992</v>
      </c>
      <c r="Q115" t="b">
        <v>1</v>
      </c>
      <c r="R115" t="b">
        <v>0</v>
      </c>
      <c r="S115" t="s">
        <v>1032</v>
      </c>
      <c r="T115" t="s">
        <v>992</v>
      </c>
      <c r="U115" t="s">
        <v>1140</v>
      </c>
      <c r="V115" t="s">
        <v>1061</v>
      </c>
      <c r="W115" t="s">
        <v>1207</v>
      </c>
      <c r="X115" t="s">
        <v>1352</v>
      </c>
    </row>
    <row r="116" spans="1:24" x14ac:dyDescent="0.25">
      <c r="A116" t="s">
        <v>42</v>
      </c>
      <c r="B116" t="s">
        <v>1353</v>
      </c>
      <c r="C116" t="s">
        <v>283</v>
      </c>
      <c r="D116" t="s">
        <v>992</v>
      </c>
      <c r="E116" t="s">
        <v>1009</v>
      </c>
      <c r="F116">
        <v>0</v>
      </c>
      <c r="G116" t="s">
        <v>1085</v>
      </c>
      <c r="H116" t="s">
        <v>1340</v>
      </c>
      <c r="I116" t="s">
        <v>1341</v>
      </c>
      <c r="J116" t="s">
        <v>993</v>
      </c>
      <c r="K116" t="s">
        <v>992</v>
      </c>
      <c r="L116" t="s">
        <v>992</v>
      </c>
      <c r="M116" t="s">
        <v>992</v>
      </c>
      <c r="N116" t="s">
        <v>992</v>
      </c>
      <c r="O116" t="s">
        <v>992</v>
      </c>
      <c r="P116" t="s">
        <v>992</v>
      </c>
      <c r="Q116" t="b">
        <v>1</v>
      </c>
      <c r="R116" t="b">
        <v>0</v>
      </c>
      <c r="S116" t="s">
        <v>1032</v>
      </c>
      <c r="T116" t="s">
        <v>992</v>
      </c>
      <c r="U116" t="s">
        <v>1140</v>
      </c>
      <c r="V116" t="s">
        <v>1061</v>
      </c>
      <c r="W116" t="s">
        <v>1207</v>
      </c>
      <c r="X116" t="s">
        <v>1354</v>
      </c>
    </row>
    <row r="117" spans="1:24" x14ac:dyDescent="0.25">
      <c r="A117" t="s">
        <v>42</v>
      </c>
      <c r="B117" t="s">
        <v>1355</v>
      </c>
      <c r="C117" t="s">
        <v>283</v>
      </c>
      <c r="D117" t="s">
        <v>992</v>
      </c>
      <c r="E117" t="s">
        <v>1011</v>
      </c>
      <c r="F117">
        <v>0</v>
      </c>
      <c r="G117" t="s">
        <v>1085</v>
      </c>
      <c r="H117" t="s">
        <v>1340</v>
      </c>
      <c r="I117" t="s">
        <v>1341</v>
      </c>
      <c r="J117" t="s">
        <v>993</v>
      </c>
      <c r="K117" t="s">
        <v>992</v>
      </c>
      <c r="L117" t="s">
        <v>992</v>
      </c>
      <c r="M117" t="s">
        <v>992</v>
      </c>
      <c r="N117" t="s">
        <v>992</v>
      </c>
      <c r="O117" t="s">
        <v>992</v>
      </c>
      <c r="P117" t="s">
        <v>992</v>
      </c>
      <c r="Q117" t="b">
        <v>1</v>
      </c>
      <c r="R117" t="b">
        <v>0</v>
      </c>
      <c r="S117" t="s">
        <v>1032</v>
      </c>
      <c r="T117" t="s">
        <v>992</v>
      </c>
      <c r="U117" t="s">
        <v>1140</v>
      </c>
      <c r="V117" t="s">
        <v>1061</v>
      </c>
      <c r="W117" t="s">
        <v>1207</v>
      </c>
      <c r="X117" t="s">
        <v>1356</v>
      </c>
    </row>
    <row r="118" spans="1:24" x14ac:dyDescent="0.25">
      <c r="A118" t="s">
        <v>42</v>
      </c>
      <c r="B118" t="s">
        <v>1357</v>
      </c>
      <c r="C118" t="s">
        <v>283</v>
      </c>
      <c r="D118" t="s">
        <v>992</v>
      </c>
      <c r="E118" t="s">
        <v>1013</v>
      </c>
      <c r="F118">
        <v>0</v>
      </c>
      <c r="G118" t="s">
        <v>1085</v>
      </c>
      <c r="H118" t="s">
        <v>1340</v>
      </c>
      <c r="I118" t="s">
        <v>1341</v>
      </c>
      <c r="J118" t="s">
        <v>993</v>
      </c>
      <c r="K118" t="s">
        <v>992</v>
      </c>
      <c r="L118" t="s">
        <v>992</v>
      </c>
      <c r="M118" t="s">
        <v>992</v>
      </c>
      <c r="N118" t="s">
        <v>992</v>
      </c>
      <c r="O118" t="s">
        <v>992</v>
      </c>
      <c r="P118" t="s">
        <v>992</v>
      </c>
      <c r="Q118" t="b">
        <v>1</v>
      </c>
      <c r="R118" t="b">
        <v>0</v>
      </c>
      <c r="S118" t="s">
        <v>1032</v>
      </c>
      <c r="T118" t="s">
        <v>992</v>
      </c>
      <c r="U118" t="s">
        <v>1140</v>
      </c>
      <c r="V118" t="s">
        <v>1061</v>
      </c>
      <c r="W118" t="s">
        <v>1207</v>
      </c>
      <c r="X118" t="s">
        <v>1358</v>
      </c>
    </row>
    <row r="119" spans="1:24" x14ac:dyDescent="0.25">
      <c r="A119" t="s">
        <v>42</v>
      </c>
      <c r="B119" t="s">
        <v>1359</v>
      </c>
      <c r="C119" t="s">
        <v>283</v>
      </c>
      <c r="D119" t="s">
        <v>992</v>
      </c>
      <c r="E119" t="s">
        <v>1015</v>
      </c>
      <c r="F119">
        <v>0</v>
      </c>
      <c r="G119" t="s">
        <v>1085</v>
      </c>
      <c r="H119" t="s">
        <v>1340</v>
      </c>
      <c r="I119" t="s">
        <v>1341</v>
      </c>
      <c r="J119" t="s">
        <v>993</v>
      </c>
      <c r="K119" t="s">
        <v>992</v>
      </c>
      <c r="L119" t="s">
        <v>992</v>
      </c>
      <c r="M119" t="s">
        <v>992</v>
      </c>
      <c r="N119" t="s">
        <v>992</v>
      </c>
      <c r="O119" t="s">
        <v>992</v>
      </c>
      <c r="P119" t="s">
        <v>992</v>
      </c>
      <c r="Q119" t="b">
        <v>1</v>
      </c>
      <c r="R119" t="b">
        <v>0</v>
      </c>
      <c r="S119" t="s">
        <v>1032</v>
      </c>
      <c r="T119" t="s">
        <v>992</v>
      </c>
      <c r="U119" t="s">
        <v>1140</v>
      </c>
      <c r="V119" t="s">
        <v>1061</v>
      </c>
      <c r="W119" t="s">
        <v>1207</v>
      </c>
      <c r="X119" t="s">
        <v>1360</v>
      </c>
    </row>
    <row r="120" spans="1:24" x14ac:dyDescent="0.25">
      <c r="A120" t="s">
        <v>42</v>
      </c>
      <c r="B120" t="s">
        <v>1361</v>
      </c>
      <c r="C120" t="s">
        <v>283</v>
      </c>
      <c r="D120" t="s">
        <v>992</v>
      </c>
      <c r="E120" t="s">
        <v>1017</v>
      </c>
      <c r="F120">
        <v>0</v>
      </c>
      <c r="G120" t="s">
        <v>1085</v>
      </c>
      <c r="H120" t="s">
        <v>1340</v>
      </c>
      <c r="I120" t="s">
        <v>1341</v>
      </c>
      <c r="J120" t="s">
        <v>993</v>
      </c>
      <c r="K120" t="s">
        <v>992</v>
      </c>
      <c r="L120" t="s">
        <v>992</v>
      </c>
      <c r="M120" t="s">
        <v>992</v>
      </c>
      <c r="N120" t="s">
        <v>992</v>
      </c>
      <c r="O120" t="s">
        <v>992</v>
      </c>
      <c r="P120" t="s">
        <v>992</v>
      </c>
      <c r="Q120" t="b">
        <v>1</v>
      </c>
      <c r="R120" t="b">
        <v>0</v>
      </c>
      <c r="S120" t="s">
        <v>1032</v>
      </c>
      <c r="T120" t="s">
        <v>992</v>
      </c>
      <c r="U120" t="s">
        <v>1140</v>
      </c>
      <c r="V120" t="s">
        <v>1061</v>
      </c>
      <c r="W120" t="s">
        <v>1207</v>
      </c>
      <c r="X120" t="s">
        <v>1362</v>
      </c>
    </row>
    <row r="121" spans="1:24" x14ac:dyDescent="0.25">
      <c r="A121" t="s">
        <v>42</v>
      </c>
      <c r="B121" t="s">
        <v>1363</v>
      </c>
      <c r="C121" t="s">
        <v>283</v>
      </c>
      <c r="D121" t="s">
        <v>992</v>
      </c>
      <c r="E121" t="s">
        <v>1019</v>
      </c>
      <c r="F121">
        <v>0</v>
      </c>
      <c r="G121" t="s">
        <v>1085</v>
      </c>
      <c r="H121" t="s">
        <v>1340</v>
      </c>
      <c r="I121" t="s">
        <v>1341</v>
      </c>
      <c r="J121" t="s">
        <v>993</v>
      </c>
      <c r="K121" t="s">
        <v>992</v>
      </c>
      <c r="L121" t="s">
        <v>992</v>
      </c>
      <c r="M121" t="s">
        <v>992</v>
      </c>
      <c r="N121" t="s">
        <v>992</v>
      </c>
      <c r="O121" t="s">
        <v>992</v>
      </c>
      <c r="P121" t="s">
        <v>992</v>
      </c>
      <c r="Q121" t="b">
        <v>1</v>
      </c>
      <c r="R121" t="b">
        <v>0</v>
      </c>
      <c r="S121" t="s">
        <v>1032</v>
      </c>
      <c r="T121" t="s">
        <v>992</v>
      </c>
      <c r="U121" t="s">
        <v>1140</v>
      </c>
      <c r="V121" t="s">
        <v>1061</v>
      </c>
      <c r="W121" t="s">
        <v>1207</v>
      </c>
      <c r="X121" t="s">
        <v>1364</v>
      </c>
    </row>
    <row r="122" spans="1:24" x14ac:dyDescent="0.25">
      <c r="A122" t="s">
        <v>42</v>
      </c>
      <c r="B122" t="s">
        <v>1365</v>
      </c>
      <c r="C122" t="s">
        <v>283</v>
      </c>
      <c r="D122" t="s">
        <v>992</v>
      </c>
      <c r="E122" t="s">
        <v>1021</v>
      </c>
      <c r="F122">
        <v>0</v>
      </c>
      <c r="G122" t="s">
        <v>1085</v>
      </c>
      <c r="H122" t="s">
        <v>1340</v>
      </c>
      <c r="I122" t="s">
        <v>1341</v>
      </c>
      <c r="J122" t="s">
        <v>993</v>
      </c>
      <c r="K122" t="s">
        <v>992</v>
      </c>
      <c r="L122" t="s">
        <v>992</v>
      </c>
      <c r="M122" t="s">
        <v>992</v>
      </c>
      <c r="N122" t="s">
        <v>992</v>
      </c>
      <c r="O122" t="s">
        <v>992</v>
      </c>
      <c r="P122" t="s">
        <v>992</v>
      </c>
      <c r="Q122" t="b">
        <v>1</v>
      </c>
      <c r="R122" t="b">
        <v>0</v>
      </c>
      <c r="S122" t="s">
        <v>1032</v>
      </c>
      <c r="T122" t="s">
        <v>992</v>
      </c>
      <c r="U122" t="s">
        <v>1140</v>
      </c>
      <c r="V122" t="s">
        <v>1061</v>
      </c>
      <c r="W122" t="s">
        <v>1207</v>
      </c>
      <c r="X122" t="s">
        <v>1366</v>
      </c>
    </row>
    <row r="123" spans="1:24" x14ac:dyDescent="0.25">
      <c r="A123" t="s">
        <v>42</v>
      </c>
      <c r="B123" t="s">
        <v>1367</v>
      </c>
      <c r="C123" t="s">
        <v>283</v>
      </c>
      <c r="D123" t="s">
        <v>992</v>
      </c>
      <c r="E123" t="s">
        <v>1130</v>
      </c>
      <c r="F123">
        <v>0</v>
      </c>
      <c r="G123" t="s">
        <v>1085</v>
      </c>
      <c r="H123" t="s">
        <v>1340</v>
      </c>
      <c r="I123" t="s">
        <v>1341</v>
      </c>
      <c r="J123" t="s">
        <v>993</v>
      </c>
      <c r="K123" t="s">
        <v>992</v>
      </c>
      <c r="L123" t="s">
        <v>992</v>
      </c>
      <c r="M123" t="s">
        <v>992</v>
      </c>
      <c r="N123" t="s">
        <v>992</v>
      </c>
      <c r="O123" t="s">
        <v>992</v>
      </c>
      <c r="P123" t="s">
        <v>992</v>
      </c>
      <c r="Q123" t="b">
        <v>1</v>
      </c>
      <c r="R123" t="b">
        <v>0</v>
      </c>
      <c r="S123" t="s">
        <v>1032</v>
      </c>
      <c r="T123" t="s">
        <v>992</v>
      </c>
      <c r="U123" t="s">
        <v>1140</v>
      </c>
      <c r="V123" t="s">
        <v>1061</v>
      </c>
      <c r="W123" t="s">
        <v>1207</v>
      </c>
      <c r="X123" t="s">
        <v>1368</v>
      </c>
    </row>
    <row r="124" spans="1:24" x14ac:dyDescent="0.25">
      <c r="A124" t="s">
        <v>42</v>
      </c>
      <c r="B124" t="s">
        <v>1369</v>
      </c>
      <c r="C124" t="s">
        <v>284</v>
      </c>
      <c r="D124" t="s">
        <v>992</v>
      </c>
      <c r="E124" t="s">
        <v>990</v>
      </c>
      <c r="F124">
        <v>0</v>
      </c>
      <c r="G124" t="s">
        <v>1085</v>
      </c>
      <c r="H124" t="s">
        <v>1370</v>
      </c>
      <c r="I124" t="s">
        <v>1371</v>
      </c>
      <c r="J124" t="s">
        <v>993</v>
      </c>
      <c r="K124" t="s">
        <v>992</v>
      </c>
      <c r="L124" t="s">
        <v>992</v>
      </c>
      <c r="M124" t="s">
        <v>992</v>
      </c>
      <c r="N124" t="s">
        <v>992</v>
      </c>
      <c r="O124" t="s">
        <v>992</v>
      </c>
      <c r="P124" t="s">
        <v>992</v>
      </c>
      <c r="Q124" t="b">
        <v>1</v>
      </c>
      <c r="R124" t="b">
        <v>0</v>
      </c>
      <c r="S124" t="s">
        <v>1032</v>
      </c>
      <c r="T124" t="s">
        <v>992</v>
      </c>
      <c r="U124" t="s">
        <v>1140</v>
      </c>
      <c r="V124" t="s">
        <v>1061</v>
      </c>
      <c r="W124" t="s">
        <v>1207</v>
      </c>
      <c r="X124" t="s">
        <v>1372</v>
      </c>
    </row>
    <row r="125" spans="1:24" x14ac:dyDescent="0.25">
      <c r="A125" t="s">
        <v>42</v>
      </c>
      <c r="B125" t="s">
        <v>1373</v>
      </c>
      <c r="C125" t="s">
        <v>284</v>
      </c>
      <c r="D125" t="s">
        <v>992</v>
      </c>
      <c r="E125" t="s">
        <v>999</v>
      </c>
      <c r="F125">
        <v>0</v>
      </c>
      <c r="G125" t="s">
        <v>1085</v>
      </c>
      <c r="H125" t="s">
        <v>1370</v>
      </c>
      <c r="I125" t="s">
        <v>1371</v>
      </c>
      <c r="J125" t="s">
        <v>993</v>
      </c>
      <c r="K125" t="s">
        <v>992</v>
      </c>
      <c r="L125" t="s">
        <v>992</v>
      </c>
      <c r="M125" t="s">
        <v>992</v>
      </c>
      <c r="N125" t="s">
        <v>992</v>
      </c>
      <c r="O125" t="s">
        <v>992</v>
      </c>
      <c r="P125" t="s">
        <v>992</v>
      </c>
      <c r="Q125" t="b">
        <v>1</v>
      </c>
      <c r="R125" t="b">
        <v>0</v>
      </c>
      <c r="S125" t="s">
        <v>1032</v>
      </c>
      <c r="T125" t="s">
        <v>992</v>
      </c>
      <c r="U125" t="s">
        <v>1140</v>
      </c>
      <c r="V125" t="s">
        <v>1061</v>
      </c>
      <c r="W125" t="s">
        <v>1207</v>
      </c>
      <c r="X125" t="s">
        <v>1374</v>
      </c>
    </row>
    <row r="126" spans="1:24" x14ac:dyDescent="0.25">
      <c r="A126" t="s">
        <v>42</v>
      </c>
      <c r="B126" t="s">
        <v>1375</v>
      </c>
      <c r="C126" t="s">
        <v>284</v>
      </c>
      <c r="E126" t="s">
        <v>1001</v>
      </c>
      <c r="F126">
        <v>0</v>
      </c>
      <c r="G126" t="s">
        <v>1051</v>
      </c>
      <c r="H126" t="s">
        <v>1370</v>
      </c>
      <c r="I126" t="s">
        <v>1371</v>
      </c>
      <c r="J126" t="s">
        <v>993</v>
      </c>
      <c r="K126" t="s">
        <v>992</v>
      </c>
      <c r="L126" t="s">
        <v>992</v>
      </c>
      <c r="M126" t="s">
        <v>992</v>
      </c>
      <c r="N126" t="s">
        <v>992</v>
      </c>
      <c r="O126" t="s">
        <v>992</v>
      </c>
      <c r="P126" t="s">
        <v>992</v>
      </c>
      <c r="Q126" t="b">
        <v>1</v>
      </c>
      <c r="R126" t="b">
        <v>0</v>
      </c>
      <c r="S126" t="s">
        <v>1099</v>
      </c>
      <c r="T126" t="s">
        <v>992</v>
      </c>
      <c r="U126" t="s">
        <v>1060</v>
      </c>
      <c r="V126" t="s">
        <v>1061</v>
      </c>
      <c r="W126" t="s">
        <v>1207</v>
      </c>
      <c r="X126" t="s">
        <v>1214</v>
      </c>
    </row>
    <row r="127" spans="1:24" x14ac:dyDescent="0.25">
      <c r="A127" t="s">
        <v>42</v>
      </c>
      <c r="B127" t="s">
        <v>1376</v>
      </c>
      <c r="C127" t="s">
        <v>284</v>
      </c>
      <c r="D127" t="s">
        <v>992</v>
      </c>
      <c r="E127" t="s">
        <v>1003</v>
      </c>
      <c r="F127">
        <v>0</v>
      </c>
      <c r="G127" t="s">
        <v>1085</v>
      </c>
      <c r="H127" t="s">
        <v>1370</v>
      </c>
      <c r="I127" t="s">
        <v>1371</v>
      </c>
      <c r="J127" t="s">
        <v>993</v>
      </c>
      <c r="K127" t="s">
        <v>992</v>
      </c>
      <c r="L127" t="s">
        <v>992</v>
      </c>
      <c r="M127" t="s">
        <v>992</v>
      </c>
      <c r="N127" t="s">
        <v>992</v>
      </c>
      <c r="O127" t="s">
        <v>992</v>
      </c>
      <c r="P127" t="s">
        <v>992</v>
      </c>
      <c r="Q127" t="b">
        <v>1</v>
      </c>
      <c r="R127" t="b">
        <v>0</v>
      </c>
      <c r="S127" t="s">
        <v>1032</v>
      </c>
      <c r="T127" t="s">
        <v>992</v>
      </c>
      <c r="U127" t="s">
        <v>1140</v>
      </c>
      <c r="V127" t="s">
        <v>1061</v>
      </c>
      <c r="W127" t="s">
        <v>1207</v>
      </c>
      <c r="X127" t="s">
        <v>1377</v>
      </c>
    </row>
    <row r="128" spans="1:24" x14ac:dyDescent="0.25">
      <c r="A128" t="s">
        <v>42</v>
      </c>
      <c r="B128" t="s">
        <v>1378</v>
      </c>
      <c r="C128" t="s">
        <v>284</v>
      </c>
      <c r="D128" t="s">
        <v>992</v>
      </c>
      <c r="E128" t="s">
        <v>1005</v>
      </c>
      <c r="F128">
        <v>0</v>
      </c>
      <c r="G128" t="s">
        <v>1085</v>
      </c>
      <c r="H128" t="s">
        <v>1370</v>
      </c>
      <c r="I128" t="s">
        <v>1371</v>
      </c>
      <c r="J128" t="s">
        <v>993</v>
      </c>
      <c r="K128" t="s">
        <v>992</v>
      </c>
      <c r="L128" t="s">
        <v>992</v>
      </c>
      <c r="M128" t="s">
        <v>992</v>
      </c>
      <c r="N128" t="s">
        <v>992</v>
      </c>
      <c r="O128" t="s">
        <v>992</v>
      </c>
      <c r="P128" t="s">
        <v>992</v>
      </c>
      <c r="Q128" t="b">
        <v>1</v>
      </c>
      <c r="R128" t="b">
        <v>0</v>
      </c>
      <c r="S128" t="s">
        <v>1032</v>
      </c>
      <c r="T128" t="s">
        <v>992</v>
      </c>
      <c r="U128" t="s">
        <v>1140</v>
      </c>
      <c r="V128" t="s">
        <v>1061</v>
      </c>
      <c r="W128" t="s">
        <v>1207</v>
      </c>
      <c r="X128" t="s">
        <v>1379</v>
      </c>
    </row>
    <row r="129" spans="1:24" x14ac:dyDescent="0.25">
      <c r="A129" t="s">
        <v>42</v>
      </c>
      <c r="B129" t="s">
        <v>1380</v>
      </c>
      <c r="C129" t="s">
        <v>284</v>
      </c>
      <c r="D129" t="s">
        <v>992</v>
      </c>
      <c r="E129" t="s">
        <v>1007</v>
      </c>
      <c r="F129">
        <v>0</v>
      </c>
      <c r="G129" t="s">
        <v>1085</v>
      </c>
      <c r="H129" t="s">
        <v>1370</v>
      </c>
      <c r="I129" t="s">
        <v>1371</v>
      </c>
      <c r="J129" t="s">
        <v>993</v>
      </c>
      <c r="K129" t="s">
        <v>992</v>
      </c>
      <c r="L129" t="s">
        <v>992</v>
      </c>
      <c r="M129" t="s">
        <v>992</v>
      </c>
      <c r="N129" t="s">
        <v>992</v>
      </c>
      <c r="O129" t="s">
        <v>992</v>
      </c>
      <c r="P129" t="s">
        <v>992</v>
      </c>
      <c r="Q129" t="b">
        <v>1</v>
      </c>
      <c r="R129" t="b">
        <v>0</v>
      </c>
      <c r="S129" t="s">
        <v>1032</v>
      </c>
      <c r="T129" t="s">
        <v>992</v>
      </c>
      <c r="U129" t="s">
        <v>1140</v>
      </c>
      <c r="V129" t="s">
        <v>1061</v>
      </c>
      <c r="W129" t="s">
        <v>1207</v>
      </c>
      <c r="X129" t="s">
        <v>1381</v>
      </c>
    </row>
    <row r="130" spans="1:24" x14ac:dyDescent="0.25">
      <c r="A130" t="s">
        <v>42</v>
      </c>
      <c r="B130" t="s">
        <v>1382</v>
      </c>
      <c r="C130" t="s">
        <v>284</v>
      </c>
      <c r="D130" t="s">
        <v>992</v>
      </c>
      <c r="E130" t="s">
        <v>1009</v>
      </c>
      <c r="F130">
        <v>0</v>
      </c>
      <c r="G130" t="s">
        <v>1085</v>
      </c>
      <c r="H130" t="s">
        <v>1370</v>
      </c>
      <c r="I130" t="s">
        <v>1371</v>
      </c>
      <c r="J130" t="s">
        <v>993</v>
      </c>
      <c r="K130" t="s">
        <v>992</v>
      </c>
      <c r="L130" t="s">
        <v>992</v>
      </c>
      <c r="M130" t="s">
        <v>992</v>
      </c>
      <c r="N130" t="s">
        <v>992</v>
      </c>
      <c r="O130" t="s">
        <v>992</v>
      </c>
      <c r="P130" t="s">
        <v>992</v>
      </c>
      <c r="Q130" t="b">
        <v>1</v>
      </c>
      <c r="R130" t="b">
        <v>0</v>
      </c>
      <c r="S130" t="s">
        <v>1032</v>
      </c>
      <c r="T130" t="s">
        <v>992</v>
      </c>
      <c r="U130" t="s">
        <v>1140</v>
      </c>
      <c r="V130" t="s">
        <v>1061</v>
      </c>
      <c r="W130" t="s">
        <v>1207</v>
      </c>
      <c r="X130" t="s">
        <v>1383</v>
      </c>
    </row>
    <row r="131" spans="1:24" x14ac:dyDescent="0.25">
      <c r="A131" t="s">
        <v>42</v>
      </c>
      <c r="B131" t="s">
        <v>1384</v>
      </c>
      <c r="C131" t="s">
        <v>284</v>
      </c>
      <c r="D131" t="s">
        <v>992</v>
      </c>
      <c r="E131" t="s">
        <v>1011</v>
      </c>
      <c r="F131">
        <v>0</v>
      </c>
      <c r="G131" t="s">
        <v>1085</v>
      </c>
      <c r="H131" t="s">
        <v>1370</v>
      </c>
      <c r="I131" t="s">
        <v>1371</v>
      </c>
      <c r="J131" t="s">
        <v>993</v>
      </c>
      <c r="K131" t="s">
        <v>992</v>
      </c>
      <c r="L131" t="s">
        <v>992</v>
      </c>
      <c r="M131" t="s">
        <v>992</v>
      </c>
      <c r="N131" t="s">
        <v>992</v>
      </c>
      <c r="O131" t="s">
        <v>992</v>
      </c>
      <c r="P131" t="s">
        <v>992</v>
      </c>
      <c r="Q131" t="b">
        <v>1</v>
      </c>
      <c r="R131" t="b">
        <v>0</v>
      </c>
      <c r="S131" t="s">
        <v>1032</v>
      </c>
      <c r="T131" t="s">
        <v>992</v>
      </c>
      <c r="U131" t="s">
        <v>1140</v>
      </c>
      <c r="V131" t="s">
        <v>1061</v>
      </c>
      <c r="W131" t="s">
        <v>1207</v>
      </c>
      <c r="X131" t="s">
        <v>1385</v>
      </c>
    </row>
    <row r="132" spans="1:24" x14ac:dyDescent="0.25">
      <c r="A132" t="s">
        <v>42</v>
      </c>
      <c r="B132" t="s">
        <v>1386</v>
      </c>
      <c r="C132" t="s">
        <v>284</v>
      </c>
      <c r="D132" t="s">
        <v>992</v>
      </c>
      <c r="E132" t="s">
        <v>1013</v>
      </c>
      <c r="F132">
        <v>0</v>
      </c>
      <c r="G132" t="s">
        <v>1085</v>
      </c>
      <c r="H132" t="s">
        <v>1370</v>
      </c>
      <c r="I132" t="s">
        <v>1371</v>
      </c>
      <c r="J132" t="s">
        <v>993</v>
      </c>
      <c r="K132" t="s">
        <v>992</v>
      </c>
      <c r="L132" t="s">
        <v>992</v>
      </c>
      <c r="M132" t="s">
        <v>992</v>
      </c>
      <c r="N132" t="s">
        <v>992</v>
      </c>
      <c r="O132" t="s">
        <v>992</v>
      </c>
      <c r="P132" t="s">
        <v>992</v>
      </c>
      <c r="Q132" t="b">
        <v>1</v>
      </c>
      <c r="R132" t="b">
        <v>0</v>
      </c>
      <c r="S132" t="s">
        <v>1032</v>
      </c>
      <c r="T132" t="s">
        <v>992</v>
      </c>
      <c r="U132" t="s">
        <v>1140</v>
      </c>
      <c r="V132" t="s">
        <v>1061</v>
      </c>
      <c r="W132" t="s">
        <v>1207</v>
      </c>
      <c r="X132" t="s">
        <v>1387</v>
      </c>
    </row>
    <row r="133" spans="1:24" x14ac:dyDescent="0.25">
      <c r="A133" t="s">
        <v>42</v>
      </c>
      <c r="B133" t="s">
        <v>1388</v>
      </c>
      <c r="C133" t="s">
        <v>284</v>
      </c>
      <c r="D133" t="s">
        <v>992</v>
      </c>
      <c r="E133" t="s">
        <v>1015</v>
      </c>
      <c r="F133">
        <v>0</v>
      </c>
      <c r="G133" t="s">
        <v>1085</v>
      </c>
      <c r="H133" t="s">
        <v>1370</v>
      </c>
      <c r="I133" t="s">
        <v>1371</v>
      </c>
      <c r="J133" t="s">
        <v>993</v>
      </c>
      <c r="K133" t="s">
        <v>992</v>
      </c>
      <c r="L133" t="s">
        <v>992</v>
      </c>
      <c r="M133" t="s">
        <v>992</v>
      </c>
      <c r="N133" t="s">
        <v>992</v>
      </c>
      <c r="O133" t="s">
        <v>992</v>
      </c>
      <c r="P133" t="s">
        <v>992</v>
      </c>
      <c r="Q133" t="b">
        <v>1</v>
      </c>
      <c r="R133" t="b">
        <v>0</v>
      </c>
      <c r="S133" t="s">
        <v>1032</v>
      </c>
      <c r="T133" t="s">
        <v>992</v>
      </c>
      <c r="U133" t="s">
        <v>1140</v>
      </c>
      <c r="V133" t="s">
        <v>1061</v>
      </c>
      <c r="W133" t="s">
        <v>1207</v>
      </c>
      <c r="X133" t="s">
        <v>1389</v>
      </c>
    </row>
    <row r="134" spans="1:24" x14ac:dyDescent="0.25">
      <c r="A134" t="s">
        <v>42</v>
      </c>
      <c r="B134" t="s">
        <v>1390</v>
      </c>
      <c r="C134" t="s">
        <v>284</v>
      </c>
      <c r="D134" t="s">
        <v>992</v>
      </c>
      <c r="E134" t="s">
        <v>1017</v>
      </c>
      <c r="F134">
        <v>0</v>
      </c>
      <c r="G134" t="s">
        <v>1085</v>
      </c>
      <c r="H134" t="s">
        <v>1370</v>
      </c>
      <c r="I134" t="s">
        <v>1371</v>
      </c>
      <c r="J134" t="s">
        <v>993</v>
      </c>
      <c r="K134" t="s">
        <v>992</v>
      </c>
      <c r="L134" t="s">
        <v>992</v>
      </c>
      <c r="M134" t="s">
        <v>992</v>
      </c>
      <c r="N134" t="s">
        <v>992</v>
      </c>
      <c r="O134" t="s">
        <v>992</v>
      </c>
      <c r="P134" t="s">
        <v>992</v>
      </c>
      <c r="Q134" t="b">
        <v>1</v>
      </c>
      <c r="R134" t="b">
        <v>0</v>
      </c>
      <c r="S134" t="s">
        <v>1032</v>
      </c>
      <c r="T134" t="s">
        <v>992</v>
      </c>
      <c r="U134" t="s">
        <v>1140</v>
      </c>
      <c r="V134" t="s">
        <v>1061</v>
      </c>
      <c r="W134" t="s">
        <v>1207</v>
      </c>
      <c r="X134" t="s">
        <v>1391</v>
      </c>
    </row>
    <row r="135" spans="1:24" x14ac:dyDescent="0.25">
      <c r="A135" t="s">
        <v>42</v>
      </c>
      <c r="B135" t="s">
        <v>1392</v>
      </c>
      <c r="C135" t="s">
        <v>284</v>
      </c>
      <c r="D135" t="s">
        <v>992</v>
      </c>
      <c r="E135" t="s">
        <v>1019</v>
      </c>
      <c r="F135">
        <v>0</v>
      </c>
      <c r="G135" t="s">
        <v>1085</v>
      </c>
      <c r="H135" t="s">
        <v>1370</v>
      </c>
      <c r="I135" t="s">
        <v>1371</v>
      </c>
      <c r="J135" t="s">
        <v>993</v>
      </c>
      <c r="K135" t="s">
        <v>992</v>
      </c>
      <c r="L135" t="s">
        <v>992</v>
      </c>
      <c r="M135" t="s">
        <v>992</v>
      </c>
      <c r="N135" t="s">
        <v>992</v>
      </c>
      <c r="O135" t="s">
        <v>992</v>
      </c>
      <c r="P135" t="s">
        <v>992</v>
      </c>
      <c r="Q135" t="b">
        <v>1</v>
      </c>
      <c r="R135" t="b">
        <v>0</v>
      </c>
      <c r="S135" t="s">
        <v>1032</v>
      </c>
      <c r="T135" t="s">
        <v>992</v>
      </c>
      <c r="U135" t="s">
        <v>1140</v>
      </c>
      <c r="V135" t="s">
        <v>1061</v>
      </c>
      <c r="W135" t="s">
        <v>1207</v>
      </c>
      <c r="X135" t="s">
        <v>1393</v>
      </c>
    </row>
    <row r="136" spans="1:24" x14ac:dyDescent="0.25">
      <c r="A136" t="s">
        <v>42</v>
      </c>
      <c r="B136" t="s">
        <v>1394</v>
      </c>
      <c r="C136" t="s">
        <v>284</v>
      </c>
      <c r="D136" t="s">
        <v>992</v>
      </c>
      <c r="E136" t="s">
        <v>1021</v>
      </c>
      <c r="F136">
        <v>0</v>
      </c>
      <c r="G136" t="s">
        <v>1085</v>
      </c>
      <c r="H136" t="s">
        <v>1370</v>
      </c>
      <c r="I136" t="s">
        <v>1371</v>
      </c>
      <c r="J136" t="s">
        <v>993</v>
      </c>
      <c r="K136" t="s">
        <v>992</v>
      </c>
      <c r="L136" t="s">
        <v>992</v>
      </c>
      <c r="M136" t="s">
        <v>992</v>
      </c>
      <c r="N136" t="s">
        <v>992</v>
      </c>
      <c r="O136" t="s">
        <v>992</v>
      </c>
      <c r="P136" t="s">
        <v>992</v>
      </c>
      <c r="Q136" t="b">
        <v>1</v>
      </c>
      <c r="R136" t="b">
        <v>0</v>
      </c>
      <c r="S136" t="s">
        <v>1032</v>
      </c>
      <c r="T136" t="s">
        <v>992</v>
      </c>
      <c r="U136" t="s">
        <v>1140</v>
      </c>
      <c r="V136" t="s">
        <v>1061</v>
      </c>
      <c r="W136" t="s">
        <v>1207</v>
      </c>
      <c r="X136" t="s">
        <v>1395</v>
      </c>
    </row>
    <row r="137" spans="1:24" x14ac:dyDescent="0.25">
      <c r="A137" t="s">
        <v>42</v>
      </c>
      <c r="B137" t="s">
        <v>1396</v>
      </c>
      <c r="C137" t="s">
        <v>284</v>
      </c>
      <c r="D137" t="s">
        <v>992</v>
      </c>
      <c r="E137" t="s">
        <v>1130</v>
      </c>
      <c r="F137">
        <v>0</v>
      </c>
      <c r="G137" t="s">
        <v>1085</v>
      </c>
      <c r="H137" t="s">
        <v>1370</v>
      </c>
      <c r="I137" t="s">
        <v>1371</v>
      </c>
      <c r="J137" t="s">
        <v>993</v>
      </c>
      <c r="K137" t="s">
        <v>992</v>
      </c>
      <c r="L137" t="s">
        <v>992</v>
      </c>
      <c r="M137" t="s">
        <v>992</v>
      </c>
      <c r="N137" t="s">
        <v>992</v>
      </c>
      <c r="O137" t="s">
        <v>992</v>
      </c>
      <c r="P137" t="s">
        <v>992</v>
      </c>
      <c r="Q137" t="b">
        <v>1</v>
      </c>
      <c r="R137" t="b">
        <v>0</v>
      </c>
      <c r="S137" t="s">
        <v>1032</v>
      </c>
      <c r="T137" t="s">
        <v>992</v>
      </c>
      <c r="U137" t="s">
        <v>1140</v>
      </c>
      <c r="V137" t="s">
        <v>1061</v>
      </c>
      <c r="W137" t="s">
        <v>1207</v>
      </c>
      <c r="X137" t="s">
        <v>1397</v>
      </c>
    </row>
    <row r="138" spans="1:24" x14ac:dyDescent="0.25">
      <c r="A138" t="s">
        <v>42</v>
      </c>
      <c r="B138" t="s">
        <v>1398</v>
      </c>
      <c r="C138" t="s">
        <v>285</v>
      </c>
      <c r="D138" t="s">
        <v>992</v>
      </c>
      <c r="E138" t="s">
        <v>990</v>
      </c>
      <c r="F138">
        <v>0</v>
      </c>
      <c r="G138" t="s">
        <v>1085</v>
      </c>
      <c r="H138" t="s">
        <v>1399</v>
      </c>
      <c r="I138" t="s">
        <v>1400</v>
      </c>
      <c r="J138" t="s">
        <v>993</v>
      </c>
      <c r="K138" t="s">
        <v>992</v>
      </c>
      <c r="L138" t="s">
        <v>992</v>
      </c>
      <c r="M138" t="s">
        <v>992</v>
      </c>
      <c r="N138" t="s">
        <v>992</v>
      </c>
      <c r="O138" t="s">
        <v>992</v>
      </c>
      <c r="P138" t="s">
        <v>992</v>
      </c>
      <c r="Q138" t="b">
        <v>1</v>
      </c>
      <c r="R138" t="b">
        <v>0</v>
      </c>
      <c r="S138" t="s">
        <v>1032</v>
      </c>
      <c r="T138" t="s">
        <v>992</v>
      </c>
      <c r="U138" t="s">
        <v>1140</v>
      </c>
      <c r="V138" t="s">
        <v>1061</v>
      </c>
      <c r="W138" t="s">
        <v>1207</v>
      </c>
      <c r="X138" t="s">
        <v>1401</v>
      </c>
    </row>
    <row r="139" spans="1:24" x14ac:dyDescent="0.25">
      <c r="A139" t="s">
        <v>42</v>
      </c>
      <c r="B139" t="s">
        <v>1402</v>
      </c>
      <c r="C139" t="s">
        <v>285</v>
      </c>
      <c r="D139" t="s">
        <v>992</v>
      </c>
      <c r="E139" t="s">
        <v>999</v>
      </c>
      <c r="F139">
        <v>0</v>
      </c>
      <c r="G139" t="s">
        <v>1085</v>
      </c>
      <c r="H139" t="s">
        <v>1399</v>
      </c>
      <c r="I139" t="s">
        <v>1400</v>
      </c>
      <c r="J139" t="s">
        <v>993</v>
      </c>
      <c r="K139" t="s">
        <v>992</v>
      </c>
      <c r="L139" t="s">
        <v>992</v>
      </c>
      <c r="M139" t="s">
        <v>992</v>
      </c>
      <c r="N139" t="s">
        <v>992</v>
      </c>
      <c r="O139" t="s">
        <v>992</v>
      </c>
      <c r="P139" t="s">
        <v>992</v>
      </c>
      <c r="Q139" t="b">
        <v>1</v>
      </c>
      <c r="R139" t="b">
        <v>0</v>
      </c>
      <c r="S139" t="s">
        <v>1032</v>
      </c>
      <c r="T139" t="s">
        <v>992</v>
      </c>
      <c r="U139" t="s">
        <v>1140</v>
      </c>
      <c r="V139" t="s">
        <v>1061</v>
      </c>
      <c r="W139" t="s">
        <v>1207</v>
      </c>
      <c r="X139" t="s">
        <v>1403</v>
      </c>
    </row>
    <row r="140" spans="1:24" x14ac:dyDescent="0.25">
      <c r="A140" t="s">
        <v>42</v>
      </c>
      <c r="B140" t="s">
        <v>1404</v>
      </c>
      <c r="C140" t="s">
        <v>285</v>
      </c>
      <c r="D140" t="s">
        <v>992</v>
      </c>
      <c r="E140" t="s">
        <v>1001</v>
      </c>
      <c r="F140">
        <v>0</v>
      </c>
      <c r="G140" t="s">
        <v>1085</v>
      </c>
      <c r="H140" t="s">
        <v>1399</v>
      </c>
      <c r="I140" t="s">
        <v>1400</v>
      </c>
      <c r="J140" t="s">
        <v>993</v>
      </c>
      <c r="K140" t="s">
        <v>992</v>
      </c>
      <c r="L140" t="s">
        <v>992</v>
      </c>
      <c r="M140" t="s">
        <v>992</v>
      </c>
      <c r="N140" t="s">
        <v>992</v>
      </c>
      <c r="O140" t="s">
        <v>992</v>
      </c>
      <c r="P140" t="s">
        <v>992</v>
      </c>
      <c r="Q140" t="b">
        <v>1</v>
      </c>
      <c r="R140" t="b">
        <v>0</v>
      </c>
      <c r="S140" t="s">
        <v>1032</v>
      </c>
      <c r="T140" t="s">
        <v>992</v>
      </c>
      <c r="U140" t="s">
        <v>1140</v>
      </c>
      <c r="V140" t="s">
        <v>1061</v>
      </c>
      <c r="W140" t="s">
        <v>1207</v>
      </c>
      <c r="X140" t="s">
        <v>1405</v>
      </c>
    </row>
    <row r="141" spans="1:24" x14ac:dyDescent="0.25">
      <c r="A141" t="s">
        <v>42</v>
      </c>
      <c r="B141" t="s">
        <v>1406</v>
      </c>
      <c r="C141" t="s">
        <v>285</v>
      </c>
      <c r="D141" t="s">
        <v>992</v>
      </c>
      <c r="E141" t="s">
        <v>1003</v>
      </c>
      <c r="F141">
        <v>0</v>
      </c>
      <c r="G141" t="s">
        <v>1085</v>
      </c>
      <c r="H141" t="s">
        <v>1399</v>
      </c>
      <c r="I141" t="s">
        <v>1400</v>
      </c>
      <c r="J141" t="s">
        <v>993</v>
      </c>
      <c r="K141" t="s">
        <v>992</v>
      </c>
      <c r="L141" t="s">
        <v>992</v>
      </c>
      <c r="M141" t="s">
        <v>992</v>
      </c>
      <c r="N141" t="s">
        <v>992</v>
      </c>
      <c r="O141" t="s">
        <v>992</v>
      </c>
      <c r="P141" t="s">
        <v>992</v>
      </c>
      <c r="Q141" t="b">
        <v>1</v>
      </c>
      <c r="R141" t="b">
        <v>0</v>
      </c>
      <c r="S141" t="s">
        <v>1032</v>
      </c>
      <c r="T141" t="s">
        <v>992</v>
      </c>
      <c r="U141" t="s">
        <v>1140</v>
      </c>
      <c r="V141" t="s">
        <v>1061</v>
      </c>
      <c r="W141" t="s">
        <v>1207</v>
      </c>
      <c r="X141" t="s">
        <v>1407</v>
      </c>
    </row>
    <row r="142" spans="1:24" x14ac:dyDescent="0.25">
      <c r="A142" t="s">
        <v>42</v>
      </c>
      <c r="B142" t="s">
        <v>1408</v>
      </c>
      <c r="C142" t="s">
        <v>285</v>
      </c>
      <c r="D142" t="s">
        <v>992</v>
      </c>
      <c r="E142" t="s">
        <v>1005</v>
      </c>
      <c r="F142">
        <v>0</v>
      </c>
      <c r="G142" t="s">
        <v>1085</v>
      </c>
      <c r="H142" t="s">
        <v>1399</v>
      </c>
      <c r="I142" t="s">
        <v>1400</v>
      </c>
      <c r="J142" t="s">
        <v>993</v>
      </c>
      <c r="K142" t="s">
        <v>992</v>
      </c>
      <c r="L142" t="s">
        <v>992</v>
      </c>
      <c r="M142" t="s">
        <v>992</v>
      </c>
      <c r="N142" t="s">
        <v>992</v>
      </c>
      <c r="O142" t="s">
        <v>992</v>
      </c>
      <c r="P142" t="s">
        <v>992</v>
      </c>
      <c r="Q142" t="b">
        <v>1</v>
      </c>
      <c r="R142" t="b">
        <v>0</v>
      </c>
      <c r="S142" t="s">
        <v>1032</v>
      </c>
      <c r="T142" t="s">
        <v>992</v>
      </c>
      <c r="U142" t="s">
        <v>1140</v>
      </c>
      <c r="V142" t="s">
        <v>1061</v>
      </c>
      <c r="W142" t="s">
        <v>1207</v>
      </c>
      <c r="X142" t="s">
        <v>1409</v>
      </c>
    </row>
    <row r="143" spans="1:24" x14ac:dyDescent="0.25">
      <c r="A143" t="s">
        <v>42</v>
      </c>
      <c r="B143" t="s">
        <v>1410</v>
      </c>
      <c r="C143" t="s">
        <v>285</v>
      </c>
      <c r="D143" t="s">
        <v>992</v>
      </c>
      <c r="E143" t="s">
        <v>1007</v>
      </c>
      <c r="F143">
        <v>0</v>
      </c>
      <c r="G143" t="s">
        <v>1085</v>
      </c>
      <c r="H143" t="s">
        <v>1399</v>
      </c>
      <c r="I143" t="s">
        <v>1400</v>
      </c>
      <c r="J143" t="s">
        <v>993</v>
      </c>
      <c r="K143" t="s">
        <v>992</v>
      </c>
      <c r="L143" t="s">
        <v>992</v>
      </c>
      <c r="M143" t="s">
        <v>992</v>
      </c>
      <c r="N143" t="s">
        <v>992</v>
      </c>
      <c r="O143" t="s">
        <v>992</v>
      </c>
      <c r="P143" t="s">
        <v>992</v>
      </c>
      <c r="Q143" t="b">
        <v>1</v>
      </c>
      <c r="R143" t="b">
        <v>0</v>
      </c>
      <c r="S143" t="s">
        <v>1032</v>
      </c>
      <c r="T143" t="s">
        <v>992</v>
      </c>
      <c r="U143" t="s">
        <v>1140</v>
      </c>
      <c r="V143" t="s">
        <v>1061</v>
      </c>
      <c r="W143" t="s">
        <v>1207</v>
      </c>
      <c r="X143" t="s">
        <v>1411</v>
      </c>
    </row>
    <row r="144" spans="1:24" x14ac:dyDescent="0.25">
      <c r="A144" t="s">
        <v>42</v>
      </c>
      <c r="B144" t="s">
        <v>1412</v>
      </c>
      <c r="C144" t="s">
        <v>285</v>
      </c>
      <c r="D144" t="s">
        <v>992</v>
      </c>
      <c r="E144" t="s">
        <v>1009</v>
      </c>
      <c r="F144">
        <v>0</v>
      </c>
      <c r="G144" t="s">
        <v>1085</v>
      </c>
      <c r="H144" t="s">
        <v>1399</v>
      </c>
      <c r="I144" t="s">
        <v>1400</v>
      </c>
      <c r="J144" t="s">
        <v>993</v>
      </c>
      <c r="K144" t="s">
        <v>992</v>
      </c>
      <c r="L144" t="s">
        <v>992</v>
      </c>
      <c r="M144" t="s">
        <v>992</v>
      </c>
      <c r="N144" t="s">
        <v>992</v>
      </c>
      <c r="O144" t="s">
        <v>992</v>
      </c>
      <c r="P144" t="s">
        <v>992</v>
      </c>
      <c r="Q144" t="b">
        <v>1</v>
      </c>
      <c r="R144" t="b">
        <v>0</v>
      </c>
      <c r="S144" t="s">
        <v>1032</v>
      </c>
      <c r="T144" t="s">
        <v>992</v>
      </c>
      <c r="U144" t="s">
        <v>1140</v>
      </c>
      <c r="V144" t="s">
        <v>1061</v>
      </c>
      <c r="W144" t="s">
        <v>1207</v>
      </c>
      <c r="X144" t="s">
        <v>1413</v>
      </c>
    </row>
    <row r="145" spans="1:24" x14ac:dyDescent="0.25">
      <c r="A145" t="s">
        <v>42</v>
      </c>
      <c r="B145" t="s">
        <v>1414</v>
      </c>
      <c r="C145" t="s">
        <v>285</v>
      </c>
      <c r="D145" t="s">
        <v>992</v>
      </c>
      <c r="E145" t="s">
        <v>1011</v>
      </c>
      <c r="F145">
        <v>0</v>
      </c>
      <c r="G145" t="s">
        <v>1085</v>
      </c>
      <c r="H145" t="s">
        <v>1399</v>
      </c>
      <c r="I145" t="s">
        <v>1400</v>
      </c>
      <c r="J145" t="s">
        <v>993</v>
      </c>
      <c r="K145" t="s">
        <v>992</v>
      </c>
      <c r="L145" t="s">
        <v>992</v>
      </c>
      <c r="M145" t="s">
        <v>992</v>
      </c>
      <c r="N145" t="s">
        <v>992</v>
      </c>
      <c r="O145" t="s">
        <v>992</v>
      </c>
      <c r="P145" t="s">
        <v>992</v>
      </c>
      <c r="Q145" t="b">
        <v>1</v>
      </c>
      <c r="R145" t="b">
        <v>0</v>
      </c>
      <c r="S145" t="s">
        <v>1032</v>
      </c>
      <c r="T145" t="s">
        <v>992</v>
      </c>
      <c r="U145" t="s">
        <v>1140</v>
      </c>
      <c r="V145" t="s">
        <v>1061</v>
      </c>
      <c r="W145" t="s">
        <v>1207</v>
      </c>
      <c r="X145" t="s">
        <v>1415</v>
      </c>
    </row>
    <row r="146" spans="1:24" x14ac:dyDescent="0.25">
      <c r="A146" t="s">
        <v>42</v>
      </c>
      <c r="B146" t="s">
        <v>1416</v>
      </c>
      <c r="C146" t="s">
        <v>285</v>
      </c>
      <c r="D146" t="s">
        <v>992</v>
      </c>
      <c r="E146" t="s">
        <v>1021</v>
      </c>
      <c r="F146">
        <v>0</v>
      </c>
      <c r="G146" t="s">
        <v>1085</v>
      </c>
      <c r="H146" t="s">
        <v>1399</v>
      </c>
      <c r="I146" t="s">
        <v>1400</v>
      </c>
      <c r="J146" t="s">
        <v>993</v>
      </c>
      <c r="K146" t="s">
        <v>992</v>
      </c>
      <c r="L146" t="s">
        <v>992</v>
      </c>
      <c r="M146" t="s">
        <v>992</v>
      </c>
      <c r="N146" t="s">
        <v>992</v>
      </c>
      <c r="O146" t="s">
        <v>992</v>
      </c>
      <c r="P146" t="s">
        <v>992</v>
      </c>
      <c r="Q146" t="b">
        <v>1</v>
      </c>
      <c r="R146" t="b">
        <v>0</v>
      </c>
      <c r="S146" t="s">
        <v>1032</v>
      </c>
      <c r="T146" t="s">
        <v>992</v>
      </c>
      <c r="U146" t="s">
        <v>1140</v>
      </c>
      <c r="V146" t="s">
        <v>1061</v>
      </c>
      <c r="W146" t="s">
        <v>1207</v>
      </c>
      <c r="X146" t="s">
        <v>1417</v>
      </c>
    </row>
    <row r="147" spans="1:24" x14ac:dyDescent="0.25">
      <c r="A147" t="s">
        <v>42</v>
      </c>
      <c r="B147" t="s">
        <v>1418</v>
      </c>
      <c r="C147" t="s">
        <v>285</v>
      </c>
      <c r="D147" t="s">
        <v>992</v>
      </c>
      <c r="E147" t="s">
        <v>1130</v>
      </c>
      <c r="F147">
        <v>0</v>
      </c>
      <c r="G147" t="s">
        <v>1085</v>
      </c>
      <c r="H147" t="s">
        <v>1399</v>
      </c>
      <c r="I147" t="s">
        <v>1400</v>
      </c>
      <c r="J147" t="s">
        <v>993</v>
      </c>
      <c r="K147" t="s">
        <v>992</v>
      </c>
      <c r="L147" t="s">
        <v>992</v>
      </c>
      <c r="M147" t="s">
        <v>992</v>
      </c>
      <c r="N147" t="s">
        <v>992</v>
      </c>
      <c r="O147" t="s">
        <v>992</v>
      </c>
      <c r="P147" t="s">
        <v>992</v>
      </c>
      <c r="Q147" t="b">
        <v>1</v>
      </c>
      <c r="R147" t="b">
        <v>0</v>
      </c>
      <c r="S147" t="s">
        <v>1032</v>
      </c>
      <c r="T147" t="s">
        <v>992</v>
      </c>
      <c r="U147" t="s">
        <v>1140</v>
      </c>
      <c r="V147" t="s">
        <v>1061</v>
      </c>
      <c r="W147" t="s">
        <v>1207</v>
      </c>
      <c r="X147" t="s">
        <v>1419</v>
      </c>
    </row>
    <row r="148" spans="1:24" x14ac:dyDescent="0.25">
      <c r="A148" t="s">
        <v>42</v>
      </c>
      <c r="B148" t="s">
        <v>1420</v>
      </c>
      <c r="C148" t="s">
        <v>330</v>
      </c>
      <c r="D148" t="s">
        <v>323</v>
      </c>
      <c r="E148" t="s">
        <v>990</v>
      </c>
      <c r="F148">
        <v>20535</v>
      </c>
      <c r="G148" t="s">
        <v>1051</v>
      </c>
      <c r="H148" t="s">
        <v>1421</v>
      </c>
      <c r="I148" t="s">
        <v>1422</v>
      </c>
      <c r="J148" t="s">
        <v>1423</v>
      </c>
      <c r="K148" t="s">
        <v>1026</v>
      </c>
      <c r="L148" t="s">
        <v>1027</v>
      </c>
      <c r="M148" t="s">
        <v>1028</v>
      </c>
      <c r="N148" t="s">
        <v>1029</v>
      </c>
      <c r="O148" t="s">
        <v>992</v>
      </c>
      <c r="P148" t="s">
        <v>1031</v>
      </c>
      <c r="Q148" t="b">
        <v>1</v>
      </c>
      <c r="R148" t="b">
        <v>0</v>
      </c>
      <c r="S148" t="s">
        <v>1099</v>
      </c>
      <c r="T148" t="s">
        <v>992</v>
      </c>
      <c r="U148" t="s">
        <v>1060</v>
      </c>
      <c r="V148" t="s">
        <v>995</v>
      </c>
      <c r="W148" t="s">
        <v>1034</v>
      </c>
      <c r="X148" t="s">
        <v>1424</v>
      </c>
    </row>
    <row r="149" spans="1:24" x14ac:dyDescent="0.25">
      <c r="A149" t="s">
        <v>42</v>
      </c>
      <c r="B149" t="s">
        <v>1425</v>
      </c>
      <c r="C149" t="s">
        <v>330</v>
      </c>
      <c r="D149" t="s">
        <v>323</v>
      </c>
      <c r="E149" t="s">
        <v>999</v>
      </c>
      <c r="F149">
        <v>24687</v>
      </c>
      <c r="G149" t="s">
        <v>1051</v>
      </c>
      <c r="H149" t="s">
        <v>1426</v>
      </c>
      <c r="I149" t="s">
        <v>1422</v>
      </c>
      <c r="J149" t="s">
        <v>1423</v>
      </c>
      <c r="K149" t="s">
        <v>1038</v>
      </c>
      <c r="L149" t="s">
        <v>1039</v>
      </c>
      <c r="M149" t="s">
        <v>1028</v>
      </c>
      <c r="N149" t="s">
        <v>1040</v>
      </c>
      <c r="O149" t="s">
        <v>992</v>
      </c>
      <c r="P149" t="s">
        <v>1042</v>
      </c>
      <c r="Q149" t="b">
        <v>1</v>
      </c>
      <c r="R149" t="b">
        <v>0</v>
      </c>
      <c r="S149" t="s">
        <v>1099</v>
      </c>
      <c r="T149" t="s">
        <v>992</v>
      </c>
      <c r="U149" t="s">
        <v>1060</v>
      </c>
      <c r="V149" t="s">
        <v>995</v>
      </c>
      <c r="W149" t="s">
        <v>1034</v>
      </c>
      <c r="X149" t="s">
        <v>1424</v>
      </c>
    </row>
    <row r="150" spans="1:24" x14ac:dyDescent="0.25">
      <c r="A150" t="s">
        <v>42</v>
      </c>
      <c r="B150" t="s">
        <v>1427</v>
      </c>
      <c r="C150" t="s">
        <v>330</v>
      </c>
      <c r="D150" t="s">
        <v>323</v>
      </c>
      <c r="E150" t="s">
        <v>1001</v>
      </c>
      <c r="F150">
        <v>28408</v>
      </c>
      <c r="G150" t="s">
        <v>1051</v>
      </c>
      <c r="H150" t="s">
        <v>1428</v>
      </c>
      <c r="I150" t="s">
        <v>1422</v>
      </c>
      <c r="J150" t="s">
        <v>1423</v>
      </c>
      <c r="K150" t="s">
        <v>1045</v>
      </c>
      <c r="L150" t="s">
        <v>1046</v>
      </c>
      <c r="M150" t="s">
        <v>1028</v>
      </c>
      <c r="N150" t="s">
        <v>1047</v>
      </c>
      <c r="O150" t="s">
        <v>992</v>
      </c>
      <c r="P150" t="s">
        <v>1049</v>
      </c>
      <c r="Q150" t="b">
        <v>1</v>
      </c>
      <c r="R150" t="b">
        <v>0</v>
      </c>
      <c r="S150" t="s">
        <v>1099</v>
      </c>
      <c r="T150" t="s">
        <v>992</v>
      </c>
      <c r="U150" t="s">
        <v>1060</v>
      </c>
      <c r="V150" t="s">
        <v>995</v>
      </c>
      <c r="W150" t="s">
        <v>1034</v>
      </c>
      <c r="X150" t="s">
        <v>1424</v>
      </c>
    </row>
    <row r="151" spans="1:24" x14ac:dyDescent="0.25">
      <c r="A151" t="s">
        <v>42</v>
      </c>
      <c r="B151" t="s">
        <v>1429</v>
      </c>
      <c r="C151" t="s">
        <v>330</v>
      </c>
      <c r="D151" t="s">
        <v>323</v>
      </c>
      <c r="E151" t="s">
        <v>1003</v>
      </c>
      <c r="F151">
        <v>29965</v>
      </c>
      <c r="G151" t="s">
        <v>1051</v>
      </c>
      <c r="H151" t="s">
        <v>1430</v>
      </c>
      <c r="I151" t="s">
        <v>1422</v>
      </c>
      <c r="J151" t="s">
        <v>1423</v>
      </c>
      <c r="K151" t="s">
        <v>1087</v>
      </c>
      <c r="L151" t="s">
        <v>1088</v>
      </c>
      <c r="M151" t="s">
        <v>1056</v>
      </c>
      <c r="N151" t="s">
        <v>1089</v>
      </c>
      <c r="O151" t="s">
        <v>992</v>
      </c>
      <c r="P151" t="s">
        <v>1058</v>
      </c>
      <c r="Q151" t="b">
        <v>1</v>
      </c>
      <c r="R151" t="b">
        <v>0</v>
      </c>
      <c r="S151" t="s">
        <v>1099</v>
      </c>
      <c r="T151" t="s">
        <v>992</v>
      </c>
      <c r="U151" t="s">
        <v>1060</v>
      </c>
      <c r="V151" t="s">
        <v>995</v>
      </c>
      <c r="W151" t="s">
        <v>1034</v>
      </c>
      <c r="X151" t="s">
        <v>1424</v>
      </c>
    </row>
    <row r="152" spans="1:24" x14ac:dyDescent="0.25">
      <c r="A152" t="s">
        <v>42</v>
      </c>
      <c r="B152" t="s">
        <v>1431</v>
      </c>
      <c r="C152" t="s">
        <v>330</v>
      </c>
      <c r="D152" t="s">
        <v>323</v>
      </c>
      <c r="E152" t="s">
        <v>1005</v>
      </c>
      <c r="F152">
        <v>40760</v>
      </c>
      <c r="G152" t="s">
        <v>1051</v>
      </c>
      <c r="H152" t="s">
        <v>1432</v>
      </c>
      <c r="I152" t="s">
        <v>1422</v>
      </c>
      <c r="J152" t="s">
        <v>1423</v>
      </c>
      <c r="K152" t="s">
        <v>1065</v>
      </c>
      <c r="L152" t="s">
        <v>1066</v>
      </c>
      <c r="M152" t="s">
        <v>1028</v>
      </c>
      <c r="N152" t="s">
        <v>1067</v>
      </c>
      <c r="O152" t="s">
        <v>992</v>
      </c>
      <c r="P152" t="s">
        <v>1069</v>
      </c>
      <c r="Q152" t="b">
        <v>1</v>
      </c>
      <c r="R152" t="b">
        <v>0</v>
      </c>
      <c r="S152" t="s">
        <v>1099</v>
      </c>
      <c r="T152" t="s">
        <v>992</v>
      </c>
      <c r="U152" t="s">
        <v>1060</v>
      </c>
      <c r="V152" t="s">
        <v>995</v>
      </c>
      <c r="W152" t="s">
        <v>1034</v>
      </c>
      <c r="X152" t="s">
        <v>1424</v>
      </c>
    </row>
    <row r="153" spans="1:24" x14ac:dyDescent="0.25">
      <c r="A153" t="s">
        <v>42</v>
      </c>
      <c r="B153" t="s">
        <v>1433</v>
      </c>
      <c r="C153" t="s">
        <v>330</v>
      </c>
      <c r="D153" t="s">
        <v>323</v>
      </c>
      <c r="E153" t="s">
        <v>1007</v>
      </c>
      <c r="F153">
        <v>32695</v>
      </c>
      <c r="G153" t="s">
        <v>1051</v>
      </c>
      <c r="H153" t="s">
        <v>1434</v>
      </c>
      <c r="I153" t="s">
        <v>1422</v>
      </c>
      <c r="J153" t="s">
        <v>1423</v>
      </c>
      <c r="K153" t="s">
        <v>1072</v>
      </c>
      <c r="L153" t="s">
        <v>1073</v>
      </c>
      <c r="M153" t="s">
        <v>1028</v>
      </c>
      <c r="N153" t="s">
        <v>1074</v>
      </c>
      <c r="O153" t="s">
        <v>992</v>
      </c>
      <c r="P153" t="s">
        <v>1076</v>
      </c>
      <c r="Q153" t="b">
        <v>1</v>
      </c>
      <c r="R153" t="b">
        <v>0</v>
      </c>
      <c r="S153" t="s">
        <v>1099</v>
      </c>
      <c r="T153" t="s">
        <v>992</v>
      </c>
      <c r="U153" t="s">
        <v>1060</v>
      </c>
      <c r="V153" t="s">
        <v>995</v>
      </c>
      <c r="W153" t="s">
        <v>1034</v>
      </c>
      <c r="X153" t="s">
        <v>1424</v>
      </c>
    </row>
    <row r="154" spans="1:24" x14ac:dyDescent="0.25">
      <c r="A154" t="s">
        <v>42</v>
      </c>
      <c r="B154" t="s">
        <v>1435</v>
      </c>
      <c r="C154" t="s">
        <v>330</v>
      </c>
      <c r="D154" t="s">
        <v>323</v>
      </c>
      <c r="E154" t="s">
        <v>1009</v>
      </c>
      <c r="F154">
        <v>25565</v>
      </c>
      <c r="G154" t="s">
        <v>1051</v>
      </c>
      <c r="H154" t="s">
        <v>1436</v>
      </c>
      <c r="I154" t="s">
        <v>1422</v>
      </c>
      <c r="J154" t="s">
        <v>1423</v>
      </c>
      <c r="K154" t="s">
        <v>1079</v>
      </c>
      <c r="L154" t="s">
        <v>1080</v>
      </c>
      <c r="M154" t="s">
        <v>1028</v>
      </c>
      <c r="N154" t="s">
        <v>1081</v>
      </c>
      <c r="O154" t="s">
        <v>992</v>
      </c>
      <c r="P154" t="s">
        <v>1083</v>
      </c>
      <c r="Q154" t="b">
        <v>1</v>
      </c>
      <c r="R154" t="b">
        <v>0</v>
      </c>
      <c r="S154" t="s">
        <v>1099</v>
      </c>
      <c r="T154" t="s">
        <v>992</v>
      </c>
      <c r="U154" t="s">
        <v>1060</v>
      </c>
      <c r="V154" t="s">
        <v>995</v>
      </c>
      <c r="W154" t="s">
        <v>1034</v>
      </c>
      <c r="X154" t="s">
        <v>1424</v>
      </c>
    </row>
    <row r="155" spans="1:24" x14ac:dyDescent="0.25">
      <c r="A155" t="s">
        <v>42</v>
      </c>
      <c r="B155" t="s">
        <v>1437</v>
      </c>
      <c r="C155" t="s">
        <v>330</v>
      </c>
      <c r="D155" t="s">
        <v>323</v>
      </c>
      <c r="E155" t="s">
        <v>1011</v>
      </c>
      <c r="F155">
        <v>29943</v>
      </c>
      <c r="G155" t="s">
        <v>1051</v>
      </c>
      <c r="H155" t="s">
        <v>1438</v>
      </c>
      <c r="I155" t="s">
        <v>1422</v>
      </c>
      <c r="J155" t="s">
        <v>1423</v>
      </c>
      <c r="K155" t="s">
        <v>1117</v>
      </c>
      <c r="L155" t="s">
        <v>1118</v>
      </c>
      <c r="M155" t="s">
        <v>1056</v>
      </c>
      <c r="N155" t="s">
        <v>1119</v>
      </c>
      <c r="O155" t="s">
        <v>992</v>
      </c>
      <c r="P155" t="s">
        <v>1090</v>
      </c>
      <c r="Q155" t="b">
        <v>1</v>
      </c>
      <c r="R155" t="b">
        <v>0</v>
      </c>
      <c r="S155" t="s">
        <v>1099</v>
      </c>
      <c r="T155" t="s">
        <v>992</v>
      </c>
      <c r="U155" t="s">
        <v>1060</v>
      </c>
      <c r="V155" t="s">
        <v>995</v>
      </c>
      <c r="W155" t="s">
        <v>1034</v>
      </c>
      <c r="X155" t="s">
        <v>1424</v>
      </c>
    </row>
    <row r="156" spans="1:24" x14ac:dyDescent="0.25">
      <c r="A156" t="s">
        <v>42</v>
      </c>
      <c r="B156" t="s">
        <v>1439</v>
      </c>
      <c r="C156" t="s">
        <v>330</v>
      </c>
      <c r="D156" t="s">
        <v>323</v>
      </c>
      <c r="E156" t="s">
        <v>1013</v>
      </c>
      <c r="F156">
        <v>30299</v>
      </c>
      <c r="G156" t="s">
        <v>1085</v>
      </c>
      <c r="H156" t="s">
        <v>1440</v>
      </c>
      <c r="I156" t="s">
        <v>1422</v>
      </c>
      <c r="J156" t="s">
        <v>1423</v>
      </c>
      <c r="K156" t="s">
        <v>1094</v>
      </c>
      <c r="L156" t="s">
        <v>1095</v>
      </c>
      <c r="M156" t="s">
        <v>1028</v>
      </c>
      <c r="N156" t="s">
        <v>1096</v>
      </c>
      <c r="O156" t="s">
        <v>992</v>
      </c>
      <c r="P156" t="s">
        <v>1098</v>
      </c>
      <c r="Q156" t="b">
        <v>1</v>
      </c>
      <c r="R156" t="b">
        <v>0</v>
      </c>
      <c r="S156" t="s">
        <v>1032</v>
      </c>
      <c r="T156" t="s">
        <v>992</v>
      </c>
      <c r="U156" t="s">
        <v>1140</v>
      </c>
      <c r="V156" t="s">
        <v>995</v>
      </c>
      <c r="W156" t="s">
        <v>1034</v>
      </c>
      <c r="X156" t="s">
        <v>1441</v>
      </c>
    </row>
    <row r="157" spans="1:24" x14ac:dyDescent="0.25">
      <c r="A157" t="s">
        <v>42</v>
      </c>
      <c r="B157" t="s">
        <v>1442</v>
      </c>
      <c r="C157" t="s">
        <v>330</v>
      </c>
      <c r="D157" t="s">
        <v>323</v>
      </c>
      <c r="E157" t="s">
        <v>1015</v>
      </c>
      <c r="F157">
        <v>28162</v>
      </c>
      <c r="G157" t="s">
        <v>1085</v>
      </c>
      <c r="H157" t="s">
        <v>1443</v>
      </c>
      <c r="I157" t="s">
        <v>1422</v>
      </c>
      <c r="J157" t="s">
        <v>1423</v>
      </c>
      <c r="K157" t="s">
        <v>1103</v>
      </c>
      <c r="L157" t="s">
        <v>1104</v>
      </c>
      <c r="M157" t="s">
        <v>1028</v>
      </c>
      <c r="N157" t="s">
        <v>1105</v>
      </c>
      <c r="O157" t="s">
        <v>992</v>
      </c>
      <c r="P157" t="s">
        <v>1107</v>
      </c>
      <c r="Q157" t="b">
        <v>1</v>
      </c>
      <c r="R157" t="b">
        <v>0</v>
      </c>
      <c r="S157" t="s">
        <v>1032</v>
      </c>
      <c r="T157" t="s">
        <v>992</v>
      </c>
      <c r="U157" t="s">
        <v>1140</v>
      </c>
      <c r="V157" t="s">
        <v>995</v>
      </c>
      <c r="W157" t="s">
        <v>1034</v>
      </c>
      <c r="X157" t="s">
        <v>1444</v>
      </c>
    </row>
    <row r="158" spans="1:24" x14ac:dyDescent="0.25">
      <c r="A158" t="s">
        <v>42</v>
      </c>
      <c r="B158" t="s">
        <v>1445</v>
      </c>
      <c r="C158" t="s">
        <v>330</v>
      </c>
      <c r="D158" t="s">
        <v>323</v>
      </c>
      <c r="E158" t="s">
        <v>1017</v>
      </c>
      <c r="F158">
        <v>36269</v>
      </c>
      <c r="G158" t="s">
        <v>1085</v>
      </c>
      <c r="H158" t="s">
        <v>1446</v>
      </c>
      <c r="I158" t="s">
        <v>1422</v>
      </c>
      <c r="J158" t="s">
        <v>1423</v>
      </c>
      <c r="K158" t="s">
        <v>1110</v>
      </c>
      <c r="L158" t="s">
        <v>1111</v>
      </c>
      <c r="M158" t="s">
        <v>1028</v>
      </c>
      <c r="N158" t="s">
        <v>1112</v>
      </c>
      <c r="O158" t="s">
        <v>992</v>
      </c>
      <c r="P158" t="s">
        <v>1114</v>
      </c>
      <c r="Q158" t="b">
        <v>1</v>
      </c>
      <c r="R158" t="b">
        <v>0</v>
      </c>
      <c r="S158" t="s">
        <v>1032</v>
      </c>
      <c r="T158" t="s">
        <v>992</v>
      </c>
      <c r="U158" t="s">
        <v>1140</v>
      </c>
      <c r="V158" t="s">
        <v>995</v>
      </c>
      <c r="W158" t="s">
        <v>1034</v>
      </c>
      <c r="X158" t="s">
        <v>1447</v>
      </c>
    </row>
    <row r="159" spans="1:24" x14ac:dyDescent="0.25">
      <c r="A159" t="s">
        <v>42</v>
      </c>
      <c r="B159" t="s">
        <v>1448</v>
      </c>
      <c r="C159" t="s">
        <v>330</v>
      </c>
      <c r="D159" t="s">
        <v>323</v>
      </c>
      <c r="E159" t="s">
        <v>1019</v>
      </c>
      <c r="F159">
        <v>35934</v>
      </c>
      <c r="G159" t="s">
        <v>1085</v>
      </c>
      <c r="H159" t="s">
        <v>1449</v>
      </c>
      <c r="I159" t="s">
        <v>1422</v>
      </c>
      <c r="J159" t="s">
        <v>1423</v>
      </c>
      <c r="K159" t="s">
        <v>1132</v>
      </c>
      <c r="L159" t="s">
        <v>1133</v>
      </c>
      <c r="M159" t="s">
        <v>1028</v>
      </c>
      <c r="N159" t="s">
        <v>1134</v>
      </c>
      <c r="O159" t="s">
        <v>992</v>
      </c>
      <c r="P159" t="s">
        <v>1120</v>
      </c>
      <c r="Q159" t="b">
        <v>1</v>
      </c>
      <c r="R159" t="b">
        <v>0</v>
      </c>
      <c r="S159" t="s">
        <v>1032</v>
      </c>
      <c r="T159" t="s">
        <v>992</v>
      </c>
      <c r="U159" t="s">
        <v>1140</v>
      </c>
      <c r="V159" t="s">
        <v>995</v>
      </c>
      <c r="W159" t="s">
        <v>1034</v>
      </c>
      <c r="X159" t="s">
        <v>1450</v>
      </c>
    </row>
    <row r="160" spans="1:24" x14ac:dyDescent="0.25">
      <c r="A160" t="s">
        <v>42</v>
      </c>
      <c r="B160" t="s">
        <v>1451</v>
      </c>
      <c r="C160" t="s">
        <v>330</v>
      </c>
      <c r="D160" t="s">
        <v>323</v>
      </c>
      <c r="E160" t="s">
        <v>1021</v>
      </c>
      <c r="F160">
        <v>45317</v>
      </c>
      <c r="G160" t="s">
        <v>1051</v>
      </c>
      <c r="H160" t="s">
        <v>1452</v>
      </c>
      <c r="I160" t="s">
        <v>1422</v>
      </c>
      <c r="J160" t="s">
        <v>1423</v>
      </c>
      <c r="K160" t="s">
        <v>1124</v>
      </c>
      <c r="L160" t="s">
        <v>1125</v>
      </c>
      <c r="M160" t="s">
        <v>1028</v>
      </c>
      <c r="N160" t="s">
        <v>1126</v>
      </c>
      <c r="O160" t="s">
        <v>992</v>
      </c>
      <c r="P160" t="s">
        <v>1128</v>
      </c>
      <c r="Q160" t="b">
        <v>1</v>
      </c>
      <c r="R160" t="b">
        <v>0</v>
      </c>
      <c r="S160" t="s">
        <v>1099</v>
      </c>
      <c r="T160" t="s">
        <v>992</v>
      </c>
      <c r="U160" t="s">
        <v>1060</v>
      </c>
      <c r="V160" t="s">
        <v>995</v>
      </c>
      <c r="W160" t="s">
        <v>1034</v>
      </c>
      <c r="X160" t="s">
        <v>1424</v>
      </c>
    </row>
    <row r="161" spans="1:24" x14ac:dyDescent="0.25">
      <c r="A161" t="s">
        <v>42</v>
      </c>
      <c r="B161" t="s">
        <v>1453</v>
      </c>
      <c r="C161" t="s">
        <v>330</v>
      </c>
      <c r="D161" t="s">
        <v>323</v>
      </c>
      <c r="E161" t="s">
        <v>1130</v>
      </c>
      <c r="F161">
        <v>45572</v>
      </c>
      <c r="G161" t="s">
        <v>1051</v>
      </c>
      <c r="H161" t="s">
        <v>1454</v>
      </c>
      <c r="I161" t="s">
        <v>1422</v>
      </c>
      <c r="J161" t="s">
        <v>1423</v>
      </c>
      <c r="K161" t="s">
        <v>1132</v>
      </c>
      <c r="L161" t="s">
        <v>1133</v>
      </c>
      <c r="M161" t="s">
        <v>1028</v>
      </c>
      <c r="N161" t="s">
        <v>1134</v>
      </c>
      <c r="O161" t="s">
        <v>992</v>
      </c>
      <c r="P161" t="s">
        <v>1136</v>
      </c>
      <c r="Q161" t="b">
        <v>1</v>
      </c>
      <c r="R161" t="b">
        <v>0</v>
      </c>
      <c r="S161" t="s">
        <v>1099</v>
      </c>
      <c r="T161" t="s">
        <v>992</v>
      </c>
      <c r="U161" t="s">
        <v>1060</v>
      </c>
      <c r="V161" t="s">
        <v>995</v>
      </c>
      <c r="W161" t="s">
        <v>1034</v>
      </c>
      <c r="X161" t="s">
        <v>1424</v>
      </c>
    </row>
    <row r="162" spans="1:24" x14ac:dyDescent="0.25">
      <c r="A162" t="s">
        <v>42</v>
      </c>
      <c r="B162" t="s">
        <v>1455</v>
      </c>
      <c r="C162" t="s">
        <v>331</v>
      </c>
      <c r="D162" t="s">
        <v>323</v>
      </c>
      <c r="E162" t="s">
        <v>990</v>
      </c>
      <c r="F162">
        <v>23752</v>
      </c>
      <c r="G162" t="s">
        <v>1085</v>
      </c>
      <c r="H162" t="s">
        <v>1456</v>
      </c>
      <c r="I162" t="s">
        <v>1457</v>
      </c>
      <c r="J162" t="s">
        <v>1423</v>
      </c>
      <c r="K162" t="s">
        <v>1026</v>
      </c>
      <c r="L162" t="s">
        <v>1027</v>
      </c>
      <c r="M162" t="s">
        <v>1028</v>
      </c>
      <c r="N162" t="s">
        <v>1029</v>
      </c>
      <c r="O162" t="s">
        <v>992</v>
      </c>
      <c r="P162" t="s">
        <v>1031</v>
      </c>
      <c r="Q162" t="b">
        <v>1</v>
      </c>
      <c r="R162" t="b">
        <v>0</v>
      </c>
      <c r="S162" t="s">
        <v>1032</v>
      </c>
      <c r="T162" t="s">
        <v>992</v>
      </c>
      <c r="U162" t="s">
        <v>1140</v>
      </c>
      <c r="V162" t="s">
        <v>995</v>
      </c>
      <c r="W162" t="s">
        <v>1034</v>
      </c>
      <c r="X162" t="s">
        <v>1458</v>
      </c>
    </row>
    <row r="163" spans="1:24" x14ac:dyDescent="0.25">
      <c r="A163" t="s">
        <v>42</v>
      </c>
      <c r="B163" t="s">
        <v>1459</v>
      </c>
      <c r="C163" t="s">
        <v>331</v>
      </c>
      <c r="D163" t="s">
        <v>323</v>
      </c>
      <c r="E163" t="s">
        <v>999</v>
      </c>
      <c r="F163">
        <v>17936</v>
      </c>
      <c r="G163" t="s">
        <v>1085</v>
      </c>
      <c r="H163" t="s">
        <v>1460</v>
      </c>
      <c r="I163" t="s">
        <v>1457</v>
      </c>
      <c r="J163" t="s">
        <v>1423</v>
      </c>
      <c r="K163" t="s">
        <v>1038</v>
      </c>
      <c r="L163" t="s">
        <v>1039</v>
      </c>
      <c r="M163" t="s">
        <v>1028</v>
      </c>
      <c r="N163" t="s">
        <v>1040</v>
      </c>
      <c r="O163" t="s">
        <v>992</v>
      </c>
      <c r="P163" t="s">
        <v>1042</v>
      </c>
      <c r="Q163" t="b">
        <v>1</v>
      </c>
      <c r="R163" t="b">
        <v>0</v>
      </c>
      <c r="S163" t="s">
        <v>1032</v>
      </c>
      <c r="T163" t="s">
        <v>992</v>
      </c>
      <c r="U163" t="s">
        <v>1140</v>
      </c>
      <c r="V163" t="s">
        <v>995</v>
      </c>
      <c r="W163" t="s">
        <v>1034</v>
      </c>
      <c r="X163" t="s">
        <v>1461</v>
      </c>
    </row>
    <row r="164" spans="1:24" x14ac:dyDescent="0.25">
      <c r="A164" t="s">
        <v>42</v>
      </c>
      <c r="B164" t="s">
        <v>1462</v>
      </c>
      <c r="C164" t="s">
        <v>331</v>
      </c>
      <c r="D164" t="s">
        <v>323</v>
      </c>
      <c r="E164" t="s">
        <v>1001</v>
      </c>
      <c r="F164">
        <v>19549</v>
      </c>
      <c r="G164" t="s">
        <v>1085</v>
      </c>
      <c r="H164" t="s">
        <v>1463</v>
      </c>
      <c r="I164" t="s">
        <v>1457</v>
      </c>
      <c r="J164" t="s">
        <v>1423</v>
      </c>
      <c r="K164" t="s">
        <v>1045</v>
      </c>
      <c r="L164" t="s">
        <v>1046</v>
      </c>
      <c r="M164" t="s">
        <v>1028</v>
      </c>
      <c r="N164" t="s">
        <v>1047</v>
      </c>
      <c r="O164" t="s">
        <v>992</v>
      </c>
      <c r="P164" t="s">
        <v>1049</v>
      </c>
      <c r="Q164" t="b">
        <v>1</v>
      </c>
      <c r="R164" t="b">
        <v>0</v>
      </c>
      <c r="S164" t="s">
        <v>1032</v>
      </c>
      <c r="T164" t="s">
        <v>992</v>
      </c>
      <c r="U164" t="s">
        <v>1140</v>
      </c>
      <c r="V164" t="s">
        <v>995</v>
      </c>
      <c r="W164" t="s">
        <v>1034</v>
      </c>
      <c r="X164" t="s">
        <v>1464</v>
      </c>
    </row>
    <row r="165" spans="1:24" x14ac:dyDescent="0.25">
      <c r="A165" t="s">
        <v>42</v>
      </c>
      <c r="B165" t="s">
        <v>1465</v>
      </c>
      <c r="C165" t="s">
        <v>331</v>
      </c>
      <c r="D165" t="s">
        <v>323</v>
      </c>
      <c r="E165" t="s">
        <v>1003</v>
      </c>
      <c r="F165">
        <v>29508</v>
      </c>
      <c r="G165" t="s">
        <v>1085</v>
      </c>
      <c r="H165" t="s">
        <v>1466</v>
      </c>
      <c r="I165" t="s">
        <v>1457</v>
      </c>
      <c r="J165" t="s">
        <v>1423</v>
      </c>
      <c r="K165" t="s">
        <v>1087</v>
      </c>
      <c r="L165" t="s">
        <v>1088</v>
      </c>
      <c r="M165" t="s">
        <v>1056</v>
      </c>
      <c r="N165" t="s">
        <v>1089</v>
      </c>
      <c r="O165" t="s">
        <v>992</v>
      </c>
      <c r="P165" t="s">
        <v>1058</v>
      </c>
      <c r="Q165" t="b">
        <v>1</v>
      </c>
      <c r="R165" t="b">
        <v>0</v>
      </c>
      <c r="S165" t="s">
        <v>1032</v>
      </c>
      <c r="T165" t="s">
        <v>992</v>
      </c>
      <c r="U165" t="s">
        <v>1140</v>
      </c>
      <c r="V165" t="s">
        <v>995</v>
      </c>
      <c r="W165" t="s">
        <v>1034</v>
      </c>
      <c r="X165" t="s">
        <v>1467</v>
      </c>
    </row>
    <row r="166" spans="1:24" x14ac:dyDescent="0.25">
      <c r="A166" t="s">
        <v>42</v>
      </c>
      <c r="B166" t="s">
        <v>1468</v>
      </c>
      <c r="C166" t="s">
        <v>331</v>
      </c>
      <c r="D166" t="s">
        <v>323</v>
      </c>
      <c r="E166" t="s">
        <v>1005</v>
      </c>
      <c r="F166">
        <v>23194</v>
      </c>
      <c r="G166" t="s">
        <v>1085</v>
      </c>
      <c r="H166" t="s">
        <v>1469</v>
      </c>
      <c r="I166" t="s">
        <v>1457</v>
      </c>
      <c r="J166" t="s">
        <v>1423</v>
      </c>
      <c r="K166" t="s">
        <v>1065</v>
      </c>
      <c r="L166" t="s">
        <v>1066</v>
      </c>
      <c r="M166" t="s">
        <v>1028</v>
      </c>
      <c r="N166" t="s">
        <v>1067</v>
      </c>
      <c r="O166" t="s">
        <v>992</v>
      </c>
      <c r="P166" t="s">
        <v>1069</v>
      </c>
      <c r="Q166" t="b">
        <v>1</v>
      </c>
      <c r="R166" t="b">
        <v>0</v>
      </c>
      <c r="S166" t="s">
        <v>1032</v>
      </c>
      <c r="T166" t="s">
        <v>992</v>
      </c>
      <c r="U166" t="s">
        <v>1140</v>
      </c>
      <c r="V166" t="s">
        <v>995</v>
      </c>
      <c r="W166" t="s">
        <v>1034</v>
      </c>
      <c r="X166" t="s">
        <v>1470</v>
      </c>
    </row>
    <row r="167" spans="1:24" x14ac:dyDescent="0.25">
      <c r="A167" t="s">
        <v>42</v>
      </c>
      <c r="B167" t="s">
        <v>1471</v>
      </c>
      <c r="C167" t="s">
        <v>331</v>
      </c>
      <c r="D167" t="s">
        <v>323</v>
      </c>
      <c r="E167" t="s">
        <v>1007</v>
      </c>
      <c r="F167">
        <v>21837</v>
      </c>
      <c r="G167" t="s">
        <v>1085</v>
      </c>
      <c r="H167" t="s">
        <v>1472</v>
      </c>
      <c r="I167" t="s">
        <v>1457</v>
      </c>
      <c r="J167" t="s">
        <v>1423</v>
      </c>
      <c r="K167" t="s">
        <v>1072</v>
      </c>
      <c r="L167" t="s">
        <v>1073</v>
      </c>
      <c r="M167" t="s">
        <v>1028</v>
      </c>
      <c r="N167" t="s">
        <v>1074</v>
      </c>
      <c r="O167" t="s">
        <v>992</v>
      </c>
      <c r="P167" t="s">
        <v>1076</v>
      </c>
      <c r="Q167" t="b">
        <v>1</v>
      </c>
      <c r="R167" t="b">
        <v>0</v>
      </c>
      <c r="S167" t="s">
        <v>1032</v>
      </c>
      <c r="T167" t="s">
        <v>992</v>
      </c>
      <c r="U167" t="s">
        <v>1140</v>
      </c>
      <c r="V167" t="s">
        <v>995</v>
      </c>
      <c r="W167" t="s">
        <v>1034</v>
      </c>
      <c r="X167" t="s">
        <v>1473</v>
      </c>
    </row>
    <row r="168" spans="1:24" x14ac:dyDescent="0.25">
      <c r="A168" t="s">
        <v>42</v>
      </c>
      <c r="B168" t="s">
        <v>1474</v>
      </c>
      <c r="C168" t="s">
        <v>331</v>
      </c>
      <c r="D168" t="s">
        <v>323</v>
      </c>
      <c r="E168" t="s">
        <v>1009</v>
      </c>
      <c r="F168">
        <v>22795</v>
      </c>
      <c r="G168" t="s">
        <v>1085</v>
      </c>
      <c r="H168" t="s">
        <v>1475</v>
      </c>
      <c r="I168" t="s">
        <v>1457</v>
      </c>
      <c r="J168" t="s">
        <v>1423</v>
      </c>
      <c r="K168" t="s">
        <v>1079</v>
      </c>
      <c r="L168" t="s">
        <v>1080</v>
      </c>
      <c r="M168" t="s">
        <v>1028</v>
      </c>
      <c r="N168" t="s">
        <v>1081</v>
      </c>
      <c r="O168" t="s">
        <v>992</v>
      </c>
      <c r="P168" t="s">
        <v>1083</v>
      </c>
      <c r="Q168" t="b">
        <v>1</v>
      </c>
      <c r="R168" t="b">
        <v>0</v>
      </c>
      <c r="S168" t="s">
        <v>1032</v>
      </c>
      <c r="T168" t="s">
        <v>992</v>
      </c>
      <c r="U168" t="s">
        <v>1140</v>
      </c>
      <c r="V168" t="s">
        <v>995</v>
      </c>
      <c r="W168" t="s">
        <v>1034</v>
      </c>
      <c r="X168" t="s">
        <v>1476</v>
      </c>
    </row>
    <row r="169" spans="1:24" x14ac:dyDescent="0.25">
      <c r="A169" t="s">
        <v>42</v>
      </c>
      <c r="B169" t="s">
        <v>1477</v>
      </c>
      <c r="C169" t="s">
        <v>331</v>
      </c>
      <c r="D169" t="s">
        <v>323</v>
      </c>
      <c r="E169" t="s">
        <v>1011</v>
      </c>
      <c r="F169">
        <v>33410</v>
      </c>
      <c r="G169" t="s">
        <v>1085</v>
      </c>
      <c r="H169" t="s">
        <v>1478</v>
      </c>
      <c r="I169" t="s">
        <v>1457</v>
      </c>
      <c r="J169" t="s">
        <v>1423</v>
      </c>
      <c r="K169" t="s">
        <v>1117</v>
      </c>
      <c r="L169" t="s">
        <v>1118</v>
      </c>
      <c r="M169" t="s">
        <v>1056</v>
      </c>
      <c r="N169" t="s">
        <v>1119</v>
      </c>
      <c r="O169" t="s">
        <v>992</v>
      </c>
      <c r="P169" t="s">
        <v>1090</v>
      </c>
      <c r="Q169" t="b">
        <v>1</v>
      </c>
      <c r="R169" t="b">
        <v>0</v>
      </c>
      <c r="S169" t="s">
        <v>1032</v>
      </c>
      <c r="T169" t="s">
        <v>992</v>
      </c>
      <c r="U169" t="s">
        <v>1140</v>
      </c>
      <c r="V169" t="s">
        <v>995</v>
      </c>
      <c r="W169" t="s">
        <v>1034</v>
      </c>
      <c r="X169" t="s">
        <v>1479</v>
      </c>
    </row>
    <row r="170" spans="1:24" x14ac:dyDescent="0.25">
      <c r="A170" t="s">
        <v>42</v>
      </c>
      <c r="B170" t="s">
        <v>1480</v>
      </c>
      <c r="C170" t="s">
        <v>331</v>
      </c>
      <c r="D170" t="s">
        <v>323</v>
      </c>
      <c r="E170" t="s">
        <v>1013</v>
      </c>
      <c r="F170">
        <v>29639</v>
      </c>
      <c r="G170" t="s">
        <v>1085</v>
      </c>
      <c r="H170" t="s">
        <v>1481</v>
      </c>
      <c r="I170" t="s">
        <v>1457</v>
      </c>
      <c r="J170" t="s">
        <v>1423</v>
      </c>
      <c r="K170" t="s">
        <v>1094</v>
      </c>
      <c r="L170" t="s">
        <v>1095</v>
      </c>
      <c r="M170" t="s">
        <v>1028</v>
      </c>
      <c r="N170" t="s">
        <v>1096</v>
      </c>
      <c r="O170" t="s">
        <v>992</v>
      </c>
      <c r="P170" t="s">
        <v>1098</v>
      </c>
      <c r="Q170" t="b">
        <v>1</v>
      </c>
      <c r="R170" t="b">
        <v>0</v>
      </c>
      <c r="S170" t="s">
        <v>1032</v>
      </c>
      <c r="T170" t="s">
        <v>992</v>
      </c>
      <c r="U170" t="s">
        <v>1140</v>
      </c>
      <c r="V170" t="s">
        <v>995</v>
      </c>
      <c r="W170" t="s">
        <v>1034</v>
      </c>
      <c r="X170" t="s">
        <v>1482</v>
      </c>
    </row>
    <row r="171" spans="1:24" x14ac:dyDescent="0.25">
      <c r="A171" t="s">
        <v>42</v>
      </c>
      <c r="B171" t="s">
        <v>1483</v>
      </c>
      <c r="C171" t="s">
        <v>331</v>
      </c>
      <c r="D171" t="s">
        <v>323</v>
      </c>
      <c r="E171" t="s">
        <v>1015</v>
      </c>
      <c r="F171">
        <v>26136</v>
      </c>
      <c r="G171" t="s">
        <v>1085</v>
      </c>
      <c r="H171" t="s">
        <v>1484</v>
      </c>
      <c r="I171" t="s">
        <v>1457</v>
      </c>
      <c r="J171" t="s">
        <v>1423</v>
      </c>
      <c r="K171" t="s">
        <v>1103</v>
      </c>
      <c r="L171" t="s">
        <v>1104</v>
      </c>
      <c r="M171" t="s">
        <v>1028</v>
      </c>
      <c r="N171" t="s">
        <v>1105</v>
      </c>
      <c r="O171" t="s">
        <v>992</v>
      </c>
      <c r="P171" t="s">
        <v>1107</v>
      </c>
      <c r="Q171" t="b">
        <v>1</v>
      </c>
      <c r="R171" t="b">
        <v>0</v>
      </c>
      <c r="S171" t="s">
        <v>1032</v>
      </c>
      <c r="T171" t="s">
        <v>992</v>
      </c>
      <c r="U171" t="s">
        <v>1140</v>
      </c>
      <c r="V171" t="s">
        <v>995</v>
      </c>
      <c r="W171" t="s">
        <v>1034</v>
      </c>
      <c r="X171" t="s">
        <v>1485</v>
      </c>
    </row>
    <row r="172" spans="1:24" x14ac:dyDescent="0.25">
      <c r="A172" t="s">
        <v>42</v>
      </c>
      <c r="B172" t="s">
        <v>1486</v>
      </c>
      <c r="C172" t="s">
        <v>331</v>
      </c>
      <c r="D172" t="s">
        <v>323</v>
      </c>
      <c r="E172" t="s">
        <v>1017</v>
      </c>
      <c r="F172">
        <v>27557</v>
      </c>
      <c r="G172" t="s">
        <v>1085</v>
      </c>
      <c r="H172" t="s">
        <v>1487</v>
      </c>
      <c r="I172" t="s">
        <v>1457</v>
      </c>
      <c r="J172" t="s">
        <v>1423</v>
      </c>
      <c r="K172" t="s">
        <v>1110</v>
      </c>
      <c r="L172" t="s">
        <v>1111</v>
      </c>
      <c r="M172" t="s">
        <v>1028</v>
      </c>
      <c r="N172" t="s">
        <v>1112</v>
      </c>
      <c r="O172" t="s">
        <v>992</v>
      </c>
      <c r="P172" t="s">
        <v>1114</v>
      </c>
      <c r="Q172" t="b">
        <v>1</v>
      </c>
      <c r="R172" t="b">
        <v>0</v>
      </c>
      <c r="S172" t="s">
        <v>1032</v>
      </c>
      <c r="T172" t="s">
        <v>992</v>
      </c>
      <c r="U172" t="s">
        <v>1140</v>
      </c>
      <c r="V172" t="s">
        <v>995</v>
      </c>
      <c r="W172" t="s">
        <v>1034</v>
      </c>
      <c r="X172" t="s">
        <v>1488</v>
      </c>
    </row>
    <row r="173" spans="1:24" x14ac:dyDescent="0.25">
      <c r="A173" t="s">
        <v>42</v>
      </c>
      <c r="B173" t="s">
        <v>1489</v>
      </c>
      <c r="C173" t="s">
        <v>331</v>
      </c>
      <c r="D173" t="s">
        <v>323</v>
      </c>
      <c r="E173" t="s">
        <v>1019</v>
      </c>
      <c r="F173">
        <v>39777</v>
      </c>
      <c r="G173" t="s">
        <v>1085</v>
      </c>
      <c r="H173" t="s">
        <v>1490</v>
      </c>
      <c r="I173" t="s">
        <v>1457</v>
      </c>
      <c r="J173" t="s">
        <v>1423</v>
      </c>
      <c r="K173" t="s">
        <v>1132</v>
      </c>
      <c r="L173" t="s">
        <v>1133</v>
      </c>
      <c r="M173" t="s">
        <v>1028</v>
      </c>
      <c r="N173" t="s">
        <v>1134</v>
      </c>
      <c r="O173" t="s">
        <v>992</v>
      </c>
      <c r="P173" t="s">
        <v>1120</v>
      </c>
      <c r="Q173" t="b">
        <v>1</v>
      </c>
      <c r="R173" t="b">
        <v>0</v>
      </c>
      <c r="S173" t="s">
        <v>1032</v>
      </c>
      <c r="T173" t="s">
        <v>992</v>
      </c>
      <c r="U173" t="s">
        <v>1140</v>
      </c>
      <c r="V173" t="s">
        <v>995</v>
      </c>
      <c r="W173" t="s">
        <v>1034</v>
      </c>
      <c r="X173" t="s">
        <v>1491</v>
      </c>
    </row>
    <row r="174" spans="1:24" x14ac:dyDescent="0.25">
      <c r="A174" t="s">
        <v>42</v>
      </c>
      <c r="B174" t="s">
        <v>1492</v>
      </c>
      <c r="C174" t="s">
        <v>331</v>
      </c>
      <c r="D174" t="s">
        <v>323</v>
      </c>
      <c r="E174" t="s">
        <v>1021</v>
      </c>
      <c r="F174">
        <v>39921</v>
      </c>
      <c r="G174" t="s">
        <v>1085</v>
      </c>
      <c r="H174" t="s">
        <v>1493</v>
      </c>
      <c r="I174" t="s">
        <v>1457</v>
      </c>
      <c r="J174" t="s">
        <v>1423</v>
      </c>
      <c r="K174" t="s">
        <v>1124</v>
      </c>
      <c r="L174" t="s">
        <v>1125</v>
      </c>
      <c r="M174" t="s">
        <v>1028</v>
      </c>
      <c r="N174" t="s">
        <v>1126</v>
      </c>
      <c r="O174" t="s">
        <v>992</v>
      </c>
      <c r="P174" t="s">
        <v>1128</v>
      </c>
      <c r="Q174" t="b">
        <v>1</v>
      </c>
      <c r="R174" t="b">
        <v>0</v>
      </c>
      <c r="S174" t="s">
        <v>1032</v>
      </c>
      <c r="T174" t="s">
        <v>992</v>
      </c>
      <c r="U174" t="s">
        <v>1140</v>
      </c>
      <c r="V174" t="s">
        <v>995</v>
      </c>
      <c r="W174" t="s">
        <v>1034</v>
      </c>
      <c r="X174" t="s">
        <v>1494</v>
      </c>
    </row>
    <row r="175" spans="1:24" x14ac:dyDescent="0.25">
      <c r="A175" t="s">
        <v>42</v>
      </c>
      <c r="B175" t="s">
        <v>1495</v>
      </c>
      <c r="C175" t="s">
        <v>331</v>
      </c>
      <c r="D175" t="s">
        <v>323</v>
      </c>
      <c r="E175" t="s">
        <v>1130</v>
      </c>
      <c r="F175">
        <v>30339</v>
      </c>
      <c r="G175" t="s">
        <v>1085</v>
      </c>
      <c r="H175" t="s">
        <v>1496</v>
      </c>
      <c r="I175" t="s">
        <v>1457</v>
      </c>
      <c r="J175" t="s">
        <v>1423</v>
      </c>
      <c r="K175" t="s">
        <v>1132</v>
      </c>
      <c r="L175" t="s">
        <v>1133</v>
      </c>
      <c r="M175" t="s">
        <v>1028</v>
      </c>
      <c r="N175" t="s">
        <v>1134</v>
      </c>
      <c r="O175" t="s">
        <v>992</v>
      </c>
      <c r="P175" t="s">
        <v>1136</v>
      </c>
      <c r="Q175" t="b">
        <v>1</v>
      </c>
      <c r="R175" t="b">
        <v>0</v>
      </c>
      <c r="S175" t="s">
        <v>1032</v>
      </c>
      <c r="T175" t="s">
        <v>992</v>
      </c>
      <c r="U175" t="s">
        <v>1140</v>
      </c>
      <c r="V175" t="s">
        <v>995</v>
      </c>
      <c r="W175" t="s">
        <v>1034</v>
      </c>
      <c r="X175" t="s">
        <v>1497</v>
      </c>
    </row>
    <row r="176" spans="1:24" x14ac:dyDescent="0.25">
      <c r="A176" t="s">
        <v>42</v>
      </c>
      <c r="B176" t="s">
        <v>1498</v>
      </c>
      <c r="C176" t="s">
        <v>332</v>
      </c>
      <c r="D176" t="s">
        <v>323</v>
      </c>
      <c r="E176" t="s">
        <v>990</v>
      </c>
      <c r="F176">
        <v>6820</v>
      </c>
      <c r="G176" t="s">
        <v>1023</v>
      </c>
      <c r="H176" t="s">
        <v>1499</v>
      </c>
      <c r="I176" t="s">
        <v>1500</v>
      </c>
      <c r="J176" t="s">
        <v>1423</v>
      </c>
      <c r="K176" t="s">
        <v>1026</v>
      </c>
      <c r="L176" t="s">
        <v>1027</v>
      </c>
      <c r="M176" t="s">
        <v>1028</v>
      </c>
      <c r="N176" t="s">
        <v>1029</v>
      </c>
      <c r="O176" t="s">
        <v>992</v>
      </c>
      <c r="P176" t="s">
        <v>1031</v>
      </c>
      <c r="Q176" t="b">
        <v>1</v>
      </c>
      <c r="R176" t="b">
        <v>0</v>
      </c>
      <c r="S176" t="s">
        <v>1032</v>
      </c>
      <c r="T176" t="s">
        <v>992</v>
      </c>
      <c r="U176" t="s">
        <v>1140</v>
      </c>
      <c r="V176" t="s">
        <v>995</v>
      </c>
      <c r="W176" t="s">
        <v>1034</v>
      </c>
      <c r="X176" t="s">
        <v>992</v>
      </c>
    </row>
    <row r="177" spans="1:24" x14ac:dyDescent="0.25">
      <c r="A177" t="s">
        <v>42</v>
      </c>
      <c r="B177" t="s">
        <v>1501</v>
      </c>
      <c r="C177" t="s">
        <v>332</v>
      </c>
      <c r="D177" t="s">
        <v>323</v>
      </c>
      <c r="E177" t="s">
        <v>999</v>
      </c>
      <c r="F177">
        <v>7482</v>
      </c>
      <c r="G177" t="s">
        <v>1023</v>
      </c>
      <c r="H177" t="s">
        <v>1502</v>
      </c>
      <c r="I177" t="s">
        <v>1500</v>
      </c>
      <c r="J177" t="s">
        <v>1423</v>
      </c>
      <c r="K177" t="s">
        <v>1038</v>
      </c>
      <c r="L177" t="s">
        <v>1039</v>
      </c>
      <c r="M177" t="s">
        <v>1028</v>
      </c>
      <c r="N177" t="s">
        <v>1040</v>
      </c>
      <c r="O177" t="s">
        <v>992</v>
      </c>
      <c r="P177" t="s">
        <v>1042</v>
      </c>
      <c r="Q177" t="b">
        <v>1</v>
      </c>
      <c r="R177" t="b">
        <v>0</v>
      </c>
      <c r="S177" t="s">
        <v>1032</v>
      </c>
      <c r="T177" t="s">
        <v>992</v>
      </c>
      <c r="U177" t="s">
        <v>1140</v>
      </c>
      <c r="V177" t="s">
        <v>995</v>
      </c>
      <c r="W177" t="s">
        <v>1034</v>
      </c>
      <c r="X177" t="s">
        <v>992</v>
      </c>
    </row>
    <row r="178" spans="1:24" x14ac:dyDescent="0.25">
      <c r="A178" t="s">
        <v>42</v>
      </c>
      <c r="B178" t="s">
        <v>1503</v>
      </c>
      <c r="C178" t="s">
        <v>332</v>
      </c>
      <c r="D178" t="s">
        <v>323</v>
      </c>
      <c r="E178" t="s">
        <v>1001</v>
      </c>
      <c r="F178">
        <v>7351</v>
      </c>
      <c r="G178" t="s">
        <v>1023</v>
      </c>
      <c r="H178" t="s">
        <v>1504</v>
      </c>
      <c r="I178" t="s">
        <v>1500</v>
      </c>
      <c r="J178" t="s">
        <v>1423</v>
      </c>
      <c r="K178" t="s">
        <v>1045</v>
      </c>
      <c r="L178" t="s">
        <v>1046</v>
      </c>
      <c r="M178" t="s">
        <v>1028</v>
      </c>
      <c r="N178" t="s">
        <v>1047</v>
      </c>
      <c r="O178" t="s">
        <v>992</v>
      </c>
      <c r="P178" t="s">
        <v>1049</v>
      </c>
      <c r="Q178" t="b">
        <v>1</v>
      </c>
      <c r="R178" t="b">
        <v>0</v>
      </c>
      <c r="S178" t="s">
        <v>1032</v>
      </c>
      <c r="T178" t="s">
        <v>992</v>
      </c>
      <c r="U178" t="s">
        <v>1140</v>
      </c>
      <c r="V178" t="s">
        <v>995</v>
      </c>
      <c r="W178" t="s">
        <v>1034</v>
      </c>
      <c r="X178" t="s">
        <v>992</v>
      </c>
    </row>
    <row r="179" spans="1:24" x14ac:dyDescent="0.25">
      <c r="A179" t="s">
        <v>42</v>
      </c>
      <c r="B179" t="s">
        <v>1505</v>
      </c>
      <c r="C179" t="s">
        <v>332</v>
      </c>
      <c r="D179" t="s">
        <v>323</v>
      </c>
      <c r="E179" t="s">
        <v>1003</v>
      </c>
      <c r="F179">
        <v>6331</v>
      </c>
      <c r="G179" t="s">
        <v>1023</v>
      </c>
      <c r="H179" t="s">
        <v>1506</v>
      </c>
      <c r="I179" t="s">
        <v>1500</v>
      </c>
      <c r="J179" t="s">
        <v>1423</v>
      </c>
      <c r="K179" t="s">
        <v>1087</v>
      </c>
      <c r="L179" t="s">
        <v>1088</v>
      </c>
      <c r="M179" t="s">
        <v>1056</v>
      </c>
      <c r="N179" t="s">
        <v>1089</v>
      </c>
      <c r="O179" t="s">
        <v>992</v>
      </c>
      <c r="P179" t="s">
        <v>1058</v>
      </c>
      <c r="Q179" t="b">
        <v>1</v>
      </c>
      <c r="R179" t="b">
        <v>0</v>
      </c>
      <c r="S179" t="s">
        <v>1032</v>
      </c>
      <c r="T179" t="s">
        <v>992</v>
      </c>
      <c r="U179" t="s">
        <v>1140</v>
      </c>
      <c r="V179" t="s">
        <v>995</v>
      </c>
      <c r="W179" t="s">
        <v>1034</v>
      </c>
      <c r="X179" t="s">
        <v>992</v>
      </c>
    </row>
    <row r="180" spans="1:24" x14ac:dyDescent="0.25">
      <c r="A180" t="s">
        <v>42</v>
      </c>
      <c r="B180" t="s">
        <v>1507</v>
      </c>
      <c r="C180" t="s">
        <v>332</v>
      </c>
      <c r="D180" t="s">
        <v>323</v>
      </c>
      <c r="E180" t="s">
        <v>1005</v>
      </c>
      <c r="F180">
        <v>6511</v>
      </c>
      <c r="G180" t="s">
        <v>1023</v>
      </c>
      <c r="H180" t="s">
        <v>1508</v>
      </c>
      <c r="I180" t="s">
        <v>1500</v>
      </c>
      <c r="J180" t="s">
        <v>1423</v>
      </c>
      <c r="K180" t="s">
        <v>1065</v>
      </c>
      <c r="L180" t="s">
        <v>1066</v>
      </c>
      <c r="M180" t="s">
        <v>1028</v>
      </c>
      <c r="N180" t="s">
        <v>1067</v>
      </c>
      <c r="O180" t="s">
        <v>992</v>
      </c>
      <c r="P180" t="s">
        <v>1069</v>
      </c>
      <c r="Q180" t="b">
        <v>1</v>
      </c>
      <c r="R180" t="b">
        <v>0</v>
      </c>
      <c r="S180" t="s">
        <v>1032</v>
      </c>
      <c r="T180" t="s">
        <v>992</v>
      </c>
      <c r="U180" t="s">
        <v>1140</v>
      </c>
      <c r="V180" t="s">
        <v>995</v>
      </c>
      <c r="W180" t="s">
        <v>1034</v>
      </c>
      <c r="X180" t="s">
        <v>992</v>
      </c>
    </row>
    <row r="181" spans="1:24" x14ac:dyDescent="0.25">
      <c r="A181" t="s">
        <v>42</v>
      </c>
      <c r="B181" t="s">
        <v>1509</v>
      </c>
      <c r="C181" t="s">
        <v>332</v>
      </c>
      <c r="D181" t="s">
        <v>323</v>
      </c>
      <c r="E181" t="s">
        <v>1007</v>
      </c>
      <c r="F181">
        <v>6232</v>
      </c>
      <c r="G181" t="s">
        <v>1023</v>
      </c>
      <c r="H181" t="s">
        <v>1510</v>
      </c>
      <c r="I181" t="s">
        <v>1500</v>
      </c>
      <c r="J181" t="s">
        <v>1423</v>
      </c>
      <c r="K181" t="s">
        <v>1072</v>
      </c>
      <c r="L181" t="s">
        <v>1073</v>
      </c>
      <c r="M181" t="s">
        <v>1028</v>
      </c>
      <c r="N181" t="s">
        <v>1074</v>
      </c>
      <c r="O181" t="s">
        <v>992</v>
      </c>
      <c r="P181" t="s">
        <v>1076</v>
      </c>
      <c r="Q181" t="b">
        <v>1</v>
      </c>
      <c r="R181" t="b">
        <v>0</v>
      </c>
      <c r="S181" t="s">
        <v>1032</v>
      </c>
      <c r="T181" t="s">
        <v>992</v>
      </c>
      <c r="U181" t="s">
        <v>1140</v>
      </c>
      <c r="V181" t="s">
        <v>995</v>
      </c>
      <c r="W181" t="s">
        <v>1034</v>
      </c>
      <c r="X181" t="s">
        <v>992</v>
      </c>
    </row>
    <row r="182" spans="1:24" x14ac:dyDescent="0.25">
      <c r="A182" t="s">
        <v>42</v>
      </c>
      <c r="B182" t="s">
        <v>1511</v>
      </c>
      <c r="C182" t="s">
        <v>332</v>
      </c>
      <c r="D182" t="s">
        <v>323</v>
      </c>
      <c r="E182" t="s">
        <v>1009</v>
      </c>
      <c r="F182">
        <v>6165</v>
      </c>
      <c r="G182" t="s">
        <v>1023</v>
      </c>
      <c r="H182" t="s">
        <v>1512</v>
      </c>
      <c r="I182" t="s">
        <v>1500</v>
      </c>
      <c r="J182" t="s">
        <v>1423</v>
      </c>
      <c r="K182" t="s">
        <v>1079</v>
      </c>
      <c r="L182" t="s">
        <v>1080</v>
      </c>
      <c r="M182" t="s">
        <v>1028</v>
      </c>
      <c r="N182" t="s">
        <v>1081</v>
      </c>
      <c r="O182" t="s">
        <v>992</v>
      </c>
      <c r="P182" t="s">
        <v>1083</v>
      </c>
      <c r="Q182" t="b">
        <v>1</v>
      </c>
      <c r="R182" t="b">
        <v>0</v>
      </c>
      <c r="S182" t="s">
        <v>1032</v>
      </c>
      <c r="T182" t="s">
        <v>992</v>
      </c>
      <c r="U182" t="s">
        <v>1140</v>
      </c>
      <c r="V182" t="s">
        <v>995</v>
      </c>
      <c r="W182" t="s">
        <v>1034</v>
      </c>
      <c r="X182" t="s">
        <v>992</v>
      </c>
    </row>
    <row r="183" spans="1:24" x14ac:dyDescent="0.25">
      <c r="A183" t="s">
        <v>42</v>
      </c>
      <c r="B183" t="s">
        <v>1513</v>
      </c>
      <c r="C183" t="s">
        <v>332</v>
      </c>
      <c r="D183" t="s">
        <v>323</v>
      </c>
      <c r="E183" t="s">
        <v>1011</v>
      </c>
      <c r="F183">
        <v>7286</v>
      </c>
      <c r="G183" t="s">
        <v>1023</v>
      </c>
      <c r="H183" t="s">
        <v>1514</v>
      </c>
      <c r="I183" t="s">
        <v>1500</v>
      </c>
      <c r="J183" t="s">
        <v>1423</v>
      </c>
      <c r="K183" t="s">
        <v>1117</v>
      </c>
      <c r="L183" t="s">
        <v>1118</v>
      </c>
      <c r="M183" t="s">
        <v>1056</v>
      </c>
      <c r="N183" t="s">
        <v>1119</v>
      </c>
      <c r="O183" t="s">
        <v>992</v>
      </c>
      <c r="P183" t="s">
        <v>1090</v>
      </c>
      <c r="Q183" t="b">
        <v>1</v>
      </c>
      <c r="R183" t="b">
        <v>0</v>
      </c>
      <c r="S183" t="s">
        <v>1032</v>
      </c>
      <c r="T183" t="s">
        <v>992</v>
      </c>
      <c r="U183" t="s">
        <v>1140</v>
      </c>
      <c r="V183" t="s">
        <v>995</v>
      </c>
      <c r="W183" t="s">
        <v>1034</v>
      </c>
      <c r="X183" t="s">
        <v>992</v>
      </c>
    </row>
    <row r="184" spans="1:24" x14ac:dyDescent="0.25">
      <c r="A184" t="s">
        <v>42</v>
      </c>
      <c r="B184" t="s">
        <v>1515</v>
      </c>
      <c r="C184" t="s">
        <v>332</v>
      </c>
      <c r="D184" t="s">
        <v>323</v>
      </c>
      <c r="E184" t="s">
        <v>1013</v>
      </c>
      <c r="F184">
        <v>6911</v>
      </c>
      <c r="G184" t="s">
        <v>1023</v>
      </c>
      <c r="H184" t="s">
        <v>1516</v>
      </c>
      <c r="I184" t="s">
        <v>1500</v>
      </c>
      <c r="J184" t="s">
        <v>1423</v>
      </c>
      <c r="K184" t="s">
        <v>1094</v>
      </c>
      <c r="L184" t="s">
        <v>1095</v>
      </c>
      <c r="M184" t="s">
        <v>1028</v>
      </c>
      <c r="N184" t="s">
        <v>1096</v>
      </c>
      <c r="O184" t="s">
        <v>992</v>
      </c>
      <c r="P184" t="s">
        <v>1098</v>
      </c>
      <c r="Q184" t="b">
        <v>1</v>
      </c>
      <c r="R184" t="b">
        <v>0</v>
      </c>
      <c r="S184" t="s">
        <v>1032</v>
      </c>
      <c r="T184" t="s">
        <v>992</v>
      </c>
      <c r="U184" t="s">
        <v>1140</v>
      </c>
      <c r="V184" t="s">
        <v>995</v>
      </c>
      <c r="W184" t="s">
        <v>1034</v>
      </c>
      <c r="X184" t="s">
        <v>992</v>
      </c>
    </row>
    <row r="185" spans="1:24" x14ac:dyDescent="0.25">
      <c r="A185" t="s">
        <v>42</v>
      </c>
      <c r="B185" t="s">
        <v>1517</v>
      </c>
      <c r="C185" t="s">
        <v>332</v>
      </c>
      <c r="D185" t="s">
        <v>323</v>
      </c>
      <c r="E185" t="s">
        <v>1015</v>
      </c>
      <c r="F185">
        <v>6269</v>
      </c>
      <c r="G185" t="s">
        <v>1023</v>
      </c>
      <c r="H185" t="s">
        <v>1518</v>
      </c>
      <c r="I185" t="s">
        <v>1500</v>
      </c>
      <c r="J185" t="s">
        <v>1423</v>
      </c>
      <c r="K185" t="s">
        <v>1103</v>
      </c>
      <c r="L185" t="s">
        <v>1104</v>
      </c>
      <c r="M185" t="s">
        <v>1028</v>
      </c>
      <c r="N185" t="s">
        <v>1105</v>
      </c>
      <c r="O185" t="s">
        <v>992</v>
      </c>
      <c r="P185" t="s">
        <v>1107</v>
      </c>
      <c r="Q185" t="b">
        <v>1</v>
      </c>
      <c r="R185" t="b">
        <v>0</v>
      </c>
      <c r="S185" t="s">
        <v>1032</v>
      </c>
      <c r="T185" t="s">
        <v>992</v>
      </c>
      <c r="U185" t="s">
        <v>1140</v>
      </c>
      <c r="V185" t="s">
        <v>995</v>
      </c>
      <c r="W185" t="s">
        <v>1034</v>
      </c>
      <c r="X185" t="s">
        <v>992</v>
      </c>
    </row>
    <row r="186" spans="1:24" x14ac:dyDescent="0.25">
      <c r="A186" t="s">
        <v>42</v>
      </c>
      <c r="B186" t="s">
        <v>1519</v>
      </c>
      <c r="C186" t="s">
        <v>332</v>
      </c>
      <c r="D186" t="s">
        <v>323</v>
      </c>
      <c r="E186" t="s">
        <v>1017</v>
      </c>
      <c r="F186">
        <v>5925</v>
      </c>
      <c r="G186" t="s">
        <v>1023</v>
      </c>
      <c r="H186" t="s">
        <v>1520</v>
      </c>
      <c r="I186" t="s">
        <v>1500</v>
      </c>
      <c r="J186" t="s">
        <v>1423</v>
      </c>
      <c r="K186" t="s">
        <v>1110</v>
      </c>
      <c r="L186" t="s">
        <v>1111</v>
      </c>
      <c r="M186" t="s">
        <v>1028</v>
      </c>
      <c r="N186" t="s">
        <v>1112</v>
      </c>
      <c r="O186" t="s">
        <v>992</v>
      </c>
      <c r="P186" t="s">
        <v>1114</v>
      </c>
      <c r="Q186" t="b">
        <v>1</v>
      </c>
      <c r="R186" t="b">
        <v>0</v>
      </c>
      <c r="S186" t="s">
        <v>1032</v>
      </c>
      <c r="T186" t="s">
        <v>992</v>
      </c>
      <c r="U186" t="s">
        <v>1140</v>
      </c>
      <c r="V186" t="s">
        <v>995</v>
      </c>
      <c r="W186" t="s">
        <v>1034</v>
      </c>
      <c r="X186" t="s">
        <v>992</v>
      </c>
    </row>
    <row r="187" spans="1:24" x14ac:dyDescent="0.25">
      <c r="A187" t="s">
        <v>42</v>
      </c>
      <c r="B187" t="s">
        <v>1521</v>
      </c>
      <c r="C187" t="s">
        <v>332</v>
      </c>
      <c r="D187" t="s">
        <v>323</v>
      </c>
      <c r="E187" t="s">
        <v>1019</v>
      </c>
      <c r="F187">
        <v>5718</v>
      </c>
      <c r="G187" t="s">
        <v>1023</v>
      </c>
      <c r="H187" t="s">
        <v>1522</v>
      </c>
      <c r="I187" t="s">
        <v>1500</v>
      </c>
      <c r="J187" t="s">
        <v>1423</v>
      </c>
      <c r="K187" t="s">
        <v>1132</v>
      </c>
      <c r="L187" t="s">
        <v>1133</v>
      </c>
      <c r="M187" t="s">
        <v>1028</v>
      </c>
      <c r="N187" t="s">
        <v>1134</v>
      </c>
      <c r="O187" t="s">
        <v>992</v>
      </c>
      <c r="P187" t="s">
        <v>1120</v>
      </c>
      <c r="Q187" t="b">
        <v>1</v>
      </c>
      <c r="R187" t="b">
        <v>0</v>
      </c>
      <c r="S187" t="s">
        <v>1032</v>
      </c>
      <c r="T187" t="s">
        <v>992</v>
      </c>
      <c r="U187" t="s">
        <v>1140</v>
      </c>
      <c r="V187" t="s">
        <v>995</v>
      </c>
      <c r="W187" t="s">
        <v>1034</v>
      </c>
      <c r="X187" t="s">
        <v>992</v>
      </c>
    </row>
    <row r="188" spans="1:24" x14ac:dyDescent="0.25">
      <c r="A188" t="s">
        <v>42</v>
      </c>
      <c r="B188" t="s">
        <v>1523</v>
      </c>
      <c r="C188" t="s">
        <v>332</v>
      </c>
      <c r="D188" t="s">
        <v>323</v>
      </c>
      <c r="E188" t="s">
        <v>1021</v>
      </c>
      <c r="F188">
        <v>5875</v>
      </c>
      <c r="G188" t="s">
        <v>1023</v>
      </c>
      <c r="H188" t="s">
        <v>1524</v>
      </c>
      <c r="I188" t="s">
        <v>1500</v>
      </c>
      <c r="J188" t="s">
        <v>1423</v>
      </c>
      <c r="K188" t="s">
        <v>1124</v>
      </c>
      <c r="L188" t="s">
        <v>1125</v>
      </c>
      <c r="M188" t="s">
        <v>1028</v>
      </c>
      <c r="N188" t="s">
        <v>1126</v>
      </c>
      <c r="O188" t="s">
        <v>992</v>
      </c>
      <c r="P188" t="s">
        <v>1128</v>
      </c>
      <c r="Q188" t="b">
        <v>1</v>
      </c>
      <c r="R188" t="b">
        <v>0</v>
      </c>
      <c r="S188" t="s">
        <v>1032</v>
      </c>
      <c r="T188" t="s">
        <v>992</v>
      </c>
      <c r="U188" t="s">
        <v>1140</v>
      </c>
      <c r="V188" t="s">
        <v>995</v>
      </c>
      <c r="W188" t="s">
        <v>1034</v>
      </c>
      <c r="X188" t="s">
        <v>992</v>
      </c>
    </row>
    <row r="189" spans="1:24" x14ac:dyDescent="0.25">
      <c r="A189" t="s">
        <v>42</v>
      </c>
      <c r="B189" t="s">
        <v>1525</v>
      </c>
      <c r="C189" t="s">
        <v>332</v>
      </c>
      <c r="D189" t="s">
        <v>323</v>
      </c>
      <c r="E189" t="s">
        <v>1130</v>
      </c>
      <c r="F189">
        <v>6747</v>
      </c>
      <c r="G189" t="s">
        <v>1023</v>
      </c>
      <c r="H189" t="s">
        <v>1526</v>
      </c>
      <c r="I189" t="s">
        <v>1500</v>
      </c>
      <c r="J189" t="s">
        <v>1423</v>
      </c>
      <c r="K189" t="s">
        <v>1132</v>
      </c>
      <c r="L189" t="s">
        <v>1133</v>
      </c>
      <c r="M189" t="s">
        <v>1028</v>
      </c>
      <c r="N189" t="s">
        <v>1134</v>
      </c>
      <c r="O189" t="s">
        <v>992</v>
      </c>
      <c r="P189" t="s">
        <v>1136</v>
      </c>
      <c r="Q189" t="b">
        <v>1</v>
      </c>
      <c r="R189" t="b">
        <v>0</v>
      </c>
      <c r="S189" t="s">
        <v>1032</v>
      </c>
      <c r="T189" t="s">
        <v>992</v>
      </c>
      <c r="U189" t="s">
        <v>1140</v>
      </c>
      <c r="V189" t="s">
        <v>995</v>
      </c>
      <c r="W189" t="s">
        <v>1034</v>
      </c>
      <c r="X189" t="s">
        <v>992</v>
      </c>
    </row>
    <row r="190" spans="1:24" x14ac:dyDescent="0.25">
      <c r="A190" t="s">
        <v>42</v>
      </c>
      <c r="B190" t="s">
        <v>1527</v>
      </c>
      <c r="C190" t="s">
        <v>333</v>
      </c>
      <c r="D190" t="s">
        <v>323</v>
      </c>
      <c r="E190" t="s">
        <v>990</v>
      </c>
      <c r="F190">
        <v>77670</v>
      </c>
      <c r="G190" t="s">
        <v>1085</v>
      </c>
      <c r="H190" t="s">
        <v>1528</v>
      </c>
      <c r="I190" t="s">
        <v>1529</v>
      </c>
      <c r="J190" t="s">
        <v>1423</v>
      </c>
      <c r="K190" t="s">
        <v>1026</v>
      </c>
      <c r="L190" t="s">
        <v>1027</v>
      </c>
      <c r="M190" t="s">
        <v>1028</v>
      </c>
      <c r="N190" t="s">
        <v>1029</v>
      </c>
      <c r="O190" t="s">
        <v>992</v>
      </c>
      <c r="P190" t="s">
        <v>1031</v>
      </c>
      <c r="Q190" t="b">
        <v>1</v>
      </c>
      <c r="R190" t="b">
        <v>0</v>
      </c>
      <c r="S190" t="s">
        <v>1032</v>
      </c>
      <c r="T190" t="s">
        <v>992</v>
      </c>
      <c r="U190" t="s">
        <v>1140</v>
      </c>
      <c r="V190" t="s">
        <v>995</v>
      </c>
      <c r="W190" t="s">
        <v>1034</v>
      </c>
      <c r="X190" t="s">
        <v>1530</v>
      </c>
    </row>
    <row r="191" spans="1:24" x14ac:dyDescent="0.25">
      <c r="A191" t="s">
        <v>42</v>
      </c>
      <c r="B191" t="s">
        <v>1531</v>
      </c>
      <c r="C191" t="s">
        <v>333</v>
      </c>
      <c r="D191" t="s">
        <v>323</v>
      </c>
      <c r="E191" t="s">
        <v>999</v>
      </c>
      <c r="F191">
        <v>62808</v>
      </c>
      <c r="G191" t="s">
        <v>1085</v>
      </c>
      <c r="H191" t="s">
        <v>1532</v>
      </c>
      <c r="I191" t="s">
        <v>1529</v>
      </c>
      <c r="J191" t="s">
        <v>1423</v>
      </c>
      <c r="K191" t="s">
        <v>1038</v>
      </c>
      <c r="L191" t="s">
        <v>1039</v>
      </c>
      <c r="M191" t="s">
        <v>1028</v>
      </c>
      <c r="N191" t="s">
        <v>1040</v>
      </c>
      <c r="O191" t="s">
        <v>992</v>
      </c>
      <c r="P191" t="s">
        <v>1042</v>
      </c>
      <c r="Q191" t="b">
        <v>1</v>
      </c>
      <c r="R191" t="b">
        <v>0</v>
      </c>
      <c r="S191" t="s">
        <v>1032</v>
      </c>
      <c r="T191" t="s">
        <v>992</v>
      </c>
      <c r="U191" t="s">
        <v>1140</v>
      </c>
      <c r="V191" t="s">
        <v>995</v>
      </c>
      <c r="W191" t="s">
        <v>1034</v>
      </c>
      <c r="X191" t="s">
        <v>1533</v>
      </c>
    </row>
    <row r="192" spans="1:24" x14ac:dyDescent="0.25">
      <c r="A192" t="s">
        <v>42</v>
      </c>
      <c r="B192" t="s">
        <v>1534</v>
      </c>
      <c r="C192" t="s">
        <v>333</v>
      </c>
      <c r="D192" t="s">
        <v>323</v>
      </c>
      <c r="E192" t="s">
        <v>1001</v>
      </c>
      <c r="F192">
        <v>67351</v>
      </c>
      <c r="G192" t="s">
        <v>1085</v>
      </c>
      <c r="H192" t="s">
        <v>1535</v>
      </c>
      <c r="I192" t="s">
        <v>1529</v>
      </c>
      <c r="J192" t="s">
        <v>1423</v>
      </c>
      <c r="K192" t="s">
        <v>1045</v>
      </c>
      <c r="L192" t="s">
        <v>1046</v>
      </c>
      <c r="M192" t="s">
        <v>1028</v>
      </c>
      <c r="N192" t="s">
        <v>1047</v>
      </c>
      <c r="O192" t="s">
        <v>992</v>
      </c>
      <c r="P192" t="s">
        <v>1049</v>
      </c>
      <c r="Q192" t="b">
        <v>1</v>
      </c>
      <c r="R192" t="b">
        <v>0</v>
      </c>
      <c r="S192" t="s">
        <v>1032</v>
      </c>
      <c r="T192" t="s">
        <v>992</v>
      </c>
      <c r="U192" t="s">
        <v>1140</v>
      </c>
      <c r="V192" t="s">
        <v>995</v>
      </c>
      <c r="W192" t="s">
        <v>1034</v>
      </c>
      <c r="X192" t="s">
        <v>1536</v>
      </c>
    </row>
    <row r="193" spans="1:24" x14ac:dyDescent="0.25">
      <c r="A193" t="s">
        <v>42</v>
      </c>
      <c r="B193" t="s">
        <v>1537</v>
      </c>
      <c r="C193" t="s">
        <v>333</v>
      </c>
      <c r="D193" t="s">
        <v>323</v>
      </c>
      <c r="E193" t="s">
        <v>1003</v>
      </c>
      <c r="F193">
        <v>77762</v>
      </c>
      <c r="G193" t="s">
        <v>1085</v>
      </c>
      <c r="H193" t="s">
        <v>1538</v>
      </c>
      <c r="I193" t="s">
        <v>1529</v>
      </c>
      <c r="J193" t="s">
        <v>1423</v>
      </c>
      <c r="K193" t="s">
        <v>1087</v>
      </c>
      <c r="L193" t="s">
        <v>1088</v>
      </c>
      <c r="M193" t="s">
        <v>1056</v>
      </c>
      <c r="N193" t="s">
        <v>1089</v>
      </c>
      <c r="O193" t="s">
        <v>992</v>
      </c>
      <c r="P193" t="s">
        <v>1058</v>
      </c>
      <c r="Q193" t="b">
        <v>1</v>
      </c>
      <c r="R193" t="b">
        <v>0</v>
      </c>
      <c r="S193" t="s">
        <v>1032</v>
      </c>
      <c r="T193" t="s">
        <v>992</v>
      </c>
      <c r="U193" t="s">
        <v>1140</v>
      </c>
      <c r="V193" t="s">
        <v>995</v>
      </c>
      <c r="W193" t="s">
        <v>1034</v>
      </c>
      <c r="X193" t="s">
        <v>1539</v>
      </c>
    </row>
    <row r="194" spans="1:24" x14ac:dyDescent="0.25">
      <c r="A194" t="s">
        <v>42</v>
      </c>
      <c r="B194" t="s">
        <v>1540</v>
      </c>
      <c r="C194" t="s">
        <v>333</v>
      </c>
      <c r="D194" t="s">
        <v>323</v>
      </c>
      <c r="E194" t="s">
        <v>1005</v>
      </c>
      <c r="F194">
        <v>73227</v>
      </c>
      <c r="G194" t="s">
        <v>1085</v>
      </c>
      <c r="H194" t="s">
        <v>1541</v>
      </c>
      <c r="I194" t="s">
        <v>1529</v>
      </c>
      <c r="J194" t="s">
        <v>1423</v>
      </c>
      <c r="K194" t="s">
        <v>1065</v>
      </c>
      <c r="L194" t="s">
        <v>1066</v>
      </c>
      <c r="M194" t="s">
        <v>1028</v>
      </c>
      <c r="N194" t="s">
        <v>1067</v>
      </c>
      <c r="O194" t="s">
        <v>992</v>
      </c>
      <c r="P194" t="s">
        <v>1069</v>
      </c>
      <c r="Q194" t="b">
        <v>1</v>
      </c>
      <c r="R194" t="b">
        <v>0</v>
      </c>
      <c r="S194" t="s">
        <v>1032</v>
      </c>
      <c r="T194" t="s">
        <v>992</v>
      </c>
      <c r="U194" t="s">
        <v>1140</v>
      </c>
      <c r="V194" t="s">
        <v>995</v>
      </c>
      <c r="W194" t="s">
        <v>1034</v>
      </c>
      <c r="X194" t="s">
        <v>1542</v>
      </c>
    </row>
    <row r="195" spans="1:24" x14ac:dyDescent="0.25">
      <c r="A195" t="s">
        <v>42</v>
      </c>
      <c r="B195" t="s">
        <v>1543</v>
      </c>
      <c r="C195" t="s">
        <v>333</v>
      </c>
      <c r="D195" t="s">
        <v>323</v>
      </c>
      <c r="E195" t="s">
        <v>1007</v>
      </c>
      <c r="F195">
        <v>67652</v>
      </c>
      <c r="G195" t="s">
        <v>1085</v>
      </c>
      <c r="H195" t="s">
        <v>1544</v>
      </c>
      <c r="I195" t="s">
        <v>1529</v>
      </c>
      <c r="J195" t="s">
        <v>1423</v>
      </c>
      <c r="K195" t="s">
        <v>1072</v>
      </c>
      <c r="L195" t="s">
        <v>1073</v>
      </c>
      <c r="M195" t="s">
        <v>1028</v>
      </c>
      <c r="N195" t="s">
        <v>1074</v>
      </c>
      <c r="O195" t="s">
        <v>992</v>
      </c>
      <c r="P195" t="s">
        <v>1076</v>
      </c>
      <c r="Q195" t="b">
        <v>1</v>
      </c>
      <c r="R195" t="b">
        <v>0</v>
      </c>
      <c r="S195" t="s">
        <v>1032</v>
      </c>
      <c r="T195" t="s">
        <v>992</v>
      </c>
      <c r="U195" t="s">
        <v>1140</v>
      </c>
      <c r="V195" t="s">
        <v>995</v>
      </c>
      <c r="W195" t="s">
        <v>1034</v>
      </c>
      <c r="X195" t="s">
        <v>1545</v>
      </c>
    </row>
    <row r="196" spans="1:24" x14ac:dyDescent="0.25">
      <c r="A196" t="s">
        <v>42</v>
      </c>
      <c r="B196" t="s">
        <v>1546</v>
      </c>
      <c r="C196" t="s">
        <v>333</v>
      </c>
      <c r="D196" t="s">
        <v>323</v>
      </c>
      <c r="E196" t="s">
        <v>1009</v>
      </c>
      <c r="F196">
        <v>70910</v>
      </c>
      <c r="G196" t="s">
        <v>1085</v>
      </c>
      <c r="H196" t="s">
        <v>1547</v>
      </c>
      <c r="I196" t="s">
        <v>1529</v>
      </c>
      <c r="J196" t="s">
        <v>1423</v>
      </c>
      <c r="K196" t="s">
        <v>1079</v>
      </c>
      <c r="L196" t="s">
        <v>1080</v>
      </c>
      <c r="M196" t="s">
        <v>1028</v>
      </c>
      <c r="N196" t="s">
        <v>1081</v>
      </c>
      <c r="O196" t="s">
        <v>992</v>
      </c>
      <c r="P196" t="s">
        <v>1083</v>
      </c>
      <c r="Q196" t="b">
        <v>1</v>
      </c>
      <c r="R196" t="b">
        <v>0</v>
      </c>
      <c r="S196" t="s">
        <v>1032</v>
      </c>
      <c r="T196" t="s">
        <v>992</v>
      </c>
      <c r="U196" t="s">
        <v>1140</v>
      </c>
      <c r="V196" t="s">
        <v>995</v>
      </c>
      <c r="W196" t="s">
        <v>1034</v>
      </c>
      <c r="X196" t="s">
        <v>1548</v>
      </c>
    </row>
    <row r="197" spans="1:24" x14ac:dyDescent="0.25">
      <c r="A197" t="s">
        <v>42</v>
      </c>
      <c r="B197" t="s">
        <v>1549</v>
      </c>
      <c r="C197" t="s">
        <v>333</v>
      </c>
      <c r="D197" t="s">
        <v>323</v>
      </c>
      <c r="E197" t="s">
        <v>1011</v>
      </c>
      <c r="F197">
        <v>82348</v>
      </c>
      <c r="G197" t="s">
        <v>1085</v>
      </c>
      <c r="H197" t="s">
        <v>1550</v>
      </c>
      <c r="I197" t="s">
        <v>1529</v>
      </c>
      <c r="J197" t="s">
        <v>1423</v>
      </c>
      <c r="K197" t="s">
        <v>1117</v>
      </c>
      <c r="L197" t="s">
        <v>1118</v>
      </c>
      <c r="M197" t="s">
        <v>1056</v>
      </c>
      <c r="N197" t="s">
        <v>1119</v>
      </c>
      <c r="O197" t="s">
        <v>992</v>
      </c>
      <c r="P197" t="s">
        <v>1090</v>
      </c>
      <c r="Q197" t="b">
        <v>1</v>
      </c>
      <c r="R197" t="b">
        <v>0</v>
      </c>
      <c r="S197" t="s">
        <v>1032</v>
      </c>
      <c r="T197" t="s">
        <v>992</v>
      </c>
      <c r="U197" t="s">
        <v>1140</v>
      </c>
      <c r="V197" t="s">
        <v>995</v>
      </c>
      <c r="W197" t="s">
        <v>1034</v>
      </c>
      <c r="X197" t="s">
        <v>1551</v>
      </c>
    </row>
    <row r="198" spans="1:24" x14ac:dyDescent="0.25">
      <c r="A198" t="s">
        <v>42</v>
      </c>
      <c r="B198" t="s">
        <v>1552</v>
      </c>
      <c r="C198" t="s">
        <v>333</v>
      </c>
      <c r="D198" t="s">
        <v>323</v>
      </c>
      <c r="E198" t="s">
        <v>1013</v>
      </c>
      <c r="F198">
        <v>66391</v>
      </c>
      <c r="G198" t="s">
        <v>1085</v>
      </c>
      <c r="H198" t="s">
        <v>1553</v>
      </c>
      <c r="I198" t="s">
        <v>1529</v>
      </c>
      <c r="J198" t="s">
        <v>1423</v>
      </c>
      <c r="K198" t="s">
        <v>1094</v>
      </c>
      <c r="L198" t="s">
        <v>1095</v>
      </c>
      <c r="M198" t="s">
        <v>1028</v>
      </c>
      <c r="N198" t="s">
        <v>1096</v>
      </c>
      <c r="O198" t="s">
        <v>992</v>
      </c>
      <c r="P198" t="s">
        <v>1098</v>
      </c>
      <c r="Q198" t="b">
        <v>1</v>
      </c>
      <c r="R198" t="b">
        <v>0</v>
      </c>
      <c r="S198" t="s">
        <v>1032</v>
      </c>
      <c r="T198" t="s">
        <v>992</v>
      </c>
      <c r="U198" t="s">
        <v>1140</v>
      </c>
      <c r="V198" t="s">
        <v>995</v>
      </c>
      <c r="W198" t="s">
        <v>1034</v>
      </c>
      <c r="X198" t="s">
        <v>1554</v>
      </c>
    </row>
    <row r="199" spans="1:24" x14ac:dyDescent="0.25">
      <c r="A199" t="s">
        <v>42</v>
      </c>
      <c r="B199" t="s">
        <v>1555</v>
      </c>
      <c r="C199" t="s">
        <v>333</v>
      </c>
      <c r="D199" t="s">
        <v>323</v>
      </c>
      <c r="E199" t="s">
        <v>1015</v>
      </c>
      <c r="F199">
        <v>58107</v>
      </c>
      <c r="G199" t="s">
        <v>1085</v>
      </c>
      <c r="H199" t="s">
        <v>1556</v>
      </c>
      <c r="I199" t="s">
        <v>1529</v>
      </c>
      <c r="J199" t="s">
        <v>1423</v>
      </c>
      <c r="K199" t="s">
        <v>1103</v>
      </c>
      <c r="L199" t="s">
        <v>1104</v>
      </c>
      <c r="M199" t="s">
        <v>1028</v>
      </c>
      <c r="N199" t="s">
        <v>1105</v>
      </c>
      <c r="O199" t="s">
        <v>992</v>
      </c>
      <c r="P199" t="s">
        <v>1107</v>
      </c>
      <c r="Q199" t="b">
        <v>1</v>
      </c>
      <c r="R199" t="b">
        <v>0</v>
      </c>
      <c r="S199" t="s">
        <v>1032</v>
      </c>
      <c r="T199" t="s">
        <v>992</v>
      </c>
      <c r="U199" t="s">
        <v>1140</v>
      </c>
      <c r="V199" t="s">
        <v>995</v>
      </c>
      <c r="W199" t="s">
        <v>1034</v>
      </c>
      <c r="X199" t="s">
        <v>1557</v>
      </c>
    </row>
    <row r="200" spans="1:24" x14ac:dyDescent="0.25">
      <c r="A200" t="s">
        <v>42</v>
      </c>
      <c r="B200" t="s">
        <v>1558</v>
      </c>
      <c r="C200" t="s">
        <v>333</v>
      </c>
      <c r="D200" t="s">
        <v>323</v>
      </c>
      <c r="E200" t="s">
        <v>1017</v>
      </c>
      <c r="F200">
        <v>52740</v>
      </c>
      <c r="G200" t="s">
        <v>1085</v>
      </c>
      <c r="H200" t="s">
        <v>1559</v>
      </c>
      <c r="I200" t="s">
        <v>1529</v>
      </c>
      <c r="J200" t="s">
        <v>1423</v>
      </c>
      <c r="K200" t="s">
        <v>1110</v>
      </c>
      <c r="L200" t="s">
        <v>1111</v>
      </c>
      <c r="M200" t="s">
        <v>1028</v>
      </c>
      <c r="N200" t="s">
        <v>1112</v>
      </c>
      <c r="O200" t="s">
        <v>992</v>
      </c>
      <c r="P200" t="s">
        <v>1114</v>
      </c>
      <c r="Q200" t="b">
        <v>1</v>
      </c>
      <c r="R200" t="b">
        <v>0</v>
      </c>
      <c r="S200" t="s">
        <v>1032</v>
      </c>
      <c r="T200" t="s">
        <v>992</v>
      </c>
      <c r="U200" t="s">
        <v>1140</v>
      </c>
      <c r="V200" t="s">
        <v>995</v>
      </c>
      <c r="W200" t="s">
        <v>1034</v>
      </c>
      <c r="X200" t="s">
        <v>1560</v>
      </c>
    </row>
    <row r="201" spans="1:24" x14ac:dyDescent="0.25">
      <c r="A201" t="s">
        <v>42</v>
      </c>
      <c r="B201" t="s">
        <v>1561</v>
      </c>
      <c r="C201" t="s">
        <v>333</v>
      </c>
      <c r="D201" t="s">
        <v>323</v>
      </c>
      <c r="E201" t="s">
        <v>1019</v>
      </c>
      <c r="F201">
        <v>66528</v>
      </c>
      <c r="G201" t="s">
        <v>1085</v>
      </c>
      <c r="H201" t="s">
        <v>1562</v>
      </c>
      <c r="I201" t="s">
        <v>1529</v>
      </c>
      <c r="J201" t="s">
        <v>1423</v>
      </c>
      <c r="K201" t="s">
        <v>1132</v>
      </c>
      <c r="L201" t="s">
        <v>1133</v>
      </c>
      <c r="M201" t="s">
        <v>1028</v>
      </c>
      <c r="N201" t="s">
        <v>1134</v>
      </c>
      <c r="O201" t="s">
        <v>992</v>
      </c>
      <c r="P201" t="s">
        <v>1120</v>
      </c>
      <c r="Q201" t="b">
        <v>1</v>
      </c>
      <c r="R201" t="b">
        <v>0</v>
      </c>
      <c r="S201" t="s">
        <v>1032</v>
      </c>
      <c r="T201" t="s">
        <v>992</v>
      </c>
      <c r="U201" t="s">
        <v>1140</v>
      </c>
      <c r="V201" t="s">
        <v>995</v>
      </c>
      <c r="W201" t="s">
        <v>1034</v>
      </c>
      <c r="X201" t="s">
        <v>1563</v>
      </c>
    </row>
    <row r="202" spans="1:24" x14ac:dyDescent="0.25">
      <c r="A202" t="s">
        <v>42</v>
      </c>
      <c r="B202" t="s">
        <v>1564</v>
      </c>
      <c r="C202" t="s">
        <v>333</v>
      </c>
      <c r="D202" t="s">
        <v>323</v>
      </c>
      <c r="E202" t="s">
        <v>1021</v>
      </c>
      <c r="F202">
        <v>66991</v>
      </c>
      <c r="G202" t="s">
        <v>1085</v>
      </c>
      <c r="H202" t="s">
        <v>1565</v>
      </c>
      <c r="I202" t="s">
        <v>1529</v>
      </c>
      <c r="J202" t="s">
        <v>1423</v>
      </c>
      <c r="K202" t="s">
        <v>1124</v>
      </c>
      <c r="L202" t="s">
        <v>1125</v>
      </c>
      <c r="M202" t="s">
        <v>1028</v>
      </c>
      <c r="N202" t="s">
        <v>1126</v>
      </c>
      <c r="O202" t="s">
        <v>992</v>
      </c>
      <c r="P202" t="s">
        <v>1128</v>
      </c>
      <c r="Q202" t="b">
        <v>1</v>
      </c>
      <c r="R202" t="b">
        <v>0</v>
      </c>
      <c r="S202" t="s">
        <v>1032</v>
      </c>
      <c r="T202" t="s">
        <v>992</v>
      </c>
      <c r="U202" t="s">
        <v>1140</v>
      </c>
      <c r="V202" t="s">
        <v>995</v>
      </c>
      <c r="W202" t="s">
        <v>1034</v>
      </c>
      <c r="X202" t="s">
        <v>1566</v>
      </c>
    </row>
    <row r="203" spans="1:24" x14ac:dyDescent="0.25">
      <c r="A203" t="s">
        <v>42</v>
      </c>
      <c r="B203" t="s">
        <v>1567</v>
      </c>
      <c r="C203" t="s">
        <v>333</v>
      </c>
      <c r="D203" t="s">
        <v>323</v>
      </c>
      <c r="E203" t="s">
        <v>1130</v>
      </c>
      <c r="F203">
        <v>61456</v>
      </c>
      <c r="G203" t="s">
        <v>1085</v>
      </c>
      <c r="H203" t="s">
        <v>1568</v>
      </c>
      <c r="I203" t="s">
        <v>1529</v>
      </c>
      <c r="J203" t="s">
        <v>1423</v>
      </c>
      <c r="K203" t="s">
        <v>1132</v>
      </c>
      <c r="L203" t="s">
        <v>1133</v>
      </c>
      <c r="M203" t="s">
        <v>1028</v>
      </c>
      <c r="N203" t="s">
        <v>1134</v>
      </c>
      <c r="O203" t="s">
        <v>992</v>
      </c>
      <c r="P203" t="s">
        <v>1136</v>
      </c>
      <c r="Q203" t="b">
        <v>1</v>
      </c>
      <c r="R203" t="b">
        <v>0</v>
      </c>
      <c r="S203" t="s">
        <v>1032</v>
      </c>
      <c r="T203" t="s">
        <v>992</v>
      </c>
      <c r="U203" t="s">
        <v>1140</v>
      </c>
      <c r="V203" t="s">
        <v>995</v>
      </c>
      <c r="W203" t="s">
        <v>1034</v>
      </c>
      <c r="X203" t="s">
        <v>1569</v>
      </c>
    </row>
    <row r="204" spans="1:24" x14ac:dyDescent="0.25">
      <c r="A204" t="s">
        <v>42</v>
      </c>
      <c r="B204" t="s">
        <v>1570</v>
      </c>
      <c r="C204" t="s">
        <v>335</v>
      </c>
      <c r="D204" t="s">
        <v>323</v>
      </c>
      <c r="E204" t="s">
        <v>990</v>
      </c>
      <c r="F204">
        <v>42951</v>
      </c>
      <c r="G204" t="s">
        <v>1085</v>
      </c>
      <c r="H204" t="s">
        <v>1571</v>
      </c>
      <c r="I204" t="s">
        <v>1572</v>
      </c>
      <c r="J204" t="s">
        <v>1423</v>
      </c>
      <c r="K204" t="s">
        <v>1026</v>
      </c>
      <c r="L204" t="s">
        <v>1027</v>
      </c>
      <c r="M204" t="s">
        <v>1028</v>
      </c>
      <c r="N204" t="s">
        <v>1029</v>
      </c>
      <c r="O204" t="s">
        <v>992</v>
      </c>
      <c r="P204" t="s">
        <v>1031</v>
      </c>
      <c r="Q204" t="b">
        <v>1</v>
      </c>
      <c r="R204" t="b">
        <v>0</v>
      </c>
      <c r="S204" t="s">
        <v>1032</v>
      </c>
      <c r="T204" t="s">
        <v>992</v>
      </c>
      <c r="U204" t="s">
        <v>1140</v>
      </c>
      <c r="V204" t="s">
        <v>995</v>
      </c>
      <c r="W204" t="s">
        <v>1034</v>
      </c>
      <c r="X204" t="s">
        <v>1573</v>
      </c>
    </row>
    <row r="205" spans="1:24" x14ac:dyDescent="0.25">
      <c r="A205" t="s">
        <v>42</v>
      </c>
      <c r="B205" t="s">
        <v>1574</v>
      </c>
      <c r="C205" t="s">
        <v>335</v>
      </c>
      <c r="D205" t="s">
        <v>323</v>
      </c>
      <c r="E205" t="s">
        <v>999</v>
      </c>
      <c r="F205">
        <v>43398</v>
      </c>
      <c r="G205" t="s">
        <v>1085</v>
      </c>
      <c r="H205" t="s">
        <v>1575</v>
      </c>
      <c r="I205" t="s">
        <v>1572</v>
      </c>
      <c r="J205" t="s">
        <v>1423</v>
      </c>
      <c r="K205" t="s">
        <v>1038</v>
      </c>
      <c r="L205" t="s">
        <v>1039</v>
      </c>
      <c r="M205" t="s">
        <v>1028</v>
      </c>
      <c r="N205" t="s">
        <v>1040</v>
      </c>
      <c r="O205" t="s">
        <v>992</v>
      </c>
      <c r="P205" t="s">
        <v>1042</v>
      </c>
      <c r="Q205" t="b">
        <v>1</v>
      </c>
      <c r="R205" t="b">
        <v>0</v>
      </c>
      <c r="S205" t="s">
        <v>1032</v>
      </c>
      <c r="T205" t="s">
        <v>992</v>
      </c>
      <c r="U205" t="s">
        <v>1140</v>
      </c>
      <c r="V205" t="s">
        <v>995</v>
      </c>
      <c r="W205" t="s">
        <v>1034</v>
      </c>
      <c r="X205" t="s">
        <v>1576</v>
      </c>
    </row>
    <row r="206" spans="1:24" x14ac:dyDescent="0.25">
      <c r="A206" t="s">
        <v>42</v>
      </c>
      <c r="B206" t="s">
        <v>1577</v>
      </c>
      <c r="C206" t="s">
        <v>335</v>
      </c>
      <c r="D206" t="s">
        <v>323</v>
      </c>
      <c r="E206" t="s">
        <v>1001</v>
      </c>
      <c r="F206">
        <v>43550</v>
      </c>
      <c r="G206" t="s">
        <v>1085</v>
      </c>
      <c r="H206" t="s">
        <v>1578</v>
      </c>
      <c r="I206" t="s">
        <v>1572</v>
      </c>
      <c r="J206" t="s">
        <v>1423</v>
      </c>
      <c r="K206" t="s">
        <v>1045</v>
      </c>
      <c r="L206" t="s">
        <v>1046</v>
      </c>
      <c r="M206" t="s">
        <v>1028</v>
      </c>
      <c r="N206" t="s">
        <v>1047</v>
      </c>
      <c r="O206" t="s">
        <v>992</v>
      </c>
      <c r="P206" t="s">
        <v>1049</v>
      </c>
      <c r="Q206" t="b">
        <v>1</v>
      </c>
      <c r="R206" t="b">
        <v>0</v>
      </c>
      <c r="S206" t="s">
        <v>1032</v>
      </c>
      <c r="T206" t="s">
        <v>992</v>
      </c>
      <c r="U206" t="s">
        <v>1140</v>
      </c>
      <c r="V206" t="s">
        <v>995</v>
      </c>
      <c r="W206" t="s">
        <v>1034</v>
      </c>
      <c r="X206" t="s">
        <v>1579</v>
      </c>
    </row>
    <row r="207" spans="1:24" x14ac:dyDescent="0.25">
      <c r="A207" t="s">
        <v>42</v>
      </c>
      <c r="B207" t="s">
        <v>1580</v>
      </c>
      <c r="C207" t="s">
        <v>335</v>
      </c>
      <c r="D207" t="s">
        <v>323</v>
      </c>
      <c r="E207" t="s">
        <v>1003</v>
      </c>
      <c r="F207">
        <v>43715</v>
      </c>
      <c r="G207" t="s">
        <v>1085</v>
      </c>
      <c r="H207" t="s">
        <v>1581</v>
      </c>
      <c r="I207" t="s">
        <v>1572</v>
      </c>
      <c r="J207" t="s">
        <v>1423</v>
      </c>
      <c r="K207" t="s">
        <v>1087</v>
      </c>
      <c r="L207" t="s">
        <v>1088</v>
      </c>
      <c r="M207" t="s">
        <v>1056</v>
      </c>
      <c r="N207" t="s">
        <v>1089</v>
      </c>
      <c r="O207" t="s">
        <v>992</v>
      </c>
      <c r="P207" t="s">
        <v>1058</v>
      </c>
      <c r="Q207" t="b">
        <v>1</v>
      </c>
      <c r="R207" t="b">
        <v>0</v>
      </c>
      <c r="S207" t="s">
        <v>1032</v>
      </c>
      <c r="T207" t="s">
        <v>992</v>
      </c>
      <c r="U207" t="s">
        <v>1140</v>
      </c>
      <c r="V207" t="s">
        <v>995</v>
      </c>
      <c r="W207" t="s">
        <v>1034</v>
      </c>
      <c r="X207" t="s">
        <v>1582</v>
      </c>
    </row>
    <row r="208" spans="1:24" x14ac:dyDescent="0.25">
      <c r="A208" t="s">
        <v>42</v>
      </c>
      <c r="B208" t="s">
        <v>1583</v>
      </c>
      <c r="C208" t="s">
        <v>335</v>
      </c>
      <c r="D208" t="s">
        <v>323</v>
      </c>
      <c r="E208" t="s">
        <v>1005</v>
      </c>
      <c r="F208">
        <v>43666</v>
      </c>
      <c r="G208" t="s">
        <v>1085</v>
      </c>
      <c r="H208" t="s">
        <v>1584</v>
      </c>
      <c r="I208" t="s">
        <v>1572</v>
      </c>
      <c r="J208" t="s">
        <v>1423</v>
      </c>
      <c r="K208" t="s">
        <v>1065</v>
      </c>
      <c r="L208" t="s">
        <v>1066</v>
      </c>
      <c r="M208" t="s">
        <v>1028</v>
      </c>
      <c r="N208" t="s">
        <v>1067</v>
      </c>
      <c r="O208" t="s">
        <v>992</v>
      </c>
      <c r="P208" t="s">
        <v>1069</v>
      </c>
      <c r="Q208" t="b">
        <v>1</v>
      </c>
      <c r="R208" t="b">
        <v>0</v>
      </c>
      <c r="S208" t="s">
        <v>1032</v>
      </c>
      <c r="T208" t="s">
        <v>992</v>
      </c>
      <c r="U208" t="s">
        <v>1140</v>
      </c>
      <c r="V208" t="s">
        <v>995</v>
      </c>
      <c r="W208" t="s">
        <v>1034</v>
      </c>
      <c r="X208" t="s">
        <v>1585</v>
      </c>
    </row>
    <row r="209" spans="1:24" x14ac:dyDescent="0.25">
      <c r="A209" t="s">
        <v>42</v>
      </c>
      <c r="B209" t="s">
        <v>1586</v>
      </c>
      <c r="C209" t="s">
        <v>335</v>
      </c>
      <c r="D209" t="s">
        <v>323</v>
      </c>
      <c r="E209" t="s">
        <v>1007</v>
      </c>
      <c r="F209">
        <v>43546</v>
      </c>
      <c r="G209" t="s">
        <v>1085</v>
      </c>
      <c r="H209" t="s">
        <v>1587</v>
      </c>
      <c r="I209" t="s">
        <v>1572</v>
      </c>
      <c r="J209" t="s">
        <v>1423</v>
      </c>
      <c r="K209" t="s">
        <v>1072</v>
      </c>
      <c r="L209" t="s">
        <v>1073</v>
      </c>
      <c r="M209" t="s">
        <v>1028</v>
      </c>
      <c r="N209" t="s">
        <v>1074</v>
      </c>
      <c r="O209" t="s">
        <v>992</v>
      </c>
      <c r="P209" t="s">
        <v>1076</v>
      </c>
      <c r="Q209" t="b">
        <v>1</v>
      </c>
      <c r="R209" t="b">
        <v>0</v>
      </c>
      <c r="S209" t="s">
        <v>1032</v>
      </c>
      <c r="T209" t="s">
        <v>992</v>
      </c>
      <c r="U209" t="s">
        <v>1140</v>
      </c>
      <c r="V209" t="s">
        <v>995</v>
      </c>
      <c r="W209" t="s">
        <v>1034</v>
      </c>
      <c r="X209" t="s">
        <v>1588</v>
      </c>
    </row>
    <row r="210" spans="1:24" x14ac:dyDescent="0.25">
      <c r="A210" t="s">
        <v>42</v>
      </c>
      <c r="B210" t="s">
        <v>1589</v>
      </c>
      <c r="C210" t="s">
        <v>335</v>
      </c>
      <c r="D210" t="s">
        <v>323</v>
      </c>
      <c r="E210" t="s">
        <v>1009</v>
      </c>
      <c r="F210">
        <v>44502</v>
      </c>
      <c r="G210" t="s">
        <v>1085</v>
      </c>
      <c r="H210" t="s">
        <v>1590</v>
      </c>
      <c r="I210" t="s">
        <v>1572</v>
      </c>
      <c r="J210" t="s">
        <v>1423</v>
      </c>
      <c r="K210" t="s">
        <v>1079</v>
      </c>
      <c r="L210" t="s">
        <v>1080</v>
      </c>
      <c r="M210" t="s">
        <v>1028</v>
      </c>
      <c r="N210" t="s">
        <v>1081</v>
      </c>
      <c r="O210" t="s">
        <v>992</v>
      </c>
      <c r="P210" t="s">
        <v>1083</v>
      </c>
      <c r="Q210" t="b">
        <v>1</v>
      </c>
      <c r="R210" t="b">
        <v>0</v>
      </c>
      <c r="S210" t="s">
        <v>1032</v>
      </c>
      <c r="T210" t="s">
        <v>992</v>
      </c>
      <c r="U210" t="s">
        <v>1140</v>
      </c>
      <c r="V210" t="s">
        <v>995</v>
      </c>
      <c r="W210" t="s">
        <v>1034</v>
      </c>
      <c r="X210" t="s">
        <v>1591</v>
      </c>
    </row>
    <row r="211" spans="1:24" x14ac:dyDescent="0.25">
      <c r="A211" t="s">
        <v>42</v>
      </c>
      <c r="B211" t="s">
        <v>1592</v>
      </c>
      <c r="C211" t="s">
        <v>335</v>
      </c>
      <c r="D211" t="s">
        <v>323</v>
      </c>
      <c r="E211" t="s">
        <v>1011</v>
      </c>
      <c r="F211">
        <v>45680</v>
      </c>
      <c r="G211" t="s">
        <v>1085</v>
      </c>
      <c r="H211" t="s">
        <v>1593</v>
      </c>
      <c r="I211" t="s">
        <v>1572</v>
      </c>
      <c r="J211" t="s">
        <v>1423</v>
      </c>
      <c r="K211" t="s">
        <v>1117</v>
      </c>
      <c r="L211" t="s">
        <v>1118</v>
      </c>
      <c r="M211" t="s">
        <v>1056</v>
      </c>
      <c r="N211" t="s">
        <v>1119</v>
      </c>
      <c r="O211" t="s">
        <v>992</v>
      </c>
      <c r="P211" t="s">
        <v>1090</v>
      </c>
      <c r="Q211" t="b">
        <v>1</v>
      </c>
      <c r="R211" t="b">
        <v>0</v>
      </c>
      <c r="S211" t="s">
        <v>1032</v>
      </c>
      <c r="T211" t="s">
        <v>992</v>
      </c>
      <c r="U211" t="s">
        <v>1140</v>
      </c>
      <c r="V211" t="s">
        <v>995</v>
      </c>
      <c r="W211" t="s">
        <v>1034</v>
      </c>
      <c r="X211" t="s">
        <v>1594</v>
      </c>
    </row>
    <row r="212" spans="1:24" x14ac:dyDescent="0.25">
      <c r="A212" t="s">
        <v>42</v>
      </c>
      <c r="B212" t="s">
        <v>1595</v>
      </c>
      <c r="C212" t="s">
        <v>335</v>
      </c>
      <c r="D212" t="s">
        <v>323</v>
      </c>
      <c r="E212" t="s">
        <v>1013</v>
      </c>
      <c r="F212">
        <v>46069</v>
      </c>
      <c r="G212" t="s">
        <v>1085</v>
      </c>
      <c r="H212" t="s">
        <v>1596</v>
      </c>
      <c r="I212" t="s">
        <v>1572</v>
      </c>
      <c r="J212" t="s">
        <v>1423</v>
      </c>
      <c r="K212" t="s">
        <v>1094</v>
      </c>
      <c r="L212" t="s">
        <v>1095</v>
      </c>
      <c r="M212" t="s">
        <v>1028</v>
      </c>
      <c r="N212" t="s">
        <v>1096</v>
      </c>
      <c r="O212" t="s">
        <v>992</v>
      </c>
      <c r="P212" t="s">
        <v>1098</v>
      </c>
      <c r="Q212" t="b">
        <v>1</v>
      </c>
      <c r="R212" t="b">
        <v>0</v>
      </c>
      <c r="S212" t="s">
        <v>1032</v>
      </c>
      <c r="T212" t="s">
        <v>992</v>
      </c>
      <c r="U212" t="s">
        <v>1140</v>
      </c>
      <c r="V212" t="s">
        <v>995</v>
      </c>
      <c r="W212" t="s">
        <v>1034</v>
      </c>
      <c r="X212" t="s">
        <v>1597</v>
      </c>
    </row>
    <row r="213" spans="1:24" x14ac:dyDescent="0.25">
      <c r="A213" t="s">
        <v>42</v>
      </c>
      <c r="B213" t="s">
        <v>1598</v>
      </c>
      <c r="C213" t="s">
        <v>335</v>
      </c>
      <c r="D213" t="s">
        <v>323</v>
      </c>
      <c r="E213" t="s">
        <v>1015</v>
      </c>
      <c r="F213">
        <v>46876</v>
      </c>
      <c r="G213" t="s">
        <v>1085</v>
      </c>
      <c r="H213" t="s">
        <v>1599</v>
      </c>
      <c r="I213" t="s">
        <v>1572</v>
      </c>
      <c r="J213" t="s">
        <v>1423</v>
      </c>
      <c r="K213" t="s">
        <v>1103</v>
      </c>
      <c r="L213" t="s">
        <v>1104</v>
      </c>
      <c r="M213" t="s">
        <v>1028</v>
      </c>
      <c r="N213" t="s">
        <v>1105</v>
      </c>
      <c r="O213" t="s">
        <v>992</v>
      </c>
      <c r="P213" t="s">
        <v>1107</v>
      </c>
      <c r="Q213" t="b">
        <v>1</v>
      </c>
      <c r="R213" t="b">
        <v>0</v>
      </c>
      <c r="S213" t="s">
        <v>1032</v>
      </c>
      <c r="T213" t="s">
        <v>992</v>
      </c>
      <c r="U213" t="s">
        <v>1140</v>
      </c>
      <c r="V213" t="s">
        <v>995</v>
      </c>
      <c r="W213" t="s">
        <v>1034</v>
      </c>
      <c r="X213" t="s">
        <v>1600</v>
      </c>
    </row>
    <row r="214" spans="1:24" x14ac:dyDescent="0.25">
      <c r="A214" t="s">
        <v>42</v>
      </c>
      <c r="B214" t="s">
        <v>1601</v>
      </c>
      <c r="C214" t="s">
        <v>335</v>
      </c>
      <c r="D214" t="s">
        <v>323</v>
      </c>
      <c r="E214" t="s">
        <v>1017</v>
      </c>
      <c r="F214">
        <v>48508</v>
      </c>
      <c r="G214" t="s">
        <v>1085</v>
      </c>
      <c r="H214" t="s">
        <v>1602</v>
      </c>
      <c r="I214" t="s">
        <v>1572</v>
      </c>
      <c r="J214" t="s">
        <v>1423</v>
      </c>
      <c r="K214" t="s">
        <v>1110</v>
      </c>
      <c r="L214" t="s">
        <v>1111</v>
      </c>
      <c r="M214" t="s">
        <v>1028</v>
      </c>
      <c r="N214" t="s">
        <v>1112</v>
      </c>
      <c r="O214" t="s">
        <v>992</v>
      </c>
      <c r="P214" t="s">
        <v>1114</v>
      </c>
      <c r="Q214" t="b">
        <v>1</v>
      </c>
      <c r="R214" t="b">
        <v>0</v>
      </c>
      <c r="S214" t="s">
        <v>1032</v>
      </c>
      <c r="T214" t="s">
        <v>992</v>
      </c>
      <c r="U214" t="s">
        <v>1140</v>
      </c>
      <c r="V214" t="s">
        <v>995</v>
      </c>
      <c r="W214" t="s">
        <v>1034</v>
      </c>
      <c r="X214" t="s">
        <v>1603</v>
      </c>
    </row>
    <row r="215" spans="1:24" x14ac:dyDescent="0.25">
      <c r="A215" t="s">
        <v>42</v>
      </c>
      <c r="B215" t="s">
        <v>1604</v>
      </c>
      <c r="C215" t="s">
        <v>335</v>
      </c>
      <c r="D215" t="s">
        <v>323</v>
      </c>
      <c r="E215" t="s">
        <v>1019</v>
      </c>
      <c r="F215">
        <v>49834</v>
      </c>
      <c r="G215" t="s">
        <v>1085</v>
      </c>
      <c r="H215" t="s">
        <v>1605</v>
      </c>
      <c r="I215" t="s">
        <v>1572</v>
      </c>
      <c r="J215" t="s">
        <v>1423</v>
      </c>
      <c r="K215" t="s">
        <v>1132</v>
      </c>
      <c r="L215" t="s">
        <v>1133</v>
      </c>
      <c r="M215" t="s">
        <v>1028</v>
      </c>
      <c r="N215" t="s">
        <v>1134</v>
      </c>
      <c r="O215" t="s">
        <v>992</v>
      </c>
      <c r="P215" t="s">
        <v>1120</v>
      </c>
      <c r="Q215" t="b">
        <v>1</v>
      </c>
      <c r="R215" t="b">
        <v>0</v>
      </c>
      <c r="S215" t="s">
        <v>1032</v>
      </c>
      <c r="T215" t="s">
        <v>992</v>
      </c>
      <c r="U215" t="s">
        <v>1140</v>
      </c>
      <c r="V215" t="s">
        <v>995</v>
      </c>
      <c r="W215" t="s">
        <v>1034</v>
      </c>
      <c r="X215" t="s">
        <v>1606</v>
      </c>
    </row>
    <row r="216" spans="1:24" x14ac:dyDescent="0.25">
      <c r="A216" t="s">
        <v>42</v>
      </c>
      <c r="B216" t="s">
        <v>1607</v>
      </c>
      <c r="C216" t="s">
        <v>335</v>
      </c>
      <c r="D216" t="s">
        <v>323</v>
      </c>
      <c r="E216" t="s">
        <v>1021</v>
      </c>
      <c r="F216">
        <v>50159</v>
      </c>
      <c r="G216" t="s">
        <v>1085</v>
      </c>
      <c r="H216" t="s">
        <v>1608</v>
      </c>
      <c r="I216" t="s">
        <v>1572</v>
      </c>
      <c r="J216" t="s">
        <v>1423</v>
      </c>
      <c r="K216" t="s">
        <v>1124</v>
      </c>
      <c r="L216" t="s">
        <v>1125</v>
      </c>
      <c r="M216" t="s">
        <v>1028</v>
      </c>
      <c r="N216" t="s">
        <v>1126</v>
      </c>
      <c r="O216" t="s">
        <v>992</v>
      </c>
      <c r="P216" t="s">
        <v>1128</v>
      </c>
      <c r="Q216" t="b">
        <v>1</v>
      </c>
      <c r="R216" t="b">
        <v>0</v>
      </c>
      <c r="S216" t="s">
        <v>1032</v>
      </c>
      <c r="T216" t="s">
        <v>992</v>
      </c>
      <c r="U216" t="s">
        <v>1140</v>
      </c>
      <c r="V216" t="s">
        <v>995</v>
      </c>
      <c r="W216" t="s">
        <v>1034</v>
      </c>
      <c r="X216" t="s">
        <v>1609</v>
      </c>
    </row>
    <row r="217" spans="1:24" x14ac:dyDescent="0.25">
      <c r="A217" t="s">
        <v>42</v>
      </c>
      <c r="B217" t="s">
        <v>1610</v>
      </c>
      <c r="C217" t="s">
        <v>335</v>
      </c>
      <c r="D217" t="s">
        <v>323</v>
      </c>
      <c r="E217" t="s">
        <v>1130</v>
      </c>
      <c r="F217">
        <v>50116</v>
      </c>
      <c r="G217" t="s">
        <v>1085</v>
      </c>
      <c r="H217" t="s">
        <v>1611</v>
      </c>
      <c r="I217" t="s">
        <v>1572</v>
      </c>
      <c r="J217" t="s">
        <v>1423</v>
      </c>
      <c r="K217" t="s">
        <v>1132</v>
      </c>
      <c r="L217" t="s">
        <v>1133</v>
      </c>
      <c r="M217" t="s">
        <v>1028</v>
      </c>
      <c r="N217" t="s">
        <v>1134</v>
      </c>
      <c r="O217" t="s">
        <v>992</v>
      </c>
      <c r="P217" t="s">
        <v>1136</v>
      </c>
      <c r="Q217" t="b">
        <v>1</v>
      </c>
      <c r="R217" t="b">
        <v>0</v>
      </c>
      <c r="S217" t="s">
        <v>1032</v>
      </c>
      <c r="T217" t="s">
        <v>992</v>
      </c>
      <c r="U217" t="s">
        <v>1140</v>
      </c>
      <c r="V217" t="s">
        <v>995</v>
      </c>
      <c r="W217" t="s">
        <v>1034</v>
      </c>
      <c r="X217" t="s">
        <v>1612</v>
      </c>
    </row>
    <row r="218" spans="1:24" x14ac:dyDescent="0.25">
      <c r="A218" t="s">
        <v>42</v>
      </c>
      <c r="B218" t="s">
        <v>1613</v>
      </c>
      <c r="C218" t="s">
        <v>336</v>
      </c>
      <c r="D218" t="s">
        <v>323</v>
      </c>
      <c r="E218" t="s">
        <v>990</v>
      </c>
      <c r="F218">
        <v>0</v>
      </c>
      <c r="G218" t="s">
        <v>1085</v>
      </c>
      <c r="H218" t="s">
        <v>1614</v>
      </c>
      <c r="I218" t="s">
        <v>1615</v>
      </c>
      <c r="J218" t="s">
        <v>1423</v>
      </c>
      <c r="K218" t="s">
        <v>992</v>
      </c>
      <c r="L218" t="s">
        <v>992</v>
      </c>
      <c r="M218" t="s">
        <v>992</v>
      </c>
      <c r="N218" t="s">
        <v>992</v>
      </c>
      <c r="O218" t="s">
        <v>992</v>
      </c>
      <c r="P218" t="s">
        <v>992</v>
      </c>
      <c r="Q218" t="b">
        <v>1</v>
      </c>
      <c r="R218" t="b">
        <v>0</v>
      </c>
      <c r="S218" t="s">
        <v>1032</v>
      </c>
      <c r="T218" t="s">
        <v>992</v>
      </c>
      <c r="U218" t="s">
        <v>1140</v>
      </c>
      <c r="V218" t="s">
        <v>1061</v>
      </c>
      <c r="W218" t="s">
        <v>1207</v>
      </c>
      <c r="X218" t="s">
        <v>1616</v>
      </c>
    </row>
    <row r="219" spans="1:24" x14ac:dyDescent="0.25">
      <c r="A219" t="s">
        <v>42</v>
      </c>
      <c r="B219" t="s">
        <v>1617</v>
      </c>
      <c r="C219" t="s">
        <v>336</v>
      </c>
      <c r="D219" t="s">
        <v>323</v>
      </c>
      <c r="E219" t="s">
        <v>999</v>
      </c>
      <c r="F219">
        <v>0</v>
      </c>
      <c r="G219" t="s">
        <v>1085</v>
      </c>
      <c r="H219" t="s">
        <v>1614</v>
      </c>
      <c r="I219" t="s">
        <v>1615</v>
      </c>
      <c r="J219" t="s">
        <v>1423</v>
      </c>
      <c r="K219" t="s">
        <v>992</v>
      </c>
      <c r="L219" t="s">
        <v>992</v>
      </c>
      <c r="M219" t="s">
        <v>992</v>
      </c>
      <c r="N219" t="s">
        <v>992</v>
      </c>
      <c r="O219" t="s">
        <v>992</v>
      </c>
      <c r="P219" t="s">
        <v>992</v>
      </c>
      <c r="Q219" t="b">
        <v>1</v>
      </c>
      <c r="R219" t="b">
        <v>0</v>
      </c>
      <c r="S219" t="s">
        <v>1032</v>
      </c>
      <c r="T219" t="s">
        <v>992</v>
      </c>
      <c r="U219" t="s">
        <v>1140</v>
      </c>
      <c r="V219" t="s">
        <v>1061</v>
      </c>
      <c r="W219" t="s">
        <v>1207</v>
      </c>
      <c r="X219" t="s">
        <v>1618</v>
      </c>
    </row>
    <row r="220" spans="1:24" x14ac:dyDescent="0.25">
      <c r="A220" t="s">
        <v>42</v>
      </c>
      <c r="B220" t="s">
        <v>1619</v>
      </c>
      <c r="C220" t="s">
        <v>336</v>
      </c>
      <c r="D220" t="s">
        <v>323</v>
      </c>
      <c r="E220" t="s">
        <v>1001</v>
      </c>
      <c r="F220">
        <v>0</v>
      </c>
      <c r="G220" t="s">
        <v>1085</v>
      </c>
      <c r="H220" t="s">
        <v>1614</v>
      </c>
      <c r="I220" t="s">
        <v>1615</v>
      </c>
      <c r="J220" t="s">
        <v>1423</v>
      </c>
      <c r="K220" t="s">
        <v>992</v>
      </c>
      <c r="L220" t="s">
        <v>992</v>
      </c>
      <c r="M220" t="s">
        <v>992</v>
      </c>
      <c r="N220" t="s">
        <v>992</v>
      </c>
      <c r="O220" t="s">
        <v>992</v>
      </c>
      <c r="P220" t="s">
        <v>992</v>
      </c>
      <c r="Q220" t="b">
        <v>1</v>
      </c>
      <c r="R220" t="b">
        <v>0</v>
      </c>
      <c r="S220" t="s">
        <v>1032</v>
      </c>
      <c r="T220" t="s">
        <v>992</v>
      </c>
      <c r="U220" t="s">
        <v>1140</v>
      </c>
      <c r="V220" t="s">
        <v>1061</v>
      </c>
      <c r="W220" t="s">
        <v>1207</v>
      </c>
      <c r="X220" t="s">
        <v>1620</v>
      </c>
    </row>
    <row r="221" spans="1:24" x14ac:dyDescent="0.25">
      <c r="A221" t="s">
        <v>42</v>
      </c>
      <c r="B221" t="s">
        <v>1621</v>
      </c>
      <c r="C221" t="s">
        <v>336</v>
      </c>
      <c r="D221" t="s">
        <v>323</v>
      </c>
      <c r="E221" t="s">
        <v>1003</v>
      </c>
      <c r="F221">
        <v>0</v>
      </c>
      <c r="G221" t="s">
        <v>1085</v>
      </c>
      <c r="H221" t="s">
        <v>1614</v>
      </c>
      <c r="I221" t="s">
        <v>1615</v>
      </c>
      <c r="J221" t="s">
        <v>1423</v>
      </c>
      <c r="K221" t="s">
        <v>992</v>
      </c>
      <c r="L221" t="s">
        <v>992</v>
      </c>
      <c r="M221" t="s">
        <v>992</v>
      </c>
      <c r="N221" t="s">
        <v>992</v>
      </c>
      <c r="O221" t="s">
        <v>992</v>
      </c>
      <c r="P221" t="s">
        <v>992</v>
      </c>
      <c r="Q221" t="b">
        <v>1</v>
      </c>
      <c r="R221" t="b">
        <v>0</v>
      </c>
      <c r="S221" t="s">
        <v>1032</v>
      </c>
      <c r="T221" t="s">
        <v>992</v>
      </c>
      <c r="U221" t="s">
        <v>1140</v>
      </c>
      <c r="V221" t="s">
        <v>1061</v>
      </c>
      <c r="W221" t="s">
        <v>1207</v>
      </c>
      <c r="X221" t="s">
        <v>1622</v>
      </c>
    </row>
    <row r="222" spans="1:24" x14ac:dyDescent="0.25">
      <c r="A222" t="s">
        <v>42</v>
      </c>
      <c r="B222" t="s">
        <v>1623</v>
      </c>
      <c r="C222" t="s">
        <v>336</v>
      </c>
      <c r="D222" t="s">
        <v>323</v>
      </c>
      <c r="E222" t="s">
        <v>1005</v>
      </c>
      <c r="F222">
        <v>0</v>
      </c>
      <c r="G222" t="s">
        <v>1085</v>
      </c>
      <c r="H222" t="s">
        <v>1614</v>
      </c>
      <c r="I222" t="s">
        <v>1615</v>
      </c>
      <c r="J222" t="s">
        <v>1423</v>
      </c>
      <c r="K222" t="s">
        <v>992</v>
      </c>
      <c r="L222" t="s">
        <v>992</v>
      </c>
      <c r="M222" t="s">
        <v>992</v>
      </c>
      <c r="N222" t="s">
        <v>992</v>
      </c>
      <c r="O222" t="s">
        <v>992</v>
      </c>
      <c r="P222" t="s">
        <v>992</v>
      </c>
      <c r="Q222" t="b">
        <v>1</v>
      </c>
      <c r="R222" t="b">
        <v>0</v>
      </c>
      <c r="S222" t="s">
        <v>1032</v>
      </c>
      <c r="T222" t="s">
        <v>992</v>
      </c>
      <c r="U222" t="s">
        <v>1140</v>
      </c>
      <c r="V222" t="s">
        <v>1061</v>
      </c>
      <c r="W222" t="s">
        <v>1207</v>
      </c>
      <c r="X222" t="s">
        <v>1624</v>
      </c>
    </row>
    <row r="223" spans="1:24" x14ac:dyDescent="0.25">
      <c r="A223" t="s">
        <v>42</v>
      </c>
      <c r="B223" t="s">
        <v>1625</v>
      </c>
      <c r="C223" t="s">
        <v>336</v>
      </c>
      <c r="D223" t="s">
        <v>323</v>
      </c>
      <c r="E223" t="s">
        <v>1007</v>
      </c>
      <c r="F223">
        <v>0</v>
      </c>
      <c r="G223" t="s">
        <v>1085</v>
      </c>
      <c r="H223" t="s">
        <v>1614</v>
      </c>
      <c r="I223" t="s">
        <v>1615</v>
      </c>
      <c r="J223" t="s">
        <v>1423</v>
      </c>
      <c r="K223" t="s">
        <v>992</v>
      </c>
      <c r="L223" t="s">
        <v>992</v>
      </c>
      <c r="M223" t="s">
        <v>992</v>
      </c>
      <c r="N223" t="s">
        <v>992</v>
      </c>
      <c r="O223" t="s">
        <v>992</v>
      </c>
      <c r="P223" t="s">
        <v>992</v>
      </c>
      <c r="Q223" t="b">
        <v>1</v>
      </c>
      <c r="R223" t="b">
        <v>0</v>
      </c>
      <c r="S223" t="s">
        <v>1032</v>
      </c>
      <c r="T223" t="s">
        <v>992</v>
      </c>
      <c r="U223" t="s">
        <v>1140</v>
      </c>
      <c r="V223" t="s">
        <v>1061</v>
      </c>
      <c r="W223" t="s">
        <v>1207</v>
      </c>
      <c r="X223" t="s">
        <v>1626</v>
      </c>
    </row>
    <row r="224" spans="1:24" x14ac:dyDescent="0.25">
      <c r="A224" t="s">
        <v>42</v>
      </c>
      <c r="B224" t="s">
        <v>1627</v>
      </c>
      <c r="C224" t="s">
        <v>336</v>
      </c>
      <c r="D224" t="s">
        <v>323</v>
      </c>
      <c r="E224" t="s">
        <v>1009</v>
      </c>
      <c r="F224">
        <v>0</v>
      </c>
      <c r="G224" t="s">
        <v>1085</v>
      </c>
      <c r="H224" t="s">
        <v>1614</v>
      </c>
      <c r="I224" t="s">
        <v>1615</v>
      </c>
      <c r="J224" t="s">
        <v>1423</v>
      </c>
      <c r="K224" t="s">
        <v>992</v>
      </c>
      <c r="L224" t="s">
        <v>992</v>
      </c>
      <c r="M224" t="s">
        <v>992</v>
      </c>
      <c r="N224" t="s">
        <v>992</v>
      </c>
      <c r="O224" t="s">
        <v>992</v>
      </c>
      <c r="P224" t="s">
        <v>992</v>
      </c>
      <c r="Q224" t="b">
        <v>1</v>
      </c>
      <c r="R224" t="b">
        <v>0</v>
      </c>
      <c r="S224" t="s">
        <v>1032</v>
      </c>
      <c r="T224" t="s">
        <v>992</v>
      </c>
      <c r="U224" t="s">
        <v>1140</v>
      </c>
      <c r="V224" t="s">
        <v>1061</v>
      </c>
      <c r="W224" t="s">
        <v>1207</v>
      </c>
      <c r="X224" t="s">
        <v>1628</v>
      </c>
    </row>
    <row r="225" spans="1:24" x14ac:dyDescent="0.25">
      <c r="A225" t="s">
        <v>42</v>
      </c>
      <c r="B225" t="s">
        <v>1629</v>
      </c>
      <c r="C225" t="s">
        <v>336</v>
      </c>
      <c r="D225" t="s">
        <v>323</v>
      </c>
      <c r="E225" t="s">
        <v>1011</v>
      </c>
      <c r="F225">
        <v>0</v>
      </c>
      <c r="G225" t="s">
        <v>1085</v>
      </c>
      <c r="H225" t="s">
        <v>1614</v>
      </c>
      <c r="I225" t="s">
        <v>1615</v>
      </c>
      <c r="J225" t="s">
        <v>1423</v>
      </c>
      <c r="K225" t="s">
        <v>992</v>
      </c>
      <c r="L225" t="s">
        <v>992</v>
      </c>
      <c r="M225" t="s">
        <v>992</v>
      </c>
      <c r="N225" t="s">
        <v>992</v>
      </c>
      <c r="O225" t="s">
        <v>992</v>
      </c>
      <c r="P225" t="s">
        <v>992</v>
      </c>
      <c r="Q225" t="b">
        <v>1</v>
      </c>
      <c r="R225" t="b">
        <v>0</v>
      </c>
      <c r="S225" t="s">
        <v>1032</v>
      </c>
      <c r="T225" t="s">
        <v>992</v>
      </c>
      <c r="U225" t="s">
        <v>1140</v>
      </c>
      <c r="V225" t="s">
        <v>1061</v>
      </c>
      <c r="W225" t="s">
        <v>1207</v>
      </c>
      <c r="X225" t="s">
        <v>1622</v>
      </c>
    </row>
    <row r="226" spans="1:24" x14ac:dyDescent="0.25">
      <c r="A226" t="s">
        <v>42</v>
      </c>
      <c r="B226" t="s">
        <v>1630</v>
      </c>
      <c r="C226" t="s">
        <v>336</v>
      </c>
      <c r="D226" t="s">
        <v>323</v>
      </c>
      <c r="E226" t="s">
        <v>1013</v>
      </c>
      <c r="F226">
        <v>0</v>
      </c>
      <c r="G226" t="s">
        <v>1085</v>
      </c>
      <c r="H226" t="s">
        <v>1614</v>
      </c>
      <c r="I226" t="s">
        <v>1615</v>
      </c>
      <c r="J226" t="s">
        <v>1423</v>
      </c>
      <c r="K226" t="s">
        <v>992</v>
      </c>
      <c r="L226" t="s">
        <v>992</v>
      </c>
      <c r="M226" t="s">
        <v>992</v>
      </c>
      <c r="N226" t="s">
        <v>992</v>
      </c>
      <c r="O226" t="s">
        <v>992</v>
      </c>
      <c r="P226" t="s">
        <v>992</v>
      </c>
      <c r="Q226" t="b">
        <v>1</v>
      </c>
      <c r="R226" t="b">
        <v>0</v>
      </c>
      <c r="S226" t="s">
        <v>1032</v>
      </c>
      <c r="T226" t="s">
        <v>992</v>
      </c>
      <c r="U226" t="s">
        <v>1140</v>
      </c>
      <c r="V226" t="s">
        <v>1061</v>
      </c>
      <c r="W226" t="s">
        <v>1207</v>
      </c>
      <c r="X226" t="s">
        <v>1631</v>
      </c>
    </row>
    <row r="227" spans="1:24" x14ac:dyDescent="0.25">
      <c r="A227" t="s">
        <v>42</v>
      </c>
      <c r="B227" t="s">
        <v>1632</v>
      </c>
      <c r="C227" t="s">
        <v>336</v>
      </c>
      <c r="D227" t="s">
        <v>323</v>
      </c>
      <c r="E227" t="s">
        <v>1015</v>
      </c>
      <c r="F227">
        <v>0</v>
      </c>
      <c r="G227" t="s">
        <v>1085</v>
      </c>
      <c r="H227" t="s">
        <v>1614</v>
      </c>
      <c r="I227" t="s">
        <v>1615</v>
      </c>
      <c r="J227" t="s">
        <v>1423</v>
      </c>
      <c r="K227" t="s">
        <v>992</v>
      </c>
      <c r="L227" t="s">
        <v>992</v>
      </c>
      <c r="M227" t="s">
        <v>992</v>
      </c>
      <c r="N227" t="s">
        <v>992</v>
      </c>
      <c r="O227" t="s">
        <v>992</v>
      </c>
      <c r="P227" t="s">
        <v>992</v>
      </c>
      <c r="Q227" t="b">
        <v>1</v>
      </c>
      <c r="R227" t="b">
        <v>0</v>
      </c>
      <c r="S227" t="s">
        <v>1032</v>
      </c>
      <c r="T227" t="s">
        <v>992</v>
      </c>
      <c r="U227" t="s">
        <v>1140</v>
      </c>
      <c r="V227" t="s">
        <v>1061</v>
      </c>
      <c r="W227" t="s">
        <v>1207</v>
      </c>
      <c r="X227" t="s">
        <v>1633</v>
      </c>
    </row>
    <row r="228" spans="1:24" x14ac:dyDescent="0.25">
      <c r="A228" t="s">
        <v>42</v>
      </c>
      <c r="B228" t="s">
        <v>1634</v>
      </c>
      <c r="C228" t="s">
        <v>336</v>
      </c>
      <c r="D228" t="s">
        <v>323</v>
      </c>
      <c r="E228" t="s">
        <v>1017</v>
      </c>
      <c r="F228">
        <v>0</v>
      </c>
      <c r="G228" t="s">
        <v>1085</v>
      </c>
      <c r="H228" t="s">
        <v>1614</v>
      </c>
      <c r="I228" t="s">
        <v>1615</v>
      </c>
      <c r="J228" t="s">
        <v>1423</v>
      </c>
      <c r="K228" t="s">
        <v>992</v>
      </c>
      <c r="L228" t="s">
        <v>992</v>
      </c>
      <c r="M228" t="s">
        <v>992</v>
      </c>
      <c r="N228" t="s">
        <v>992</v>
      </c>
      <c r="O228" t="s">
        <v>992</v>
      </c>
      <c r="P228" t="s">
        <v>992</v>
      </c>
      <c r="Q228" t="b">
        <v>1</v>
      </c>
      <c r="R228" t="b">
        <v>0</v>
      </c>
      <c r="S228" t="s">
        <v>1032</v>
      </c>
      <c r="T228" t="s">
        <v>992</v>
      </c>
      <c r="U228" t="s">
        <v>1140</v>
      </c>
      <c r="V228" t="s">
        <v>1061</v>
      </c>
      <c r="W228" t="s">
        <v>1207</v>
      </c>
      <c r="X228" t="s">
        <v>1635</v>
      </c>
    </row>
    <row r="229" spans="1:24" x14ac:dyDescent="0.25">
      <c r="A229" t="s">
        <v>42</v>
      </c>
      <c r="B229" t="s">
        <v>1636</v>
      </c>
      <c r="C229" t="s">
        <v>336</v>
      </c>
      <c r="D229" t="s">
        <v>323</v>
      </c>
      <c r="E229" t="s">
        <v>1019</v>
      </c>
      <c r="F229">
        <v>13301</v>
      </c>
      <c r="G229" t="s">
        <v>1085</v>
      </c>
      <c r="H229" t="s">
        <v>1637</v>
      </c>
      <c r="I229" t="s">
        <v>1638</v>
      </c>
      <c r="J229" t="s">
        <v>1423</v>
      </c>
      <c r="K229" t="s">
        <v>1132</v>
      </c>
      <c r="L229" t="s">
        <v>1133</v>
      </c>
      <c r="M229" t="s">
        <v>1028</v>
      </c>
      <c r="N229" t="s">
        <v>1134</v>
      </c>
      <c r="O229" t="s">
        <v>992</v>
      </c>
      <c r="P229" t="s">
        <v>1120</v>
      </c>
      <c r="Q229" t="b">
        <v>1</v>
      </c>
      <c r="R229" t="b">
        <v>0</v>
      </c>
      <c r="S229" t="s">
        <v>1032</v>
      </c>
      <c r="T229" t="s">
        <v>992</v>
      </c>
      <c r="U229" t="s">
        <v>1140</v>
      </c>
      <c r="V229" t="s">
        <v>995</v>
      </c>
      <c r="W229" t="s">
        <v>1034</v>
      </c>
      <c r="X229" t="s">
        <v>1639</v>
      </c>
    </row>
    <row r="230" spans="1:24" x14ac:dyDescent="0.25">
      <c r="A230" t="s">
        <v>42</v>
      </c>
      <c r="B230" t="s">
        <v>1640</v>
      </c>
      <c r="C230" t="s">
        <v>336</v>
      </c>
      <c r="D230" t="s">
        <v>323</v>
      </c>
      <c r="E230" t="s">
        <v>1021</v>
      </c>
      <c r="F230">
        <v>0</v>
      </c>
      <c r="G230" t="s">
        <v>1085</v>
      </c>
      <c r="H230" t="s">
        <v>1614</v>
      </c>
      <c r="I230" t="s">
        <v>1615</v>
      </c>
      <c r="J230" t="s">
        <v>1423</v>
      </c>
      <c r="K230" t="s">
        <v>992</v>
      </c>
      <c r="L230" t="s">
        <v>992</v>
      </c>
      <c r="M230" t="s">
        <v>992</v>
      </c>
      <c r="N230" t="s">
        <v>992</v>
      </c>
      <c r="O230" t="s">
        <v>992</v>
      </c>
      <c r="P230" t="s">
        <v>992</v>
      </c>
      <c r="Q230" t="b">
        <v>1</v>
      </c>
      <c r="R230" t="b">
        <v>0</v>
      </c>
      <c r="S230" t="s">
        <v>1032</v>
      </c>
      <c r="T230" t="s">
        <v>992</v>
      </c>
      <c r="U230" t="s">
        <v>1140</v>
      </c>
      <c r="V230" t="s">
        <v>1061</v>
      </c>
      <c r="W230" t="s">
        <v>1207</v>
      </c>
      <c r="X230" t="s">
        <v>1641</v>
      </c>
    </row>
    <row r="231" spans="1:24" x14ac:dyDescent="0.25">
      <c r="A231" t="s">
        <v>42</v>
      </c>
      <c r="B231" t="s">
        <v>1642</v>
      </c>
      <c r="C231" t="s">
        <v>336</v>
      </c>
      <c r="D231" t="s">
        <v>323</v>
      </c>
      <c r="E231" t="s">
        <v>1130</v>
      </c>
      <c r="F231">
        <v>25797</v>
      </c>
      <c r="G231" t="s">
        <v>1085</v>
      </c>
      <c r="H231" t="s">
        <v>1643</v>
      </c>
      <c r="I231" t="s">
        <v>1638</v>
      </c>
      <c r="J231" t="s">
        <v>1423</v>
      </c>
      <c r="K231" t="s">
        <v>1132</v>
      </c>
      <c r="L231" t="s">
        <v>1133</v>
      </c>
      <c r="M231" t="s">
        <v>1028</v>
      </c>
      <c r="N231" t="s">
        <v>1134</v>
      </c>
      <c r="O231" t="s">
        <v>992</v>
      </c>
      <c r="P231" t="s">
        <v>1136</v>
      </c>
      <c r="Q231" t="b">
        <v>1</v>
      </c>
      <c r="R231" t="b">
        <v>0</v>
      </c>
      <c r="S231" t="s">
        <v>1032</v>
      </c>
      <c r="T231" t="s">
        <v>992</v>
      </c>
      <c r="U231" t="s">
        <v>1140</v>
      </c>
      <c r="V231" t="s">
        <v>995</v>
      </c>
      <c r="W231" t="s">
        <v>1034</v>
      </c>
      <c r="X231" t="s">
        <v>1644</v>
      </c>
    </row>
    <row r="232" spans="1:24" x14ac:dyDescent="0.25">
      <c r="A232" t="s">
        <v>42</v>
      </c>
      <c r="B232" t="s">
        <v>1645</v>
      </c>
      <c r="C232" t="s">
        <v>337</v>
      </c>
      <c r="D232" t="s">
        <v>323</v>
      </c>
      <c r="E232" t="s">
        <v>990</v>
      </c>
      <c r="F232">
        <v>0</v>
      </c>
      <c r="G232" t="s">
        <v>1085</v>
      </c>
      <c r="H232" t="s">
        <v>1646</v>
      </c>
      <c r="I232" t="s">
        <v>337</v>
      </c>
      <c r="J232" t="s">
        <v>1423</v>
      </c>
      <c r="K232" t="s">
        <v>992</v>
      </c>
      <c r="L232" t="s">
        <v>992</v>
      </c>
      <c r="M232" t="s">
        <v>992</v>
      </c>
      <c r="N232" t="s">
        <v>992</v>
      </c>
      <c r="O232" t="s">
        <v>992</v>
      </c>
      <c r="P232" t="s">
        <v>992</v>
      </c>
      <c r="Q232" t="b">
        <v>1</v>
      </c>
      <c r="R232" t="b">
        <v>0</v>
      </c>
      <c r="S232" t="s">
        <v>1032</v>
      </c>
      <c r="T232" t="s">
        <v>992</v>
      </c>
      <c r="U232" t="s">
        <v>1140</v>
      </c>
      <c r="V232" t="s">
        <v>1061</v>
      </c>
      <c r="W232" t="s">
        <v>1207</v>
      </c>
      <c r="X232" t="s">
        <v>1647</v>
      </c>
    </row>
    <row r="233" spans="1:24" x14ac:dyDescent="0.25">
      <c r="A233" t="s">
        <v>42</v>
      </c>
      <c r="B233" t="s">
        <v>1648</v>
      </c>
      <c r="C233" t="s">
        <v>337</v>
      </c>
      <c r="D233" t="s">
        <v>323</v>
      </c>
      <c r="E233" t="s">
        <v>999</v>
      </c>
      <c r="F233">
        <v>0</v>
      </c>
      <c r="G233" t="s">
        <v>1085</v>
      </c>
      <c r="H233" t="s">
        <v>1646</v>
      </c>
      <c r="I233" t="s">
        <v>337</v>
      </c>
      <c r="J233" t="s">
        <v>1423</v>
      </c>
      <c r="K233" t="s">
        <v>992</v>
      </c>
      <c r="L233" t="s">
        <v>992</v>
      </c>
      <c r="M233" t="s">
        <v>992</v>
      </c>
      <c r="N233" t="s">
        <v>992</v>
      </c>
      <c r="O233" t="s">
        <v>992</v>
      </c>
      <c r="P233" t="s">
        <v>992</v>
      </c>
      <c r="Q233" t="b">
        <v>1</v>
      </c>
      <c r="R233" t="b">
        <v>0</v>
      </c>
      <c r="S233" t="s">
        <v>1032</v>
      </c>
      <c r="T233" t="s">
        <v>992</v>
      </c>
      <c r="U233" t="s">
        <v>1140</v>
      </c>
      <c r="V233" t="s">
        <v>1061</v>
      </c>
      <c r="W233" t="s">
        <v>1207</v>
      </c>
      <c r="X233" t="s">
        <v>1649</v>
      </c>
    </row>
    <row r="234" spans="1:24" x14ac:dyDescent="0.25">
      <c r="A234" t="s">
        <v>42</v>
      </c>
      <c r="B234" t="s">
        <v>1650</v>
      </c>
      <c r="C234" t="s">
        <v>337</v>
      </c>
      <c r="D234" t="s">
        <v>323</v>
      </c>
      <c r="E234" t="s">
        <v>1001</v>
      </c>
      <c r="F234">
        <v>0</v>
      </c>
      <c r="G234" t="s">
        <v>1085</v>
      </c>
      <c r="H234" t="s">
        <v>1646</v>
      </c>
      <c r="I234" t="s">
        <v>337</v>
      </c>
      <c r="J234" t="s">
        <v>1423</v>
      </c>
      <c r="K234" t="s">
        <v>992</v>
      </c>
      <c r="L234" t="s">
        <v>992</v>
      </c>
      <c r="M234" t="s">
        <v>992</v>
      </c>
      <c r="N234" t="s">
        <v>992</v>
      </c>
      <c r="O234" t="s">
        <v>992</v>
      </c>
      <c r="P234" t="s">
        <v>992</v>
      </c>
      <c r="Q234" t="b">
        <v>1</v>
      </c>
      <c r="R234" t="b">
        <v>0</v>
      </c>
      <c r="S234" t="s">
        <v>1032</v>
      </c>
      <c r="T234" t="s">
        <v>992</v>
      </c>
      <c r="U234" t="s">
        <v>1140</v>
      </c>
      <c r="V234" t="s">
        <v>1061</v>
      </c>
      <c r="W234" t="s">
        <v>1207</v>
      </c>
      <c r="X234" t="s">
        <v>1651</v>
      </c>
    </row>
    <row r="235" spans="1:24" x14ac:dyDescent="0.25">
      <c r="A235" t="s">
        <v>42</v>
      </c>
      <c r="B235" t="s">
        <v>1652</v>
      </c>
      <c r="C235" t="s">
        <v>337</v>
      </c>
      <c r="D235" t="s">
        <v>323</v>
      </c>
      <c r="E235" t="s">
        <v>1003</v>
      </c>
      <c r="F235">
        <v>0</v>
      </c>
      <c r="G235" t="s">
        <v>1085</v>
      </c>
      <c r="H235" t="s">
        <v>1646</v>
      </c>
      <c r="I235" t="s">
        <v>337</v>
      </c>
      <c r="J235" t="s">
        <v>1423</v>
      </c>
      <c r="K235" t="s">
        <v>992</v>
      </c>
      <c r="L235" t="s">
        <v>992</v>
      </c>
      <c r="M235" t="s">
        <v>992</v>
      </c>
      <c r="N235" t="s">
        <v>992</v>
      </c>
      <c r="O235" t="s">
        <v>992</v>
      </c>
      <c r="P235" t="s">
        <v>992</v>
      </c>
      <c r="Q235" t="b">
        <v>1</v>
      </c>
      <c r="R235" t="b">
        <v>0</v>
      </c>
      <c r="S235" t="s">
        <v>1032</v>
      </c>
      <c r="T235" t="s">
        <v>992</v>
      </c>
      <c r="U235" t="s">
        <v>1140</v>
      </c>
      <c r="V235" t="s">
        <v>1061</v>
      </c>
      <c r="W235" t="s">
        <v>1207</v>
      </c>
      <c r="X235" t="s">
        <v>1653</v>
      </c>
    </row>
    <row r="236" spans="1:24" x14ac:dyDescent="0.25">
      <c r="A236" t="s">
        <v>42</v>
      </c>
      <c r="B236" t="s">
        <v>1654</v>
      </c>
      <c r="C236" t="s">
        <v>337</v>
      </c>
      <c r="D236" t="s">
        <v>323</v>
      </c>
      <c r="E236" t="s">
        <v>1005</v>
      </c>
      <c r="F236">
        <v>0</v>
      </c>
      <c r="G236" t="s">
        <v>1085</v>
      </c>
      <c r="H236" t="s">
        <v>1646</v>
      </c>
      <c r="I236" t="s">
        <v>337</v>
      </c>
      <c r="J236" t="s">
        <v>1423</v>
      </c>
      <c r="K236" t="s">
        <v>992</v>
      </c>
      <c r="L236" t="s">
        <v>992</v>
      </c>
      <c r="M236" t="s">
        <v>992</v>
      </c>
      <c r="N236" t="s">
        <v>992</v>
      </c>
      <c r="O236" t="s">
        <v>992</v>
      </c>
      <c r="P236" t="s">
        <v>992</v>
      </c>
      <c r="Q236" t="b">
        <v>1</v>
      </c>
      <c r="R236" t="b">
        <v>0</v>
      </c>
      <c r="S236" t="s">
        <v>1032</v>
      </c>
      <c r="T236" t="s">
        <v>992</v>
      </c>
      <c r="U236" t="s">
        <v>1140</v>
      </c>
      <c r="V236" t="s">
        <v>1061</v>
      </c>
      <c r="W236" t="s">
        <v>1207</v>
      </c>
      <c r="X236" t="s">
        <v>1655</v>
      </c>
    </row>
    <row r="237" spans="1:24" x14ac:dyDescent="0.25">
      <c r="A237" t="s">
        <v>42</v>
      </c>
      <c r="B237" t="s">
        <v>1656</v>
      </c>
      <c r="C237" t="s">
        <v>337</v>
      </c>
      <c r="D237" t="s">
        <v>323</v>
      </c>
      <c r="E237" t="s">
        <v>1007</v>
      </c>
      <c r="F237">
        <v>0</v>
      </c>
      <c r="G237" t="s">
        <v>1085</v>
      </c>
      <c r="H237" t="s">
        <v>1646</v>
      </c>
      <c r="I237" t="s">
        <v>337</v>
      </c>
      <c r="J237" t="s">
        <v>1423</v>
      </c>
      <c r="K237" t="s">
        <v>992</v>
      </c>
      <c r="L237" t="s">
        <v>992</v>
      </c>
      <c r="M237" t="s">
        <v>992</v>
      </c>
      <c r="N237" t="s">
        <v>992</v>
      </c>
      <c r="O237" t="s">
        <v>992</v>
      </c>
      <c r="P237" t="s">
        <v>992</v>
      </c>
      <c r="Q237" t="b">
        <v>1</v>
      </c>
      <c r="R237" t="b">
        <v>0</v>
      </c>
      <c r="S237" t="s">
        <v>1032</v>
      </c>
      <c r="T237" t="s">
        <v>992</v>
      </c>
      <c r="U237" t="s">
        <v>1140</v>
      </c>
      <c r="V237" t="s">
        <v>1061</v>
      </c>
      <c r="W237" t="s">
        <v>1207</v>
      </c>
      <c r="X237" t="s">
        <v>1657</v>
      </c>
    </row>
    <row r="238" spans="1:24" x14ac:dyDescent="0.25">
      <c r="A238" t="s">
        <v>42</v>
      </c>
      <c r="B238" t="s">
        <v>1658</v>
      </c>
      <c r="C238" t="s">
        <v>337</v>
      </c>
      <c r="D238" t="s">
        <v>323</v>
      </c>
      <c r="E238" t="s">
        <v>1009</v>
      </c>
      <c r="F238">
        <v>0</v>
      </c>
      <c r="G238" t="s">
        <v>1085</v>
      </c>
      <c r="H238" t="s">
        <v>1646</v>
      </c>
      <c r="I238" t="s">
        <v>337</v>
      </c>
      <c r="J238" t="s">
        <v>1423</v>
      </c>
      <c r="K238" t="s">
        <v>992</v>
      </c>
      <c r="L238" t="s">
        <v>992</v>
      </c>
      <c r="M238" t="s">
        <v>992</v>
      </c>
      <c r="N238" t="s">
        <v>992</v>
      </c>
      <c r="O238" t="s">
        <v>992</v>
      </c>
      <c r="P238" t="s">
        <v>992</v>
      </c>
      <c r="Q238" t="b">
        <v>1</v>
      </c>
      <c r="R238" t="b">
        <v>0</v>
      </c>
      <c r="S238" t="s">
        <v>1032</v>
      </c>
      <c r="T238" t="s">
        <v>992</v>
      </c>
      <c r="U238" t="s">
        <v>1140</v>
      </c>
      <c r="V238" t="s">
        <v>1061</v>
      </c>
      <c r="W238" t="s">
        <v>1207</v>
      </c>
      <c r="X238" t="s">
        <v>1659</v>
      </c>
    </row>
    <row r="239" spans="1:24" x14ac:dyDescent="0.25">
      <c r="A239" t="s">
        <v>42</v>
      </c>
      <c r="B239" t="s">
        <v>1660</v>
      </c>
      <c r="C239" t="s">
        <v>337</v>
      </c>
      <c r="D239" t="s">
        <v>323</v>
      </c>
      <c r="E239" t="s">
        <v>1011</v>
      </c>
      <c r="F239">
        <v>0</v>
      </c>
      <c r="G239" t="s">
        <v>1085</v>
      </c>
      <c r="H239" t="s">
        <v>1646</v>
      </c>
      <c r="I239" t="s">
        <v>337</v>
      </c>
      <c r="J239" t="s">
        <v>1423</v>
      </c>
      <c r="K239" t="s">
        <v>992</v>
      </c>
      <c r="L239" t="s">
        <v>992</v>
      </c>
      <c r="M239" t="s">
        <v>992</v>
      </c>
      <c r="N239" t="s">
        <v>992</v>
      </c>
      <c r="O239" t="s">
        <v>992</v>
      </c>
      <c r="P239" t="s">
        <v>992</v>
      </c>
      <c r="Q239" t="b">
        <v>1</v>
      </c>
      <c r="R239" t="b">
        <v>0</v>
      </c>
      <c r="S239" t="s">
        <v>1032</v>
      </c>
      <c r="T239" t="s">
        <v>992</v>
      </c>
      <c r="U239" t="s">
        <v>1140</v>
      </c>
      <c r="V239" t="s">
        <v>1061</v>
      </c>
      <c r="W239" t="s">
        <v>1207</v>
      </c>
      <c r="X239" t="s">
        <v>1661</v>
      </c>
    </row>
    <row r="240" spans="1:24" x14ac:dyDescent="0.25">
      <c r="A240" t="s">
        <v>42</v>
      </c>
      <c r="B240" t="s">
        <v>1662</v>
      </c>
      <c r="C240" t="s">
        <v>337</v>
      </c>
      <c r="D240" t="s">
        <v>323</v>
      </c>
      <c r="E240" t="s">
        <v>1013</v>
      </c>
      <c r="F240">
        <v>0</v>
      </c>
      <c r="G240" t="s">
        <v>1085</v>
      </c>
      <c r="H240" t="s">
        <v>1646</v>
      </c>
      <c r="I240" t="s">
        <v>337</v>
      </c>
      <c r="J240" t="s">
        <v>1423</v>
      </c>
      <c r="K240" t="s">
        <v>992</v>
      </c>
      <c r="L240" t="s">
        <v>992</v>
      </c>
      <c r="M240" t="s">
        <v>992</v>
      </c>
      <c r="N240" t="s">
        <v>992</v>
      </c>
      <c r="O240" t="s">
        <v>992</v>
      </c>
      <c r="P240" t="s">
        <v>992</v>
      </c>
      <c r="Q240" t="b">
        <v>1</v>
      </c>
      <c r="R240" t="b">
        <v>0</v>
      </c>
      <c r="S240" t="s">
        <v>1032</v>
      </c>
      <c r="T240" t="s">
        <v>992</v>
      </c>
      <c r="U240" t="s">
        <v>1140</v>
      </c>
      <c r="V240" t="s">
        <v>1061</v>
      </c>
      <c r="W240" t="s">
        <v>1207</v>
      </c>
      <c r="X240" t="s">
        <v>1663</v>
      </c>
    </row>
    <row r="241" spans="1:24" x14ac:dyDescent="0.25">
      <c r="A241" t="s">
        <v>42</v>
      </c>
      <c r="B241" t="s">
        <v>1664</v>
      </c>
      <c r="C241" t="s">
        <v>337</v>
      </c>
      <c r="D241" t="s">
        <v>323</v>
      </c>
      <c r="E241" t="s">
        <v>1015</v>
      </c>
      <c r="F241">
        <v>0</v>
      </c>
      <c r="G241" t="s">
        <v>1085</v>
      </c>
      <c r="H241" t="s">
        <v>1646</v>
      </c>
      <c r="I241" t="s">
        <v>337</v>
      </c>
      <c r="J241" t="s">
        <v>1423</v>
      </c>
      <c r="K241" t="s">
        <v>992</v>
      </c>
      <c r="L241" t="s">
        <v>992</v>
      </c>
      <c r="M241" t="s">
        <v>992</v>
      </c>
      <c r="N241" t="s">
        <v>992</v>
      </c>
      <c r="O241" t="s">
        <v>992</v>
      </c>
      <c r="P241" t="s">
        <v>992</v>
      </c>
      <c r="Q241" t="b">
        <v>1</v>
      </c>
      <c r="R241" t="b">
        <v>0</v>
      </c>
      <c r="S241" t="s">
        <v>1032</v>
      </c>
      <c r="T241" t="s">
        <v>992</v>
      </c>
      <c r="U241" t="s">
        <v>1140</v>
      </c>
      <c r="V241" t="s">
        <v>1061</v>
      </c>
      <c r="W241" t="s">
        <v>1207</v>
      </c>
      <c r="X241" t="s">
        <v>1665</v>
      </c>
    </row>
    <row r="242" spans="1:24" x14ac:dyDescent="0.25">
      <c r="A242" t="s">
        <v>42</v>
      </c>
      <c r="B242" t="s">
        <v>1666</v>
      </c>
      <c r="C242" t="s">
        <v>337</v>
      </c>
      <c r="D242" t="s">
        <v>323</v>
      </c>
      <c r="E242" t="s">
        <v>1017</v>
      </c>
      <c r="F242">
        <v>0</v>
      </c>
      <c r="G242" t="s">
        <v>1085</v>
      </c>
      <c r="H242" t="s">
        <v>1646</v>
      </c>
      <c r="I242" t="s">
        <v>337</v>
      </c>
      <c r="J242" t="s">
        <v>1423</v>
      </c>
      <c r="K242" t="s">
        <v>992</v>
      </c>
      <c r="L242" t="s">
        <v>992</v>
      </c>
      <c r="M242" t="s">
        <v>992</v>
      </c>
      <c r="N242" t="s">
        <v>992</v>
      </c>
      <c r="O242" t="s">
        <v>992</v>
      </c>
      <c r="P242" t="s">
        <v>992</v>
      </c>
      <c r="Q242" t="b">
        <v>1</v>
      </c>
      <c r="R242" t="b">
        <v>0</v>
      </c>
      <c r="S242" t="s">
        <v>1032</v>
      </c>
      <c r="T242" t="s">
        <v>992</v>
      </c>
      <c r="U242" t="s">
        <v>1140</v>
      </c>
      <c r="V242" t="s">
        <v>1061</v>
      </c>
      <c r="W242" t="s">
        <v>1207</v>
      </c>
      <c r="X242" t="s">
        <v>1667</v>
      </c>
    </row>
    <row r="243" spans="1:24" x14ac:dyDescent="0.25">
      <c r="A243" t="s">
        <v>42</v>
      </c>
      <c r="B243" t="s">
        <v>1668</v>
      </c>
      <c r="C243" t="s">
        <v>337</v>
      </c>
      <c r="D243" t="s">
        <v>323</v>
      </c>
      <c r="E243" t="s">
        <v>1019</v>
      </c>
      <c r="F243">
        <v>0</v>
      </c>
      <c r="G243" t="s">
        <v>1085</v>
      </c>
      <c r="H243" t="s">
        <v>1646</v>
      </c>
      <c r="I243" t="s">
        <v>337</v>
      </c>
      <c r="J243" t="s">
        <v>1423</v>
      </c>
      <c r="K243" t="s">
        <v>992</v>
      </c>
      <c r="L243" t="s">
        <v>992</v>
      </c>
      <c r="M243" t="s">
        <v>992</v>
      </c>
      <c r="N243" t="s">
        <v>992</v>
      </c>
      <c r="O243" t="s">
        <v>992</v>
      </c>
      <c r="P243" t="s">
        <v>992</v>
      </c>
      <c r="Q243" t="b">
        <v>1</v>
      </c>
      <c r="R243" t="b">
        <v>0</v>
      </c>
      <c r="S243" t="s">
        <v>1032</v>
      </c>
      <c r="T243" t="s">
        <v>992</v>
      </c>
      <c r="U243" t="s">
        <v>1140</v>
      </c>
      <c r="V243" t="s">
        <v>1061</v>
      </c>
      <c r="W243" t="s">
        <v>1207</v>
      </c>
      <c r="X243" t="s">
        <v>1669</v>
      </c>
    </row>
    <row r="244" spans="1:24" x14ac:dyDescent="0.25">
      <c r="A244" t="s">
        <v>42</v>
      </c>
      <c r="B244" t="s">
        <v>1670</v>
      </c>
      <c r="C244" t="s">
        <v>337</v>
      </c>
      <c r="D244" t="s">
        <v>323</v>
      </c>
      <c r="E244" t="s">
        <v>1021</v>
      </c>
      <c r="F244">
        <v>0</v>
      </c>
      <c r="G244" t="s">
        <v>1085</v>
      </c>
      <c r="H244" t="s">
        <v>1646</v>
      </c>
      <c r="I244" t="s">
        <v>337</v>
      </c>
      <c r="J244" t="s">
        <v>1423</v>
      </c>
      <c r="K244" t="s">
        <v>992</v>
      </c>
      <c r="L244" t="s">
        <v>992</v>
      </c>
      <c r="M244" t="s">
        <v>992</v>
      </c>
      <c r="N244" t="s">
        <v>992</v>
      </c>
      <c r="O244" t="s">
        <v>992</v>
      </c>
      <c r="P244" t="s">
        <v>992</v>
      </c>
      <c r="Q244" t="b">
        <v>1</v>
      </c>
      <c r="R244" t="b">
        <v>0</v>
      </c>
      <c r="S244" t="s">
        <v>1032</v>
      </c>
      <c r="T244" t="s">
        <v>992</v>
      </c>
      <c r="U244" t="s">
        <v>1140</v>
      </c>
      <c r="V244" t="s">
        <v>1061</v>
      </c>
      <c r="W244" t="s">
        <v>1207</v>
      </c>
      <c r="X244" t="s">
        <v>1671</v>
      </c>
    </row>
    <row r="245" spans="1:24" x14ac:dyDescent="0.25">
      <c r="A245" t="s">
        <v>42</v>
      </c>
      <c r="B245" t="s">
        <v>1672</v>
      </c>
      <c r="C245" t="s">
        <v>337</v>
      </c>
      <c r="D245" t="s">
        <v>323</v>
      </c>
      <c r="E245" t="s">
        <v>1130</v>
      </c>
      <c r="F245">
        <v>0</v>
      </c>
      <c r="G245" t="s">
        <v>1085</v>
      </c>
      <c r="H245" t="s">
        <v>1646</v>
      </c>
      <c r="I245" t="s">
        <v>337</v>
      </c>
      <c r="J245" t="s">
        <v>1423</v>
      </c>
      <c r="K245" t="s">
        <v>992</v>
      </c>
      <c r="L245" t="s">
        <v>992</v>
      </c>
      <c r="M245" t="s">
        <v>992</v>
      </c>
      <c r="N245" t="s">
        <v>992</v>
      </c>
      <c r="O245" t="s">
        <v>992</v>
      </c>
      <c r="P245" t="s">
        <v>992</v>
      </c>
      <c r="Q245" t="b">
        <v>1</v>
      </c>
      <c r="R245" t="b">
        <v>0</v>
      </c>
      <c r="S245" t="s">
        <v>1032</v>
      </c>
      <c r="T245" t="s">
        <v>992</v>
      </c>
      <c r="U245" t="s">
        <v>1140</v>
      </c>
      <c r="V245" t="s">
        <v>1061</v>
      </c>
      <c r="W245" t="s">
        <v>1207</v>
      </c>
      <c r="X245" t="s">
        <v>1673</v>
      </c>
    </row>
    <row r="246" spans="1:24" x14ac:dyDescent="0.25">
      <c r="A246" t="s">
        <v>42</v>
      </c>
      <c r="B246" t="s">
        <v>1674</v>
      </c>
      <c r="C246" t="s">
        <v>338</v>
      </c>
      <c r="D246" t="s">
        <v>323</v>
      </c>
      <c r="E246" t="s">
        <v>990</v>
      </c>
      <c r="F246">
        <v>175019</v>
      </c>
      <c r="G246" t="s">
        <v>1051</v>
      </c>
      <c r="H246" t="s">
        <v>1675</v>
      </c>
      <c r="I246" t="s">
        <v>1676</v>
      </c>
      <c r="J246" t="s">
        <v>1423</v>
      </c>
      <c r="K246" t="s">
        <v>1026</v>
      </c>
      <c r="L246" t="s">
        <v>1027</v>
      </c>
      <c r="M246" t="s">
        <v>1028</v>
      </c>
      <c r="N246" t="s">
        <v>1029</v>
      </c>
      <c r="O246" t="s">
        <v>992</v>
      </c>
      <c r="P246" t="s">
        <v>1031</v>
      </c>
      <c r="Q246" t="b">
        <v>1</v>
      </c>
      <c r="R246" t="b">
        <v>0</v>
      </c>
      <c r="S246" t="s">
        <v>1099</v>
      </c>
      <c r="T246" t="s">
        <v>992</v>
      </c>
      <c r="U246" t="s">
        <v>1060</v>
      </c>
      <c r="V246" t="s">
        <v>995</v>
      </c>
      <c r="W246" t="s">
        <v>1034</v>
      </c>
      <c r="X246" t="s">
        <v>1424</v>
      </c>
    </row>
    <row r="247" spans="1:24" x14ac:dyDescent="0.25">
      <c r="A247" t="s">
        <v>42</v>
      </c>
      <c r="B247" t="s">
        <v>1677</v>
      </c>
      <c r="C247" t="s">
        <v>338</v>
      </c>
      <c r="D247" t="s">
        <v>323</v>
      </c>
      <c r="E247" t="s">
        <v>999</v>
      </c>
      <c r="F247">
        <v>175849</v>
      </c>
      <c r="G247" t="s">
        <v>1051</v>
      </c>
      <c r="H247" t="s">
        <v>1678</v>
      </c>
      <c r="I247" t="s">
        <v>1676</v>
      </c>
      <c r="J247" t="s">
        <v>1423</v>
      </c>
      <c r="K247" t="s">
        <v>1038</v>
      </c>
      <c r="L247" t="s">
        <v>1039</v>
      </c>
      <c r="M247" t="s">
        <v>1028</v>
      </c>
      <c r="N247" t="s">
        <v>1040</v>
      </c>
      <c r="O247" t="s">
        <v>992</v>
      </c>
      <c r="P247" t="s">
        <v>1042</v>
      </c>
      <c r="Q247" t="b">
        <v>1</v>
      </c>
      <c r="R247" t="b">
        <v>0</v>
      </c>
      <c r="S247" t="s">
        <v>1099</v>
      </c>
      <c r="T247" t="s">
        <v>992</v>
      </c>
      <c r="U247" t="s">
        <v>1060</v>
      </c>
      <c r="V247" t="s">
        <v>995</v>
      </c>
      <c r="W247" t="s">
        <v>1034</v>
      </c>
      <c r="X247" t="s">
        <v>1424</v>
      </c>
    </row>
    <row r="248" spans="1:24" x14ac:dyDescent="0.25">
      <c r="A248" t="s">
        <v>42</v>
      </c>
      <c r="B248" t="s">
        <v>1679</v>
      </c>
      <c r="C248" t="s">
        <v>338</v>
      </c>
      <c r="D248" t="s">
        <v>323</v>
      </c>
      <c r="E248" t="s">
        <v>1001</v>
      </c>
      <c r="F248">
        <v>168829</v>
      </c>
      <c r="G248" t="s">
        <v>1051</v>
      </c>
      <c r="H248" t="s">
        <v>1680</v>
      </c>
      <c r="I248" t="s">
        <v>1676</v>
      </c>
      <c r="J248" t="s">
        <v>1423</v>
      </c>
      <c r="K248" t="s">
        <v>1045</v>
      </c>
      <c r="L248" t="s">
        <v>1046</v>
      </c>
      <c r="M248" t="s">
        <v>1028</v>
      </c>
      <c r="N248" t="s">
        <v>1047</v>
      </c>
      <c r="O248" t="s">
        <v>992</v>
      </c>
      <c r="P248" t="s">
        <v>1049</v>
      </c>
      <c r="Q248" t="b">
        <v>1</v>
      </c>
      <c r="R248" t="b">
        <v>0</v>
      </c>
      <c r="S248" t="s">
        <v>1099</v>
      </c>
      <c r="T248" t="s">
        <v>992</v>
      </c>
      <c r="U248" t="s">
        <v>1060</v>
      </c>
      <c r="V248" t="s">
        <v>995</v>
      </c>
      <c r="W248" t="s">
        <v>1034</v>
      </c>
      <c r="X248" t="s">
        <v>1424</v>
      </c>
    </row>
    <row r="249" spans="1:24" x14ac:dyDescent="0.25">
      <c r="A249" t="s">
        <v>42</v>
      </c>
      <c r="B249" t="s">
        <v>1681</v>
      </c>
      <c r="C249" t="s">
        <v>338</v>
      </c>
      <c r="D249" t="s">
        <v>323</v>
      </c>
      <c r="E249" t="s">
        <v>1003</v>
      </c>
      <c r="F249">
        <v>165302</v>
      </c>
      <c r="G249" t="s">
        <v>1051</v>
      </c>
      <c r="H249" t="s">
        <v>1682</v>
      </c>
      <c r="I249" t="s">
        <v>1676</v>
      </c>
      <c r="J249" t="s">
        <v>1423</v>
      </c>
      <c r="K249" t="s">
        <v>1087</v>
      </c>
      <c r="L249" t="s">
        <v>1088</v>
      </c>
      <c r="M249" t="s">
        <v>1056</v>
      </c>
      <c r="N249" t="s">
        <v>1089</v>
      </c>
      <c r="O249" t="s">
        <v>992</v>
      </c>
      <c r="P249" t="s">
        <v>1058</v>
      </c>
      <c r="Q249" t="b">
        <v>1</v>
      </c>
      <c r="R249" t="b">
        <v>0</v>
      </c>
      <c r="S249" t="s">
        <v>1099</v>
      </c>
      <c r="T249" t="s">
        <v>992</v>
      </c>
      <c r="U249" t="s">
        <v>1060</v>
      </c>
      <c r="V249" t="s">
        <v>995</v>
      </c>
      <c r="W249" t="s">
        <v>1034</v>
      </c>
      <c r="X249" t="s">
        <v>1424</v>
      </c>
    </row>
    <row r="250" spans="1:24" x14ac:dyDescent="0.25">
      <c r="A250" t="s">
        <v>42</v>
      </c>
      <c r="B250" t="s">
        <v>1683</v>
      </c>
      <c r="C250" t="s">
        <v>338</v>
      </c>
      <c r="D250" t="s">
        <v>323</v>
      </c>
      <c r="E250" t="s">
        <v>1005</v>
      </c>
      <c r="F250">
        <v>166156</v>
      </c>
      <c r="G250" t="s">
        <v>1051</v>
      </c>
      <c r="H250" t="s">
        <v>1684</v>
      </c>
      <c r="I250" t="s">
        <v>1676</v>
      </c>
      <c r="J250" t="s">
        <v>1423</v>
      </c>
      <c r="K250" t="s">
        <v>1065</v>
      </c>
      <c r="L250" t="s">
        <v>1066</v>
      </c>
      <c r="M250" t="s">
        <v>1028</v>
      </c>
      <c r="N250" t="s">
        <v>1067</v>
      </c>
      <c r="O250" t="s">
        <v>992</v>
      </c>
      <c r="P250" t="s">
        <v>1069</v>
      </c>
      <c r="Q250" t="b">
        <v>1</v>
      </c>
      <c r="R250" t="b">
        <v>0</v>
      </c>
      <c r="S250" t="s">
        <v>1099</v>
      </c>
      <c r="T250" t="s">
        <v>992</v>
      </c>
      <c r="U250" t="s">
        <v>1060</v>
      </c>
      <c r="V250" t="s">
        <v>995</v>
      </c>
      <c r="W250" t="s">
        <v>1034</v>
      </c>
      <c r="X250" t="s">
        <v>1424</v>
      </c>
    </row>
    <row r="251" spans="1:24" x14ac:dyDescent="0.25">
      <c r="A251" t="s">
        <v>42</v>
      </c>
      <c r="B251" t="s">
        <v>1685</v>
      </c>
      <c r="C251" t="s">
        <v>338</v>
      </c>
      <c r="D251" t="s">
        <v>323</v>
      </c>
      <c r="E251" t="s">
        <v>1007</v>
      </c>
      <c r="F251">
        <v>165449</v>
      </c>
      <c r="G251" t="s">
        <v>1051</v>
      </c>
      <c r="H251" t="s">
        <v>1686</v>
      </c>
      <c r="I251" t="s">
        <v>1676</v>
      </c>
      <c r="J251" t="s">
        <v>1423</v>
      </c>
      <c r="K251" t="s">
        <v>1072</v>
      </c>
      <c r="L251" t="s">
        <v>1073</v>
      </c>
      <c r="M251" t="s">
        <v>1028</v>
      </c>
      <c r="N251" t="s">
        <v>1074</v>
      </c>
      <c r="O251" t="s">
        <v>992</v>
      </c>
      <c r="P251" t="s">
        <v>1076</v>
      </c>
      <c r="Q251" t="b">
        <v>1</v>
      </c>
      <c r="R251" t="b">
        <v>0</v>
      </c>
      <c r="S251" t="s">
        <v>1099</v>
      </c>
      <c r="T251" t="s">
        <v>992</v>
      </c>
      <c r="U251" t="s">
        <v>1060</v>
      </c>
      <c r="V251" t="s">
        <v>995</v>
      </c>
      <c r="W251" t="s">
        <v>1034</v>
      </c>
      <c r="X251" t="s">
        <v>1424</v>
      </c>
    </row>
    <row r="252" spans="1:24" x14ac:dyDescent="0.25">
      <c r="A252" t="s">
        <v>42</v>
      </c>
      <c r="B252" t="s">
        <v>1687</v>
      </c>
      <c r="C252" t="s">
        <v>338</v>
      </c>
      <c r="D252" t="s">
        <v>323</v>
      </c>
      <c r="E252" t="s">
        <v>1009</v>
      </c>
      <c r="F252">
        <v>161675</v>
      </c>
      <c r="G252" t="s">
        <v>1051</v>
      </c>
      <c r="H252" t="s">
        <v>1688</v>
      </c>
      <c r="I252" t="s">
        <v>1676</v>
      </c>
      <c r="J252" t="s">
        <v>1423</v>
      </c>
      <c r="K252" t="s">
        <v>1079</v>
      </c>
      <c r="L252" t="s">
        <v>1080</v>
      </c>
      <c r="M252" t="s">
        <v>1028</v>
      </c>
      <c r="N252" t="s">
        <v>1081</v>
      </c>
      <c r="O252" t="s">
        <v>992</v>
      </c>
      <c r="P252" t="s">
        <v>1083</v>
      </c>
      <c r="Q252" t="b">
        <v>1</v>
      </c>
      <c r="R252" t="b">
        <v>0</v>
      </c>
      <c r="S252" t="s">
        <v>1099</v>
      </c>
      <c r="T252" t="s">
        <v>992</v>
      </c>
      <c r="U252" t="s">
        <v>1060</v>
      </c>
      <c r="V252" t="s">
        <v>995</v>
      </c>
      <c r="W252" t="s">
        <v>1034</v>
      </c>
      <c r="X252" t="s">
        <v>1424</v>
      </c>
    </row>
    <row r="253" spans="1:24" x14ac:dyDescent="0.25">
      <c r="A253" t="s">
        <v>42</v>
      </c>
      <c r="B253" t="s">
        <v>1689</v>
      </c>
      <c r="C253" t="s">
        <v>338</v>
      </c>
      <c r="D253" t="s">
        <v>323</v>
      </c>
      <c r="E253" t="s">
        <v>1011</v>
      </c>
      <c r="F253">
        <v>166313</v>
      </c>
      <c r="G253" t="s">
        <v>1051</v>
      </c>
      <c r="H253" t="s">
        <v>1690</v>
      </c>
      <c r="I253" t="s">
        <v>1676</v>
      </c>
      <c r="J253" t="s">
        <v>1423</v>
      </c>
      <c r="K253" t="s">
        <v>1117</v>
      </c>
      <c r="L253" t="s">
        <v>1118</v>
      </c>
      <c r="M253" t="s">
        <v>1056</v>
      </c>
      <c r="N253" t="s">
        <v>1119</v>
      </c>
      <c r="O253" t="s">
        <v>992</v>
      </c>
      <c r="P253" t="s">
        <v>1090</v>
      </c>
      <c r="Q253" t="b">
        <v>1</v>
      </c>
      <c r="R253" t="b">
        <v>0</v>
      </c>
      <c r="S253" t="s">
        <v>1099</v>
      </c>
      <c r="T253" t="s">
        <v>992</v>
      </c>
      <c r="U253" t="s">
        <v>1060</v>
      </c>
      <c r="V253" t="s">
        <v>995</v>
      </c>
      <c r="W253" t="s">
        <v>1034</v>
      </c>
      <c r="X253" t="s">
        <v>1424</v>
      </c>
    </row>
    <row r="254" spans="1:24" x14ac:dyDescent="0.25">
      <c r="A254" t="s">
        <v>42</v>
      </c>
      <c r="B254" t="s">
        <v>1691</v>
      </c>
      <c r="C254" t="s">
        <v>338</v>
      </c>
      <c r="D254" t="s">
        <v>323</v>
      </c>
      <c r="E254" t="s">
        <v>1013</v>
      </c>
      <c r="F254">
        <v>164776</v>
      </c>
      <c r="G254" t="s">
        <v>1085</v>
      </c>
      <c r="H254" t="s">
        <v>1692</v>
      </c>
      <c r="I254" t="s">
        <v>1676</v>
      </c>
      <c r="J254" t="s">
        <v>1423</v>
      </c>
      <c r="K254" t="s">
        <v>1094</v>
      </c>
      <c r="L254" t="s">
        <v>1095</v>
      </c>
      <c r="M254" t="s">
        <v>1028</v>
      </c>
      <c r="N254" t="s">
        <v>1096</v>
      </c>
      <c r="O254" t="s">
        <v>992</v>
      </c>
      <c r="P254" t="s">
        <v>1098</v>
      </c>
      <c r="Q254" t="b">
        <v>1</v>
      </c>
      <c r="R254" t="b">
        <v>0</v>
      </c>
      <c r="S254" t="s">
        <v>1032</v>
      </c>
      <c r="T254" t="s">
        <v>992</v>
      </c>
      <c r="U254" t="s">
        <v>1140</v>
      </c>
      <c r="V254" t="s">
        <v>995</v>
      </c>
      <c r="W254" t="s">
        <v>1034</v>
      </c>
      <c r="X254" t="s">
        <v>1693</v>
      </c>
    </row>
    <row r="255" spans="1:24" x14ac:dyDescent="0.25">
      <c r="A255" t="s">
        <v>42</v>
      </c>
      <c r="B255" t="s">
        <v>1694</v>
      </c>
      <c r="C255" t="s">
        <v>338</v>
      </c>
      <c r="D255" t="s">
        <v>323</v>
      </c>
      <c r="E255" t="s">
        <v>1015</v>
      </c>
      <c r="F255">
        <v>165683</v>
      </c>
      <c r="G255" t="s">
        <v>1085</v>
      </c>
      <c r="H255" t="s">
        <v>1695</v>
      </c>
      <c r="I255" t="s">
        <v>1676</v>
      </c>
      <c r="J255" t="s">
        <v>1423</v>
      </c>
      <c r="K255" t="s">
        <v>1103</v>
      </c>
      <c r="L255" t="s">
        <v>1104</v>
      </c>
      <c r="M255" t="s">
        <v>1028</v>
      </c>
      <c r="N255" t="s">
        <v>1105</v>
      </c>
      <c r="O255" t="s">
        <v>992</v>
      </c>
      <c r="P255" t="s">
        <v>1107</v>
      </c>
      <c r="Q255" t="b">
        <v>1</v>
      </c>
      <c r="R255" t="b">
        <v>0</v>
      </c>
      <c r="S255" t="s">
        <v>1032</v>
      </c>
      <c r="T255" t="s">
        <v>992</v>
      </c>
      <c r="U255" t="s">
        <v>1140</v>
      </c>
      <c r="V255" t="s">
        <v>995</v>
      </c>
      <c r="W255" t="s">
        <v>1034</v>
      </c>
      <c r="X255" t="s">
        <v>1696</v>
      </c>
    </row>
    <row r="256" spans="1:24" x14ac:dyDescent="0.25">
      <c r="A256" t="s">
        <v>42</v>
      </c>
      <c r="B256" t="s">
        <v>1697</v>
      </c>
      <c r="C256" t="s">
        <v>338</v>
      </c>
      <c r="D256" t="s">
        <v>323</v>
      </c>
      <c r="E256" t="s">
        <v>1017</v>
      </c>
      <c r="F256">
        <v>160496</v>
      </c>
      <c r="G256" t="s">
        <v>1085</v>
      </c>
      <c r="H256" t="s">
        <v>1698</v>
      </c>
      <c r="I256" t="s">
        <v>1676</v>
      </c>
      <c r="J256" t="s">
        <v>1423</v>
      </c>
      <c r="K256" t="s">
        <v>1110</v>
      </c>
      <c r="L256" t="s">
        <v>1111</v>
      </c>
      <c r="M256" t="s">
        <v>1028</v>
      </c>
      <c r="N256" t="s">
        <v>1112</v>
      </c>
      <c r="O256" t="s">
        <v>992</v>
      </c>
      <c r="P256" t="s">
        <v>1114</v>
      </c>
      <c r="Q256" t="b">
        <v>1</v>
      </c>
      <c r="R256" t="b">
        <v>0</v>
      </c>
      <c r="S256" t="s">
        <v>1032</v>
      </c>
      <c r="T256" t="s">
        <v>992</v>
      </c>
      <c r="U256" t="s">
        <v>1140</v>
      </c>
      <c r="V256" t="s">
        <v>995</v>
      </c>
      <c r="W256" t="s">
        <v>1034</v>
      </c>
      <c r="X256" t="s">
        <v>1699</v>
      </c>
    </row>
    <row r="257" spans="1:24" x14ac:dyDescent="0.25">
      <c r="A257" t="s">
        <v>42</v>
      </c>
      <c r="B257" t="s">
        <v>1700</v>
      </c>
      <c r="C257" t="s">
        <v>338</v>
      </c>
      <c r="D257" t="s">
        <v>323</v>
      </c>
      <c r="E257" t="s">
        <v>1019</v>
      </c>
      <c r="F257">
        <v>148149</v>
      </c>
      <c r="G257" t="s">
        <v>1085</v>
      </c>
      <c r="H257" t="s">
        <v>1701</v>
      </c>
      <c r="I257" t="s">
        <v>1702</v>
      </c>
      <c r="J257" t="s">
        <v>1423</v>
      </c>
      <c r="K257" t="s">
        <v>1132</v>
      </c>
      <c r="L257" t="s">
        <v>1133</v>
      </c>
      <c r="M257" t="s">
        <v>1028</v>
      </c>
      <c r="N257" t="s">
        <v>1134</v>
      </c>
      <c r="O257" t="s">
        <v>992</v>
      </c>
      <c r="P257" t="s">
        <v>1120</v>
      </c>
      <c r="Q257" t="b">
        <v>1</v>
      </c>
      <c r="R257" t="b">
        <v>0</v>
      </c>
      <c r="S257" t="s">
        <v>1032</v>
      </c>
      <c r="T257" t="s">
        <v>992</v>
      </c>
      <c r="U257" t="s">
        <v>1140</v>
      </c>
      <c r="V257" t="s">
        <v>995</v>
      </c>
      <c r="W257" t="s">
        <v>1034</v>
      </c>
      <c r="X257" t="s">
        <v>1703</v>
      </c>
    </row>
    <row r="258" spans="1:24" x14ac:dyDescent="0.25">
      <c r="A258" t="s">
        <v>42</v>
      </c>
      <c r="B258" t="s">
        <v>1704</v>
      </c>
      <c r="C258" t="s">
        <v>338</v>
      </c>
      <c r="D258" t="s">
        <v>323</v>
      </c>
      <c r="E258" t="s">
        <v>1021</v>
      </c>
      <c r="F258">
        <v>171034</v>
      </c>
      <c r="G258" t="s">
        <v>1051</v>
      </c>
      <c r="H258" t="s">
        <v>1705</v>
      </c>
      <c r="I258" t="s">
        <v>1676</v>
      </c>
      <c r="J258" t="s">
        <v>1423</v>
      </c>
      <c r="K258" t="s">
        <v>1124</v>
      </c>
      <c r="L258" t="s">
        <v>1125</v>
      </c>
      <c r="M258" t="s">
        <v>1028</v>
      </c>
      <c r="N258" t="s">
        <v>1126</v>
      </c>
      <c r="O258" t="s">
        <v>992</v>
      </c>
      <c r="P258" t="s">
        <v>1128</v>
      </c>
      <c r="Q258" t="b">
        <v>1</v>
      </c>
      <c r="R258" t="b">
        <v>0</v>
      </c>
      <c r="S258" t="s">
        <v>1099</v>
      </c>
      <c r="T258" t="s">
        <v>992</v>
      </c>
      <c r="U258" t="s">
        <v>1060</v>
      </c>
      <c r="V258" t="s">
        <v>995</v>
      </c>
      <c r="W258" t="s">
        <v>1034</v>
      </c>
      <c r="X258" t="s">
        <v>1424</v>
      </c>
    </row>
    <row r="259" spans="1:24" x14ac:dyDescent="0.25">
      <c r="A259" t="s">
        <v>42</v>
      </c>
      <c r="B259" t="s">
        <v>1706</v>
      </c>
      <c r="C259" t="s">
        <v>338</v>
      </c>
      <c r="D259" t="s">
        <v>323</v>
      </c>
      <c r="E259" t="s">
        <v>1130</v>
      </c>
      <c r="F259">
        <v>151055</v>
      </c>
      <c r="G259" t="s">
        <v>1051</v>
      </c>
      <c r="H259" t="s">
        <v>1707</v>
      </c>
      <c r="I259" t="s">
        <v>1702</v>
      </c>
      <c r="J259" t="s">
        <v>1423</v>
      </c>
      <c r="K259" t="s">
        <v>1132</v>
      </c>
      <c r="L259" t="s">
        <v>1133</v>
      </c>
      <c r="M259" t="s">
        <v>1028</v>
      </c>
      <c r="N259" t="s">
        <v>1134</v>
      </c>
      <c r="O259" t="s">
        <v>992</v>
      </c>
      <c r="P259" t="s">
        <v>1136</v>
      </c>
      <c r="Q259" t="b">
        <v>1</v>
      </c>
      <c r="R259" t="b">
        <v>0</v>
      </c>
      <c r="S259" t="s">
        <v>1099</v>
      </c>
      <c r="T259" t="s">
        <v>992</v>
      </c>
      <c r="U259" t="s">
        <v>1060</v>
      </c>
      <c r="V259" t="s">
        <v>995</v>
      </c>
      <c r="W259" t="s">
        <v>1034</v>
      </c>
      <c r="X259" t="s">
        <v>1424</v>
      </c>
    </row>
    <row r="260" spans="1:24" x14ac:dyDescent="0.25">
      <c r="A260" t="s">
        <v>42</v>
      </c>
      <c r="B260" t="s">
        <v>1708</v>
      </c>
      <c r="C260" t="s">
        <v>341</v>
      </c>
      <c r="D260" t="s">
        <v>992</v>
      </c>
      <c r="E260" t="s">
        <v>990</v>
      </c>
      <c r="F260">
        <v>57918</v>
      </c>
      <c r="G260" t="s">
        <v>1085</v>
      </c>
      <c r="H260" t="s">
        <v>1709</v>
      </c>
      <c r="I260" t="s">
        <v>1710</v>
      </c>
      <c r="J260" t="s">
        <v>1423</v>
      </c>
      <c r="K260" t="s">
        <v>1026</v>
      </c>
      <c r="L260" t="s">
        <v>1027</v>
      </c>
      <c r="M260" t="s">
        <v>1028</v>
      </c>
      <c r="N260" t="s">
        <v>1029</v>
      </c>
      <c r="O260" t="s">
        <v>992</v>
      </c>
      <c r="P260" t="s">
        <v>1031</v>
      </c>
      <c r="Q260" t="b">
        <v>1</v>
      </c>
      <c r="R260" t="b">
        <v>0</v>
      </c>
      <c r="S260" t="s">
        <v>1032</v>
      </c>
      <c r="T260" t="s">
        <v>992</v>
      </c>
      <c r="U260" t="s">
        <v>1140</v>
      </c>
      <c r="V260" t="s">
        <v>995</v>
      </c>
      <c r="W260" t="s">
        <v>1034</v>
      </c>
      <c r="X260" t="s">
        <v>1711</v>
      </c>
    </row>
    <row r="261" spans="1:24" x14ac:dyDescent="0.25">
      <c r="A261" t="s">
        <v>42</v>
      </c>
      <c r="B261" t="s">
        <v>1712</v>
      </c>
      <c r="C261" t="s">
        <v>341</v>
      </c>
      <c r="D261" t="s">
        <v>992</v>
      </c>
      <c r="E261" t="s">
        <v>999</v>
      </c>
      <c r="F261">
        <v>42945</v>
      </c>
      <c r="G261" t="s">
        <v>1085</v>
      </c>
      <c r="H261" t="s">
        <v>1713</v>
      </c>
      <c r="I261" t="s">
        <v>1710</v>
      </c>
      <c r="J261" t="s">
        <v>1423</v>
      </c>
      <c r="K261" t="s">
        <v>1038</v>
      </c>
      <c r="L261" t="s">
        <v>1039</v>
      </c>
      <c r="M261" t="s">
        <v>1028</v>
      </c>
      <c r="N261" t="s">
        <v>1040</v>
      </c>
      <c r="O261" t="s">
        <v>992</v>
      </c>
      <c r="P261" t="s">
        <v>1042</v>
      </c>
      <c r="Q261" t="b">
        <v>1</v>
      </c>
      <c r="R261" t="b">
        <v>0</v>
      </c>
      <c r="S261" t="s">
        <v>1032</v>
      </c>
      <c r="T261" t="s">
        <v>992</v>
      </c>
      <c r="U261" t="s">
        <v>1140</v>
      </c>
      <c r="V261" t="s">
        <v>995</v>
      </c>
      <c r="W261" t="s">
        <v>1034</v>
      </c>
      <c r="X261" t="s">
        <v>1714</v>
      </c>
    </row>
    <row r="262" spans="1:24" x14ac:dyDescent="0.25">
      <c r="A262" t="s">
        <v>42</v>
      </c>
      <c r="B262" t="s">
        <v>1715</v>
      </c>
      <c r="C262" t="s">
        <v>341</v>
      </c>
      <c r="D262" t="s">
        <v>992</v>
      </c>
      <c r="E262" t="s">
        <v>1001</v>
      </c>
      <c r="F262">
        <v>46699</v>
      </c>
      <c r="G262" t="s">
        <v>1085</v>
      </c>
      <c r="H262" t="s">
        <v>1716</v>
      </c>
      <c r="I262" t="s">
        <v>1710</v>
      </c>
      <c r="J262" t="s">
        <v>1423</v>
      </c>
      <c r="K262" t="s">
        <v>1045</v>
      </c>
      <c r="L262" t="s">
        <v>1046</v>
      </c>
      <c r="M262" t="s">
        <v>1028</v>
      </c>
      <c r="N262" t="s">
        <v>1047</v>
      </c>
      <c r="O262" t="s">
        <v>992</v>
      </c>
      <c r="P262" t="s">
        <v>1049</v>
      </c>
      <c r="Q262" t="b">
        <v>1</v>
      </c>
      <c r="R262" t="b">
        <v>0</v>
      </c>
      <c r="S262" t="s">
        <v>1032</v>
      </c>
      <c r="T262" t="s">
        <v>992</v>
      </c>
      <c r="U262" t="s">
        <v>1140</v>
      </c>
      <c r="V262" t="s">
        <v>995</v>
      </c>
      <c r="W262" t="s">
        <v>1034</v>
      </c>
      <c r="X262" t="s">
        <v>1717</v>
      </c>
    </row>
    <row r="263" spans="1:24" x14ac:dyDescent="0.25">
      <c r="A263" t="s">
        <v>42</v>
      </c>
      <c r="B263" t="s">
        <v>1718</v>
      </c>
      <c r="C263" t="s">
        <v>341</v>
      </c>
      <c r="D263" t="s">
        <v>992</v>
      </c>
      <c r="E263" t="s">
        <v>1003</v>
      </c>
      <c r="F263">
        <v>62611</v>
      </c>
      <c r="G263" t="s">
        <v>1085</v>
      </c>
      <c r="H263" t="s">
        <v>1719</v>
      </c>
      <c r="I263" t="s">
        <v>1710</v>
      </c>
      <c r="J263" t="s">
        <v>1423</v>
      </c>
      <c r="K263" t="s">
        <v>1087</v>
      </c>
      <c r="L263" t="s">
        <v>1088</v>
      </c>
      <c r="M263" t="s">
        <v>1056</v>
      </c>
      <c r="N263" t="s">
        <v>1089</v>
      </c>
      <c r="O263" t="s">
        <v>992</v>
      </c>
      <c r="P263" t="s">
        <v>1058</v>
      </c>
      <c r="Q263" t="b">
        <v>1</v>
      </c>
      <c r="R263" t="b">
        <v>0</v>
      </c>
      <c r="S263" t="s">
        <v>1032</v>
      </c>
      <c r="T263" t="s">
        <v>992</v>
      </c>
      <c r="U263" t="s">
        <v>1140</v>
      </c>
      <c r="V263" t="s">
        <v>995</v>
      </c>
      <c r="W263" t="s">
        <v>1034</v>
      </c>
      <c r="X263" t="s">
        <v>1720</v>
      </c>
    </row>
    <row r="264" spans="1:24" x14ac:dyDescent="0.25">
      <c r="A264" t="s">
        <v>42</v>
      </c>
      <c r="B264" t="s">
        <v>1721</v>
      </c>
      <c r="C264" t="s">
        <v>341</v>
      </c>
      <c r="D264" t="s">
        <v>992</v>
      </c>
      <c r="E264" t="s">
        <v>1005</v>
      </c>
      <c r="F264">
        <v>58146</v>
      </c>
      <c r="G264" t="s">
        <v>1085</v>
      </c>
      <c r="H264" t="s">
        <v>1722</v>
      </c>
      <c r="I264" t="s">
        <v>1710</v>
      </c>
      <c r="J264" t="s">
        <v>1423</v>
      </c>
      <c r="K264" t="s">
        <v>1065</v>
      </c>
      <c r="L264" t="s">
        <v>1066</v>
      </c>
      <c r="M264" t="s">
        <v>1028</v>
      </c>
      <c r="N264" t="s">
        <v>1067</v>
      </c>
      <c r="O264" t="s">
        <v>992</v>
      </c>
      <c r="P264" t="s">
        <v>1069</v>
      </c>
      <c r="Q264" t="b">
        <v>1</v>
      </c>
      <c r="R264" t="b">
        <v>0</v>
      </c>
      <c r="S264" t="s">
        <v>1032</v>
      </c>
      <c r="T264" t="s">
        <v>992</v>
      </c>
      <c r="U264" t="s">
        <v>1140</v>
      </c>
      <c r="V264" t="s">
        <v>995</v>
      </c>
      <c r="W264" t="s">
        <v>1034</v>
      </c>
      <c r="X264" t="s">
        <v>1723</v>
      </c>
    </row>
    <row r="265" spans="1:24" x14ac:dyDescent="0.25">
      <c r="A265" t="s">
        <v>42</v>
      </c>
      <c r="B265" t="s">
        <v>1724</v>
      </c>
      <c r="C265" t="s">
        <v>341</v>
      </c>
      <c r="D265" t="s">
        <v>992</v>
      </c>
      <c r="E265" t="s">
        <v>1007</v>
      </c>
      <c r="F265">
        <v>45753</v>
      </c>
      <c r="G265" t="s">
        <v>1085</v>
      </c>
      <c r="H265" t="s">
        <v>1725</v>
      </c>
      <c r="I265" t="s">
        <v>1710</v>
      </c>
      <c r="J265" t="s">
        <v>1423</v>
      </c>
      <c r="K265" t="s">
        <v>1072</v>
      </c>
      <c r="L265" t="s">
        <v>1073</v>
      </c>
      <c r="M265" t="s">
        <v>1028</v>
      </c>
      <c r="N265" t="s">
        <v>1074</v>
      </c>
      <c r="O265" t="s">
        <v>992</v>
      </c>
      <c r="P265" t="s">
        <v>1076</v>
      </c>
      <c r="Q265" t="b">
        <v>1</v>
      </c>
      <c r="R265" t="b">
        <v>0</v>
      </c>
      <c r="S265" t="s">
        <v>1032</v>
      </c>
      <c r="T265" t="s">
        <v>992</v>
      </c>
      <c r="U265" t="s">
        <v>1140</v>
      </c>
      <c r="V265" t="s">
        <v>995</v>
      </c>
      <c r="W265" t="s">
        <v>1034</v>
      </c>
      <c r="X265" t="s">
        <v>1726</v>
      </c>
    </row>
    <row r="266" spans="1:24" x14ac:dyDescent="0.25">
      <c r="A266" t="s">
        <v>42</v>
      </c>
      <c r="B266" t="s">
        <v>1727</v>
      </c>
      <c r="C266" t="s">
        <v>341</v>
      </c>
      <c r="D266" t="s">
        <v>992</v>
      </c>
      <c r="E266" t="s">
        <v>1009</v>
      </c>
      <c r="F266">
        <v>47574</v>
      </c>
      <c r="G266" t="s">
        <v>1085</v>
      </c>
      <c r="H266" t="s">
        <v>1728</v>
      </c>
      <c r="I266" t="s">
        <v>1710</v>
      </c>
      <c r="J266" t="s">
        <v>1423</v>
      </c>
      <c r="K266" t="s">
        <v>1079</v>
      </c>
      <c r="L266" t="s">
        <v>1080</v>
      </c>
      <c r="M266" t="s">
        <v>1028</v>
      </c>
      <c r="N266" t="s">
        <v>1081</v>
      </c>
      <c r="O266" t="s">
        <v>992</v>
      </c>
      <c r="P266" t="s">
        <v>1083</v>
      </c>
      <c r="Q266" t="b">
        <v>1</v>
      </c>
      <c r="R266" t="b">
        <v>0</v>
      </c>
      <c r="S266" t="s">
        <v>1032</v>
      </c>
      <c r="T266" t="s">
        <v>992</v>
      </c>
      <c r="U266" t="s">
        <v>1140</v>
      </c>
      <c r="V266" t="s">
        <v>995</v>
      </c>
      <c r="W266" t="s">
        <v>1034</v>
      </c>
      <c r="X266" t="s">
        <v>1729</v>
      </c>
    </row>
    <row r="267" spans="1:24" x14ac:dyDescent="0.25">
      <c r="A267" t="s">
        <v>42</v>
      </c>
      <c r="B267" t="s">
        <v>1730</v>
      </c>
      <c r="C267" t="s">
        <v>341</v>
      </c>
      <c r="D267" t="s">
        <v>992</v>
      </c>
      <c r="E267" t="s">
        <v>1011</v>
      </c>
      <c r="F267">
        <v>68960</v>
      </c>
      <c r="G267" t="s">
        <v>1085</v>
      </c>
      <c r="H267" t="s">
        <v>1731</v>
      </c>
      <c r="I267" t="s">
        <v>1710</v>
      </c>
      <c r="J267" t="s">
        <v>1423</v>
      </c>
      <c r="K267" t="s">
        <v>1117</v>
      </c>
      <c r="L267" t="s">
        <v>1118</v>
      </c>
      <c r="M267" t="s">
        <v>1056</v>
      </c>
      <c r="N267" t="s">
        <v>1119</v>
      </c>
      <c r="O267" t="s">
        <v>992</v>
      </c>
      <c r="P267" t="s">
        <v>1090</v>
      </c>
      <c r="Q267" t="b">
        <v>1</v>
      </c>
      <c r="R267" t="b">
        <v>0</v>
      </c>
      <c r="S267" t="s">
        <v>1032</v>
      </c>
      <c r="T267" t="s">
        <v>992</v>
      </c>
      <c r="U267" t="s">
        <v>1140</v>
      </c>
      <c r="V267" t="s">
        <v>995</v>
      </c>
      <c r="W267" t="s">
        <v>1034</v>
      </c>
      <c r="X267" t="s">
        <v>1732</v>
      </c>
    </row>
    <row r="268" spans="1:24" x14ac:dyDescent="0.25">
      <c r="A268" t="s">
        <v>42</v>
      </c>
      <c r="B268" t="s">
        <v>1733</v>
      </c>
      <c r="C268" t="s">
        <v>341</v>
      </c>
      <c r="D268" t="s">
        <v>992</v>
      </c>
      <c r="E268" t="s">
        <v>1013</v>
      </c>
      <c r="F268">
        <v>61910</v>
      </c>
      <c r="G268" t="s">
        <v>1085</v>
      </c>
      <c r="H268" t="s">
        <v>1734</v>
      </c>
      <c r="I268" t="s">
        <v>1710</v>
      </c>
      <c r="J268" t="s">
        <v>1423</v>
      </c>
      <c r="K268" t="s">
        <v>1094</v>
      </c>
      <c r="L268" t="s">
        <v>1095</v>
      </c>
      <c r="M268" t="s">
        <v>1028</v>
      </c>
      <c r="N268" t="s">
        <v>1096</v>
      </c>
      <c r="O268" t="s">
        <v>992</v>
      </c>
      <c r="P268" t="s">
        <v>1098</v>
      </c>
      <c r="Q268" t="b">
        <v>1</v>
      </c>
      <c r="R268" t="b">
        <v>0</v>
      </c>
      <c r="S268" t="s">
        <v>1032</v>
      </c>
      <c r="T268" t="s">
        <v>992</v>
      </c>
      <c r="U268" t="s">
        <v>1140</v>
      </c>
      <c r="V268" t="s">
        <v>995</v>
      </c>
      <c r="W268" t="s">
        <v>1034</v>
      </c>
      <c r="X268" t="s">
        <v>1735</v>
      </c>
    </row>
    <row r="269" spans="1:24" x14ac:dyDescent="0.25">
      <c r="A269" t="s">
        <v>42</v>
      </c>
      <c r="B269" t="s">
        <v>1736</v>
      </c>
      <c r="C269" t="s">
        <v>341</v>
      </c>
      <c r="D269" t="s">
        <v>992</v>
      </c>
      <c r="E269" t="s">
        <v>1015</v>
      </c>
      <c r="F269">
        <v>54126</v>
      </c>
      <c r="G269" t="s">
        <v>1085</v>
      </c>
      <c r="H269" t="s">
        <v>1737</v>
      </c>
      <c r="I269" t="s">
        <v>1710</v>
      </c>
      <c r="J269" t="s">
        <v>1423</v>
      </c>
      <c r="K269" t="s">
        <v>1103</v>
      </c>
      <c r="L269" t="s">
        <v>1104</v>
      </c>
      <c r="M269" t="s">
        <v>1028</v>
      </c>
      <c r="N269" t="s">
        <v>1105</v>
      </c>
      <c r="O269" t="s">
        <v>992</v>
      </c>
      <c r="P269" t="s">
        <v>1107</v>
      </c>
      <c r="Q269" t="b">
        <v>1</v>
      </c>
      <c r="R269" t="b">
        <v>0</v>
      </c>
      <c r="S269" t="s">
        <v>1032</v>
      </c>
      <c r="T269" t="s">
        <v>992</v>
      </c>
      <c r="U269" t="s">
        <v>1140</v>
      </c>
      <c r="V269" t="s">
        <v>995</v>
      </c>
      <c r="W269" t="s">
        <v>1034</v>
      </c>
      <c r="X269" t="s">
        <v>1738</v>
      </c>
    </row>
    <row r="270" spans="1:24" x14ac:dyDescent="0.25">
      <c r="A270" t="s">
        <v>42</v>
      </c>
      <c r="B270" t="s">
        <v>1739</v>
      </c>
      <c r="C270" t="s">
        <v>341</v>
      </c>
      <c r="D270" t="s">
        <v>992</v>
      </c>
      <c r="E270" t="s">
        <v>1017</v>
      </c>
      <c r="F270">
        <v>50374</v>
      </c>
      <c r="G270" t="s">
        <v>1085</v>
      </c>
      <c r="H270" t="s">
        <v>1740</v>
      </c>
      <c r="I270" t="s">
        <v>1710</v>
      </c>
      <c r="J270" t="s">
        <v>1423</v>
      </c>
      <c r="K270" t="s">
        <v>1110</v>
      </c>
      <c r="L270" t="s">
        <v>1111</v>
      </c>
      <c r="M270" t="s">
        <v>1028</v>
      </c>
      <c r="N270" t="s">
        <v>1112</v>
      </c>
      <c r="O270" t="s">
        <v>992</v>
      </c>
      <c r="P270" t="s">
        <v>1114</v>
      </c>
      <c r="Q270" t="b">
        <v>1</v>
      </c>
      <c r="R270" t="b">
        <v>0</v>
      </c>
      <c r="S270" t="s">
        <v>1032</v>
      </c>
      <c r="T270" t="s">
        <v>992</v>
      </c>
      <c r="U270" t="s">
        <v>1140</v>
      </c>
      <c r="V270" t="s">
        <v>995</v>
      </c>
      <c r="W270" t="s">
        <v>1034</v>
      </c>
      <c r="X270" t="s">
        <v>1741</v>
      </c>
    </row>
    <row r="271" spans="1:24" x14ac:dyDescent="0.25">
      <c r="A271" t="s">
        <v>42</v>
      </c>
      <c r="B271" t="s">
        <v>1742</v>
      </c>
      <c r="C271" t="s">
        <v>341</v>
      </c>
      <c r="D271" t="s">
        <v>992</v>
      </c>
      <c r="E271" t="s">
        <v>1019</v>
      </c>
      <c r="F271">
        <v>69860</v>
      </c>
      <c r="G271" t="s">
        <v>1085</v>
      </c>
      <c r="H271" t="s">
        <v>1743</v>
      </c>
      <c r="I271" t="s">
        <v>1710</v>
      </c>
      <c r="J271" t="s">
        <v>1423</v>
      </c>
      <c r="K271" t="s">
        <v>1132</v>
      </c>
      <c r="L271" t="s">
        <v>1133</v>
      </c>
      <c r="M271" t="s">
        <v>1028</v>
      </c>
      <c r="N271" t="s">
        <v>1134</v>
      </c>
      <c r="O271" t="s">
        <v>992</v>
      </c>
      <c r="P271" t="s">
        <v>1120</v>
      </c>
      <c r="Q271" t="b">
        <v>1</v>
      </c>
      <c r="R271" t="b">
        <v>0</v>
      </c>
      <c r="S271" t="s">
        <v>1032</v>
      </c>
      <c r="T271" t="s">
        <v>992</v>
      </c>
      <c r="U271" t="s">
        <v>1140</v>
      </c>
      <c r="V271" t="s">
        <v>995</v>
      </c>
      <c r="W271" t="s">
        <v>1034</v>
      </c>
      <c r="X271" t="s">
        <v>1744</v>
      </c>
    </row>
    <row r="272" spans="1:24" x14ac:dyDescent="0.25">
      <c r="A272" t="s">
        <v>42</v>
      </c>
      <c r="B272" t="s">
        <v>1745</v>
      </c>
      <c r="C272" t="s">
        <v>341</v>
      </c>
      <c r="D272" t="s">
        <v>992</v>
      </c>
      <c r="E272" t="s">
        <v>1021</v>
      </c>
      <c r="F272">
        <v>70587</v>
      </c>
      <c r="G272" t="s">
        <v>1085</v>
      </c>
      <c r="H272" t="s">
        <v>1746</v>
      </c>
      <c r="I272" t="s">
        <v>1710</v>
      </c>
      <c r="J272" t="s">
        <v>1423</v>
      </c>
      <c r="K272" t="s">
        <v>1124</v>
      </c>
      <c r="L272" t="s">
        <v>1125</v>
      </c>
      <c r="M272" t="s">
        <v>1028</v>
      </c>
      <c r="N272" t="s">
        <v>1126</v>
      </c>
      <c r="O272" t="s">
        <v>992</v>
      </c>
      <c r="P272" t="s">
        <v>1128</v>
      </c>
      <c r="Q272" t="b">
        <v>1</v>
      </c>
      <c r="R272" t="b">
        <v>0</v>
      </c>
      <c r="S272" t="s">
        <v>1032</v>
      </c>
      <c r="T272" t="s">
        <v>992</v>
      </c>
      <c r="U272" t="s">
        <v>1140</v>
      </c>
      <c r="V272" t="s">
        <v>995</v>
      </c>
      <c r="W272" t="s">
        <v>1034</v>
      </c>
      <c r="X272" t="s">
        <v>1747</v>
      </c>
    </row>
    <row r="273" spans="1:24" x14ac:dyDescent="0.25">
      <c r="A273" t="s">
        <v>42</v>
      </c>
      <c r="B273" t="s">
        <v>1748</v>
      </c>
      <c r="C273" t="s">
        <v>341</v>
      </c>
      <c r="D273" t="s">
        <v>992</v>
      </c>
      <c r="E273" t="s">
        <v>1130</v>
      </c>
      <c r="F273">
        <v>57349</v>
      </c>
      <c r="G273" t="s">
        <v>1085</v>
      </c>
      <c r="H273" t="s">
        <v>1749</v>
      </c>
      <c r="I273" t="s">
        <v>1710</v>
      </c>
      <c r="J273" t="s">
        <v>1423</v>
      </c>
      <c r="K273" t="s">
        <v>1132</v>
      </c>
      <c r="L273" t="s">
        <v>1133</v>
      </c>
      <c r="M273" t="s">
        <v>1028</v>
      </c>
      <c r="N273" t="s">
        <v>1134</v>
      </c>
      <c r="O273" t="s">
        <v>992</v>
      </c>
      <c r="P273" t="s">
        <v>1136</v>
      </c>
      <c r="Q273" t="b">
        <v>1</v>
      </c>
      <c r="R273" t="b">
        <v>0</v>
      </c>
      <c r="S273" t="s">
        <v>1032</v>
      </c>
      <c r="T273" t="s">
        <v>992</v>
      </c>
      <c r="U273" t="s">
        <v>1140</v>
      </c>
      <c r="V273" t="s">
        <v>995</v>
      </c>
      <c r="W273" t="s">
        <v>1034</v>
      </c>
      <c r="X273" t="s">
        <v>1750</v>
      </c>
    </row>
    <row r="274" spans="1:24" x14ac:dyDescent="0.25">
      <c r="A274" t="s">
        <v>42</v>
      </c>
      <c r="B274" t="s">
        <v>1751</v>
      </c>
      <c r="C274" t="s">
        <v>342</v>
      </c>
      <c r="D274" t="s">
        <v>992</v>
      </c>
      <c r="E274" t="s">
        <v>990</v>
      </c>
      <c r="F274">
        <v>71376</v>
      </c>
      <c r="G274" t="s">
        <v>1085</v>
      </c>
      <c r="H274" t="s">
        <v>1752</v>
      </c>
      <c r="I274" t="s">
        <v>1753</v>
      </c>
      <c r="J274" t="s">
        <v>1423</v>
      </c>
      <c r="K274" t="s">
        <v>1026</v>
      </c>
      <c r="L274" t="s">
        <v>1027</v>
      </c>
      <c r="M274" t="s">
        <v>1028</v>
      </c>
      <c r="N274" t="s">
        <v>1029</v>
      </c>
      <c r="O274" t="s">
        <v>992</v>
      </c>
      <c r="P274" t="s">
        <v>1031</v>
      </c>
      <c r="Q274" t="b">
        <v>1</v>
      </c>
      <c r="R274" t="b">
        <v>0</v>
      </c>
      <c r="S274" t="s">
        <v>1032</v>
      </c>
      <c r="T274" t="s">
        <v>992</v>
      </c>
      <c r="U274" t="s">
        <v>1140</v>
      </c>
      <c r="V274" t="s">
        <v>995</v>
      </c>
      <c r="W274" t="s">
        <v>1034</v>
      </c>
      <c r="X274" t="s">
        <v>1754</v>
      </c>
    </row>
    <row r="275" spans="1:24" x14ac:dyDescent="0.25">
      <c r="A275" t="s">
        <v>42</v>
      </c>
      <c r="B275" t="s">
        <v>1755</v>
      </c>
      <c r="C275" t="s">
        <v>342</v>
      </c>
      <c r="D275" t="s">
        <v>992</v>
      </c>
      <c r="E275" t="s">
        <v>999</v>
      </c>
      <c r="F275">
        <v>68999</v>
      </c>
      <c r="G275" t="s">
        <v>1085</v>
      </c>
      <c r="H275" t="s">
        <v>1756</v>
      </c>
      <c r="I275" t="s">
        <v>1753</v>
      </c>
      <c r="J275" t="s">
        <v>1423</v>
      </c>
      <c r="K275" t="s">
        <v>1038</v>
      </c>
      <c r="L275" t="s">
        <v>1039</v>
      </c>
      <c r="M275" t="s">
        <v>1028</v>
      </c>
      <c r="N275" t="s">
        <v>1040</v>
      </c>
      <c r="O275" t="s">
        <v>992</v>
      </c>
      <c r="P275" t="s">
        <v>1042</v>
      </c>
      <c r="Q275" t="b">
        <v>1</v>
      </c>
      <c r="R275" t="b">
        <v>0</v>
      </c>
      <c r="S275" t="s">
        <v>1032</v>
      </c>
      <c r="T275" t="s">
        <v>992</v>
      </c>
      <c r="U275" t="s">
        <v>1140</v>
      </c>
      <c r="V275" t="s">
        <v>995</v>
      </c>
      <c r="W275" t="s">
        <v>1034</v>
      </c>
      <c r="X275" t="s">
        <v>1757</v>
      </c>
    </row>
    <row r="276" spans="1:24" x14ac:dyDescent="0.25">
      <c r="A276" t="s">
        <v>42</v>
      </c>
      <c r="B276" t="s">
        <v>1758</v>
      </c>
      <c r="C276" t="s">
        <v>342</v>
      </c>
      <c r="D276" t="s">
        <v>992</v>
      </c>
      <c r="E276" t="s">
        <v>1001</v>
      </c>
      <c r="F276">
        <v>70106</v>
      </c>
      <c r="G276" t="s">
        <v>1085</v>
      </c>
      <c r="H276" t="s">
        <v>1759</v>
      </c>
      <c r="I276" t="s">
        <v>1753</v>
      </c>
      <c r="J276" t="s">
        <v>1423</v>
      </c>
      <c r="K276" t="s">
        <v>1045</v>
      </c>
      <c r="L276" t="s">
        <v>1046</v>
      </c>
      <c r="M276" t="s">
        <v>1028</v>
      </c>
      <c r="N276" t="s">
        <v>1047</v>
      </c>
      <c r="O276" t="s">
        <v>992</v>
      </c>
      <c r="P276" t="s">
        <v>1049</v>
      </c>
      <c r="Q276" t="b">
        <v>1</v>
      </c>
      <c r="R276" t="b">
        <v>0</v>
      </c>
      <c r="S276" t="s">
        <v>1032</v>
      </c>
      <c r="T276" t="s">
        <v>992</v>
      </c>
      <c r="U276" t="s">
        <v>1140</v>
      </c>
      <c r="V276" t="s">
        <v>995</v>
      </c>
      <c r="W276" t="s">
        <v>1034</v>
      </c>
      <c r="X276" t="s">
        <v>1760</v>
      </c>
    </row>
    <row r="277" spans="1:24" x14ac:dyDescent="0.25">
      <c r="A277" t="s">
        <v>42</v>
      </c>
      <c r="B277" t="s">
        <v>1761</v>
      </c>
      <c r="C277" t="s">
        <v>342</v>
      </c>
      <c r="D277" t="s">
        <v>992</v>
      </c>
      <c r="E277" t="s">
        <v>1003</v>
      </c>
      <c r="F277">
        <v>74636</v>
      </c>
      <c r="G277" t="s">
        <v>1085</v>
      </c>
      <c r="H277" t="s">
        <v>1762</v>
      </c>
      <c r="I277" t="s">
        <v>1753</v>
      </c>
      <c r="J277" t="s">
        <v>1423</v>
      </c>
      <c r="K277" t="s">
        <v>1087</v>
      </c>
      <c r="L277" t="s">
        <v>1088</v>
      </c>
      <c r="M277" t="s">
        <v>1056</v>
      </c>
      <c r="N277" t="s">
        <v>1089</v>
      </c>
      <c r="O277" t="s">
        <v>992</v>
      </c>
      <c r="P277" t="s">
        <v>1058</v>
      </c>
      <c r="Q277" t="b">
        <v>1</v>
      </c>
      <c r="R277" t="b">
        <v>0</v>
      </c>
      <c r="S277" t="s">
        <v>1032</v>
      </c>
      <c r="T277" t="s">
        <v>992</v>
      </c>
      <c r="U277" t="s">
        <v>1140</v>
      </c>
      <c r="V277" t="s">
        <v>995</v>
      </c>
      <c r="W277" t="s">
        <v>1034</v>
      </c>
      <c r="X277" t="s">
        <v>1763</v>
      </c>
    </row>
    <row r="278" spans="1:24" x14ac:dyDescent="0.25">
      <c r="A278" t="s">
        <v>42</v>
      </c>
      <c r="B278" t="s">
        <v>1764</v>
      </c>
      <c r="C278" t="s">
        <v>342</v>
      </c>
      <c r="D278" t="s">
        <v>992</v>
      </c>
      <c r="E278" t="s">
        <v>1005</v>
      </c>
      <c r="F278">
        <v>67563</v>
      </c>
      <c r="G278" t="s">
        <v>1085</v>
      </c>
      <c r="H278" t="s">
        <v>1765</v>
      </c>
      <c r="I278" t="s">
        <v>1753</v>
      </c>
      <c r="J278" t="s">
        <v>1423</v>
      </c>
      <c r="K278" t="s">
        <v>1065</v>
      </c>
      <c r="L278" t="s">
        <v>1066</v>
      </c>
      <c r="M278" t="s">
        <v>1028</v>
      </c>
      <c r="N278" t="s">
        <v>1067</v>
      </c>
      <c r="O278" t="s">
        <v>992</v>
      </c>
      <c r="P278" t="s">
        <v>1069</v>
      </c>
      <c r="Q278" t="b">
        <v>1</v>
      </c>
      <c r="R278" t="b">
        <v>0</v>
      </c>
      <c r="S278" t="s">
        <v>1032</v>
      </c>
      <c r="T278" t="s">
        <v>992</v>
      </c>
      <c r="U278" t="s">
        <v>1140</v>
      </c>
      <c r="V278" t="s">
        <v>995</v>
      </c>
      <c r="W278" t="s">
        <v>1034</v>
      </c>
      <c r="X278" t="s">
        <v>1766</v>
      </c>
    </row>
    <row r="279" spans="1:24" x14ac:dyDescent="0.25">
      <c r="A279" t="s">
        <v>42</v>
      </c>
      <c r="B279" t="s">
        <v>1767</v>
      </c>
      <c r="C279" t="s">
        <v>342</v>
      </c>
      <c r="E279" t="s">
        <v>1007</v>
      </c>
      <c r="F279">
        <v>70057</v>
      </c>
      <c r="G279" t="s">
        <v>1051</v>
      </c>
      <c r="H279" t="s">
        <v>1768</v>
      </c>
      <c r="I279" t="s">
        <v>1753</v>
      </c>
      <c r="J279" t="s">
        <v>1423</v>
      </c>
      <c r="K279" t="s">
        <v>1072</v>
      </c>
      <c r="L279" t="s">
        <v>1073</v>
      </c>
      <c r="M279" t="s">
        <v>1028</v>
      </c>
      <c r="N279" t="s">
        <v>1074</v>
      </c>
      <c r="O279" t="s">
        <v>992</v>
      </c>
      <c r="P279" t="s">
        <v>1076</v>
      </c>
      <c r="Q279" t="b">
        <v>1</v>
      </c>
      <c r="R279" t="b">
        <v>0</v>
      </c>
      <c r="S279" t="s">
        <v>1099</v>
      </c>
      <c r="T279" t="s">
        <v>992</v>
      </c>
      <c r="U279" t="s">
        <v>1060</v>
      </c>
      <c r="V279" t="s">
        <v>995</v>
      </c>
      <c r="W279" t="s">
        <v>1034</v>
      </c>
      <c r="X279" t="s">
        <v>1424</v>
      </c>
    </row>
    <row r="280" spans="1:24" x14ac:dyDescent="0.25">
      <c r="A280" t="s">
        <v>42</v>
      </c>
      <c r="B280" t="s">
        <v>1769</v>
      </c>
      <c r="C280" t="s">
        <v>342</v>
      </c>
      <c r="D280" t="s">
        <v>992</v>
      </c>
      <c r="E280" t="s">
        <v>1009</v>
      </c>
      <c r="F280">
        <v>75997</v>
      </c>
      <c r="G280" t="s">
        <v>1085</v>
      </c>
      <c r="H280" t="s">
        <v>1770</v>
      </c>
      <c r="I280" t="s">
        <v>1753</v>
      </c>
      <c r="J280" t="s">
        <v>1423</v>
      </c>
      <c r="K280" t="s">
        <v>1079</v>
      </c>
      <c r="L280" t="s">
        <v>1080</v>
      </c>
      <c r="M280" t="s">
        <v>1028</v>
      </c>
      <c r="N280" t="s">
        <v>1081</v>
      </c>
      <c r="O280" t="s">
        <v>992</v>
      </c>
      <c r="P280" t="s">
        <v>1083</v>
      </c>
      <c r="Q280" t="b">
        <v>1</v>
      </c>
      <c r="R280" t="b">
        <v>0</v>
      </c>
      <c r="S280" t="s">
        <v>1032</v>
      </c>
      <c r="T280" t="s">
        <v>992</v>
      </c>
      <c r="U280" t="s">
        <v>1140</v>
      </c>
      <c r="V280" t="s">
        <v>995</v>
      </c>
      <c r="W280" t="s">
        <v>1034</v>
      </c>
      <c r="X280" t="s">
        <v>1771</v>
      </c>
    </row>
    <row r="281" spans="1:24" x14ac:dyDescent="0.25">
      <c r="A281" t="s">
        <v>42</v>
      </c>
      <c r="B281" t="s">
        <v>1772</v>
      </c>
      <c r="C281" t="s">
        <v>342</v>
      </c>
      <c r="D281" t="s">
        <v>992</v>
      </c>
      <c r="E281" t="s">
        <v>1011</v>
      </c>
      <c r="F281">
        <v>99183</v>
      </c>
      <c r="G281" t="s">
        <v>1085</v>
      </c>
      <c r="H281" t="s">
        <v>1773</v>
      </c>
      <c r="I281" t="s">
        <v>1753</v>
      </c>
      <c r="J281" t="s">
        <v>1423</v>
      </c>
      <c r="K281" t="s">
        <v>1117</v>
      </c>
      <c r="L281" t="s">
        <v>1118</v>
      </c>
      <c r="M281" t="s">
        <v>1056</v>
      </c>
      <c r="N281" t="s">
        <v>1119</v>
      </c>
      <c r="O281" t="s">
        <v>992</v>
      </c>
      <c r="P281" t="s">
        <v>1090</v>
      </c>
      <c r="Q281" t="b">
        <v>1</v>
      </c>
      <c r="R281" t="b">
        <v>0</v>
      </c>
      <c r="S281" t="s">
        <v>1032</v>
      </c>
      <c r="T281" t="s">
        <v>992</v>
      </c>
      <c r="U281" t="s">
        <v>1140</v>
      </c>
      <c r="V281" t="s">
        <v>995</v>
      </c>
      <c r="W281" t="s">
        <v>1034</v>
      </c>
      <c r="X281" t="s">
        <v>1774</v>
      </c>
    </row>
    <row r="282" spans="1:24" x14ac:dyDescent="0.25">
      <c r="A282" t="s">
        <v>42</v>
      </c>
      <c r="B282" t="s">
        <v>1775</v>
      </c>
      <c r="C282" t="s">
        <v>342</v>
      </c>
      <c r="D282" t="s">
        <v>992</v>
      </c>
      <c r="E282" t="s">
        <v>1013</v>
      </c>
      <c r="F282">
        <v>73994</v>
      </c>
      <c r="G282" t="s">
        <v>1085</v>
      </c>
      <c r="H282" t="s">
        <v>1776</v>
      </c>
      <c r="I282" t="s">
        <v>1753</v>
      </c>
      <c r="J282" t="s">
        <v>1423</v>
      </c>
      <c r="K282" t="s">
        <v>1094</v>
      </c>
      <c r="L282" t="s">
        <v>1095</v>
      </c>
      <c r="M282" t="s">
        <v>1028</v>
      </c>
      <c r="N282" t="s">
        <v>1096</v>
      </c>
      <c r="O282" t="s">
        <v>992</v>
      </c>
      <c r="P282" t="s">
        <v>1098</v>
      </c>
      <c r="Q282" t="b">
        <v>1</v>
      </c>
      <c r="R282" t="b">
        <v>0</v>
      </c>
      <c r="S282" t="s">
        <v>1032</v>
      </c>
      <c r="T282" t="s">
        <v>992</v>
      </c>
      <c r="U282" t="s">
        <v>1140</v>
      </c>
      <c r="V282" t="s">
        <v>995</v>
      </c>
      <c r="W282" t="s">
        <v>1034</v>
      </c>
      <c r="X282" t="s">
        <v>1777</v>
      </c>
    </row>
    <row r="283" spans="1:24" x14ac:dyDescent="0.25">
      <c r="A283" t="s">
        <v>42</v>
      </c>
      <c r="B283" t="s">
        <v>1778</v>
      </c>
      <c r="C283" t="s">
        <v>342</v>
      </c>
      <c r="D283" t="s">
        <v>992</v>
      </c>
      <c r="E283" t="s">
        <v>1015</v>
      </c>
      <c r="F283">
        <v>81469</v>
      </c>
      <c r="G283" t="s">
        <v>1085</v>
      </c>
      <c r="H283" t="s">
        <v>1779</v>
      </c>
      <c r="I283" t="s">
        <v>1753</v>
      </c>
      <c r="J283" t="s">
        <v>1423</v>
      </c>
      <c r="K283" t="s">
        <v>1103</v>
      </c>
      <c r="L283" t="s">
        <v>1104</v>
      </c>
      <c r="M283" t="s">
        <v>1028</v>
      </c>
      <c r="N283" t="s">
        <v>1105</v>
      </c>
      <c r="O283" t="s">
        <v>992</v>
      </c>
      <c r="P283" t="s">
        <v>1107</v>
      </c>
      <c r="Q283" t="b">
        <v>1</v>
      </c>
      <c r="R283" t="b">
        <v>0</v>
      </c>
      <c r="S283" t="s">
        <v>1032</v>
      </c>
      <c r="T283" t="s">
        <v>992</v>
      </c>
      <c r="U283" t="s">
        <v>1140</v>
      </c>
      <c r="V283" t="s">
        <v>995</v>
      </c>
      <c r="W283" t="s">
        <v>1034</v>
      </c>
      <c r="X283" t="s">
        <v>1780</v>
      </c>
    </row>
    <row r="284" spans="1:24" x14ac:dyDescent="0.25">
      <c r="A284" t="s">
        <v>42</v>
      </c>
      <c r="B284" t="s">
        <v>1781</v>
      </c>
      <c r="C284" t="s">
        <v>342</v>
      </c>
      <c r="D284" t="s">
        <v>992</v>
      </c>
      <c r="E284" t="s">
        <v>1017</v>
      </c>
      <c r="F284">
        <v>81767</v>
      </c>
      <c r="G284" t="s">
        <v>1085</v>
      </c>
      <c r="H284" t="s">
        <v>1782</v>
      </c>
      <c r="I284" t="s">
        <v>1753</v>
      </c>
      <c r="J284" t="s">
        <v>1423</v>
      </c>
      <c r="K284" t="s">
        <v>1110</v>
      </c>
      <c r="L284" t="s">
        <v>1111</v>
      </c>
      <c r="M284" t="s">
        <v>1028</v>
      </c>
      <c r="N284" t="s">
        <v>1112</v>
      </c>
      <c r="O284" t="s">
        <v>992</v>
      </c>
      <c r="P284" t="s">
        <v>1114</v>
      </c>
      <c r="Q284" t="b">
        <v>1</v>
      </c>
      <c r="R284" t="b">
        <v>0</v>
      </c>
      <c r="S284" t="s">
        <v>1032</v>
      </c>
      <c r="T284" t="s">
        <v>992</v>
      </c>
      <c r="U284" t="s">
        <v>1140</v>
      </c>
      <c r="V284" t="s">
        <v>995</v>
      </c>
      <c r="W284" t="s">
        <v>1034</v>
      </c>
      <c r="X284" t="s">
        <v>1783</v>
      </c>
    </row>
    <row r="285" spans="1:24" x14ac:dyDescent="0.25">
      <c r="A285" t="s">
        <v>42</v>
      </c>
      <c r="B285" t="s">
        <v>1784</v>
      </c>
      <c r="C285" t="s">
        <v>342</v>
      </c>
      <c r="D285" t="s">
        <v>992</v>
      </c>
      <c r="E285" t="s">
        <v>1019</v>
      </c>
      <c r="F285">
        <v>86716</v>
      </c>
      <c r="G285" t="s">
        <v>1085</v>
      </c>
      <c r="H285" t="s">
        <v>1785</v>
      </c>
      <c r="I285" t="s">
        <v>1753</v>
      </c>
      <c r="J285" t="s">
        <v>1423</v>
      </c>
      <c r="K285" t="s">
        <v>1132</v>
      </c>
      <c r="L285" t="s">
        <v>1133</v>
      </c>
      <c r="M285" t="s">
        <v>1028</v>
      </c>
      <c r="N285" t="s">
        <v>1134</v>
      </c>
      <c r="O285" t="s">
        <v>992</v>
      </c>
      <c r="P285" t="s">
        <v>1120</v>
      </c>
      <c r="Q285" t="b">
        <v>1</v>
      </c>
      <c r="R285" t="b">
        <v>0</v>
      </c>
      <c r="S285" t="s">
        <v>1032</v>
      </c>
      <c r="T285" t="s">
        <v>992</v>
      </c>
      <c r="U285" t="s">
        <v>1140</v>
      </c>
      <c r="V285" t="s">
        <v>995</v>
      </c>
      <c r="W285" t="s">
        <v>1034</v>
      </c>
      <c r="X285" t="s">
        <v>1786</v>
      </c>
    </row>
    <row r="286" spans="1:24" x14ac:dyDescent="0.25">
      <c r="A286" t="s">
        <v>42</v>
      </c>
      <c r="B286" t="s">
        <v>1787</v>
      </c>
      <c r="C286" t="s">
        <v>342</v>
      </c>
      <c r="D286" t="s">
        <v>992</v>
      </c>
      <c r="E286" t="s">
        <v>1021</v>
      </c>
      <c r="F286">
        <v>82367</v>
      </c>
      <c r="G286" t="s">
        <v>1085</v>
      </c>
      <c r="H286" t="s">
        <v>1788</v>
      </c>
      <c r="I286" t="s">
        <v>1753</v>
      </c>
      <c r="J286" t="s">
        <v>1423</v>
      </c>
      <c r="K286" t="s">
        <v>1124</v>
      </c>
      <c r="L286" t="s">
        <v>1125</v>
      </c>
      <c r="M286" t="s">
        <v>1028</v>
      </c>
      <c r="N286" t="s">
        <v>1126</v>
      </c>
      <c r="O286" t="s">
        <v>992</v>
      </c>
      <c r="P286" t="s">
        <v>1128</v>
      </c>
      <c r="Q286" t="b">
        <v>1</v>
      </c>
      <c r="R286" t="b">
        <v>0</v>
      </c>
      <c r="S286" t="s">
        <v>1032</v>
      </c>
      <c r="T286" t="s">
        <v>992</v>
      </c>
      <c r="U286" t="s">
        <v>1140</v>
      </c>
      <c r="V286" t="s">
        <v>995</v>
      </c>
      <c r="W286" t="s">
        <v>1034</v>
      </c>
      <c r="X286" t="s">
        <v>1789</v>
      </c>
    </row>
    <row r="287" spans="1:24" x14ac:dyDescent="0.25">
      <c r="A287" t="s">
        <v>42</v>
      </c>
      <c r="B287" t="s">
        <v>1790</v>
      </c>
      <c r="C287" t="s">
        <v>342</v>
      </c>
      <c r="D287" t="s">
        <v>992</v>
      </c>
      <c r="E287" t="s">
        <v>1130</v>
      </c>
      <c r="F287">
        <v>67961</v>
      </c>
      <c r="G287" t="s">
        <v>1085</v>
      </c>
      <c r="H287" t="s">
        <v>1791</v>
      </c>
      <c r="I287" t="s">
        <v>1753</v>
      </c>
      <c r="J287" t="s">
        <v>1423</v>
      </c>
      <c r="K287" t="s">
        <v>1132</v>
      </c>
      <c r="L287" t="s">
        <v>1133</v>
      </c>
      <c r="M287" t="s">
        <v>1028</v>
      </c>
      <c r="N287" t="s">
        <v>1134</v>
      </c>
      <c r="O287" t="s">
        <v>992</v>
      </c>
      <c r="P287" t="s">
        <v>1136</v>
      </c>
      <c r="Q287" t="b">
        <v>1</v>
      </c>
      <c r="R287" t="b">
        <v>0</v>
      </c>
      <c r="S287" t="s">
        <v>1032</v>
      </c>
      <c r="T287" t="s">
        <v>992</v>
      </c>
      <c r="U287" t="s">
        <v>1140</v>
      </c>
      <c r="V287" t="s">
        <v>995</v>
      </c>
      <c r="W287" t="s">
        <v>1034</v>
      </c>
      <c r="X287" t="s">
        <v>1792</v>
      </c>
    </row>
    <row r="288" spans="1:24" x14ac:dyDescent="0.25">
      <c r="A288" t="s">
        <v>42</v>
      </c>
      <c r="B288" t="s">
        <v>1793</v>
      </c>
      <c r="C288" t="s">
        <v>343</v>
      </c>
      <c r="E288" t="s">
        <v>990</v>
      </c>
      <c r="F288">
        <v>7992</v>
      </c>
      <c r="G288" t="s">
        <v>1051</v>
      </c>
      <c r="H288" t="s">
        <v>1794</v>
      </c>
      <c r="I288" t="s">
        <v>1795</v>
      </c>
      <c r="J288" t="s">
        <v>1423</v>
      </c>
      <c r="K288" t="s">
        <v>1026</v>
      </c>
      <c r="L288" t="s">
        <v>1027</v>
      </c>
      <c r="M288" t="s">
        <v>1028</v>
      </c>
      <c r="N288" t="s">
        <v>1029</v>
      </c>
      <c r="O288" t="s">
        <v>992</v>
      </c>
      <c r="P288" t="s">
        <v>1031</v>
      </c>
      <c r="Q288" t="b">
        <v>1</v>
      </c>
      <c r="R288" t="b">
        <v>0</v>
      </c>
      <c r="S288" t="s">
        <v>1099</v>
      </c>
      <c r="T288" t="s">
        <v>992</v>
      </c>
      <c r="U288" t="s">
        <v>1060</v>
      </c>
      <c r="V288" t="s">
        <v>995</v>
      </c>
      <c r="W288" t="s">
        <v>1034</v>
      </c>
      <c r="X288" t="s">
        <v>1424</v>
      </c>
    </row>
    <row r="289" spans="1:24" x14ac:dyDescent="0.25">
      <c r="A289" t="s">
        <v>42</v>
      </c>
      <c r="B289" t="s">
        <v>1796</v>
      </c>
      <c r="C289" t="s">
        <v>343</v>
      </c>
      <c r="E289" t="s">
        <v>999</v>
      </c>
      <c r="F289">
        <v>8131</v>
      </c>
      <c r="G289" t="s">
        <v>1051</v>
      </c>
      <c r="H289" t="s">
        <v>1797</v>
      </c>
      <c r="I289" t="s">
        <v>1795</v>
      </c>
      <c r="J289" t="s">
        <v>1423</v>
      </c>
      <c r="K289" t="s">
        <v>1038</v>
      </c>
      <c r="L289" t="s">
        <v>1039</v>
      </c>
      <c r="M289" t="s">
        <v>1028</v>
      </c>
      <c r="N289" t="s">
        <v>1040</v>
      </c>
      <c r="O289" t="s">
        <v>992</v>
      </c>
      <c r="P289" t="s">
        <v>1042</v>
      </c>
      <c r="Q289" t="b">
        <v>1</v>
      </c>
      <c r="R289" t="b">
        <v>0</v>
      </c>
      <c r="S289" t="s">
        <v>1099</v>
      </c>
      <c r="T289" t="s">
        <v>992</v>
      </c>
      <c r="U289" t="s">
        <v>1060</v>
      </c>
      <c r="V289" t="s">
        <v>995</v>
      </c>
      <c r="W289" t="s">
        <v>1034</v>
      </c>
      <c r="X289" t="s">
        <v>1424</v>
      </c>
    </row>
    <row r="290" spans="1:24" x14ac:dyDescent="0.25">
      <c r="A290" t="s">
        <v>42</v>
      </c>
      <c r="B290" t="s">
        <v>1798</v>
      </c>
      <c r="C290" t="s">
        <v>343</v>
      </c>
      <c r="E290" t="s">
        <v>1001</v>
      </c>
      <c r="F290">
        <v>8158</v>
      </c>
      <c r="G290" t="s">
        <v>1051</v>
      </c>
      <c r="H290" t="s">
        <v>1799</v>
      </c>
      <c r="I290" t="s">
        <v>1795</v>
      </c>
      <c r="J290" t="s">
        <v>1423</v>
      </c>
      <c r="K290" t="s">
        <v>1045</v>
      </c>
      <c r="L290" t="s">
        <v>1046</v>
      </c>
      <c r="M290" t="s">
        <v>1028</v>
      </c>
      <c r="N290" t="s">
        <v>1047</v>
      </c>
      <c r="O290" t="s">
        <v>992</v>
      </c>
      <c r="P290" t="s">
        <v>1049</v>
      </c>
      <c r="Q290" t="b">
        <v>1</v>
      </c>
      <c r="R290" t="b">
        <v>0</v>
      </c>
      <c r="S290" t="s">
        <v>1099</v>
      </c>
      <c r="T290" t="s">
        <v>992</v>
      </c>
      <c r="U290" t="s">
        <v>1060</v>
      </c>
      <c r="V290" t="s">
        <v>995</v>
      </c>
      <c r="W290" t="s">
        <v>1034</v>
      </c>
      <c r="X290" t="s">
        <v>1424</v>
      </c>
    </row>
    <row r="291" spans="1:24" x14ac:dyDescent="0.25">
      <c r="A291" t="s">
        <v>42</v>
      </c>
      <c r="B291" t="s">
        <v>1800</v>
      </c>
      <c r="C291" t="s">
        <v>343</v>
      </c>
      <c r="E291" t="s">
        <v>1003</v>
      </c>
      <c r="F291">
        <v>8061</v>
      </c>
      <c r="G291" t="s">
        <v>1051</v>
      </c>
      <c r="H291" t="s">
        <v>1801</v>
      </c>
      <c r="I291" t="s">
        <v>1795</v>
      </c>
      <c r="J291" t="s">
        <v>1423</v>
      </c>
      <c r="K291" t="s">
        <v>1087</v>
      </c>
      <c r="L291" t="s">
        <v>1088</v>
      </c>
      <c r="M291" t="s">
        <v>1056</v>
      </c>
      <c r="N291" t="s">
        <v>1089</v>
      </c>
      <c r="O291" t="s">
        <v>992</v>
      </c>
      <c r="P291" t="s">
        <v>1058</v>
      </c>
      <c r="Q291" t="b">
        <v>1</v>
      </c>
      <c r="R291" t="b">
        <v>0</v>
      </c>
      <c r="S291" t="s">
        <v>1099</v>
      </c>
      <c r="T291" t="s">
        <v>992</v>
      </c>
      <c r="U291" t="s">
        <v>1060</v>
      </c>
      <c r="V291" t="s">
        <v>995</v>
      </c>
      <c r="W291" t="s">
        <v>1034</v>
      </c>
      <c r="X291" t="s">
        <v>1424</v>
      </c>
    </row>
    <row r="292" spans="1:24" x14ac:dyDescent="0.25">
      <c r="A292" t="s">
        <v>42</v>
      </c>
      <c r="B292" t="s">
        <v>1802</v>
      </c>
      <c r="C292" t="s">
        <v>343</v>
      </c>
      <c r="E292" t="s">
        <v>1005</v>
      </c>
      <c r="F292">
        <v>8264</v>
      </c>
      <c r="G292" t="s">
        <v>1051</v>
      </c>
      <c r="H292" t="s">
        <v>1803</v>
      </c>
      <c r="I292" t="s">
        <v>1795</v>
      </c>
      <c r="J292" t="s">
        <v>1423</v>
      </c>
      <c r="K292" t="s">
        <v>1065</v>
      </c>
      <c r="L292" t="s">
        <v>1066</v>
      </c>
      <c r="M292" t="s">
        <v>1028</v>
      </c>
      <c r="N292" t="s">
        <v>1067</v>
      </c>
      <c r="O292" t="s">
        <v>992</v>
      </c>
      <c r="P292" t="s">
        <v>1069</v>
      </c>
      <c r="Q292" t="b">
        <v>1</v>
      </c>
      <c r="R292" t="b">
        <v>0</v>
      </c>
      <c r="S292" t="s">
        <v>1099</v>
      </c>
      <c r="T292" t="s">
        <v>992</v>
      </c>
      <c r="U292" t="s">
        <v>1060</v>
      </c>
      <c r="V292" t="s">
        <v>995</v>
      </c>
      <c r="W292" t="s">
        <v>1034</v>
      </c>
      <c r="X292" t="s">
        <v>1424</v>
      </c>
    </row>
    <row r="293" spans="1:24" x14ac:dyDescent="0.25">
      <c r="A293" t="s">
        <v>42</v>
      </c>
      <c r="B293" t="s">
        <v>1804</v>
      </c>
      <c r="C293" t="s">
        <v>343</v>
      </c>
      <c r="E293" t="s">
        <v>1007</v>
      </c>
      <c r="F293">
        <v>8012</v>
      </c>
      <c r="G293" t="s">
        <v>1051</v>
      </c>
      <c r="H293" t="s">
        <v>1805</v>
      </c>
      <c r="I293" t="s">
        <v>1795</v>
      </c>
      <c r="J293" t="s">
        <v>1423</v>
      </c>
      <c r="K293" t="s">
        <v>1072</v>
      </c>
      <c r="L293" t="s">
        <v>1073</v>
      </c>
      <c r="M293" t="s">
        <v>1028</v>
      </c>
      <c r="N293" t="s">
        <v>1074</v>
      </c>
      <c r="O293" t="s">
        <v>992</v>
      </c>
      <c r="P293" t="s">
        <v>1076</v>
      </c>
      <c r="Q293" t="b">
        <v>1</v>
      </c>
      <c r="R293" t="b">
        <v>0</v>
      </c>
      <c r="S293" t="s">
        <v>1099</v>
      </c>
      <c r="T293" t="s">
        <v>992</v>
      </c>
      <c r="U293" t="s">
        <v>1060</v>
      </c>
      <c r="V293" t="s">
        <v>995</v>
      </c>
      <c r="W293" t="s">
        <v>1034</v>
      </c>
      <c r="X293" t="s">
        <v>1424</v>
      </c>
    </row>
    <row r="294" spans="1:24" x14ac:dyDescent="0.25">
      <c r="A294" t="s">
        <v>42</v>
      </c>
      <c r="B294" t="s">
        <v>1806</v>
      </c>
      <c r="C294" t="s">
        <v>343</v>
      </c>
      <c r="E294" t="s">
        <v>1009</v>
      </c>
      <c r="F294">
        <v>8053</v>
      </c>
      <c r="G294" t="s">
        <v>1051</v>
      </c>
      <c r="H294" t="s">
        <v>1807</v>
      </c>
      <c r="I294" t="s">
        <v>1795</v>
      </c>
      <c r="J294" t="s">
        <v>1423</v>
      </c>
      <c r="K294" t="s">
        <v>1079</v>
      </c>
      <c r="L294" t="s">
        <v>1080</v>
      </c>
      <c r="M294" t="s">
        <v>1028</v>
      </c>
      <c r="N294" t="s">
        <v>1081</v>
      </c>
      <c r="O294" t="s">
        <v>992</v>
      </c>
      <c r="P294" t="s">
        <v>1083</v>
      </c>
      <c r="Q294" t="b">
        <v>1</v>
      </c>
      <c r="R294" t="b">
        <v>0</v>
      </c>
      <c r="S294" t="s">
        <v>1099</v>
      </c>
      <c r="T294" t="s">
        <v>992</v>
      </c>
      <c r="U294" t="s">
        <v>1060</v>
      </c>
      <c r="V294" t="s">
        <v>995</v>
      </c>
      <c r="W294" t="s">
        <v>1034</v>
      </c>
      <c r="X294" t="s">
        <v>1424</v>
      </c>
    </row>
    <row r="295" spans="1:24" x14ac:dyDescent="0.25">
      <c r="A295" t="s">
        <v>42</v>
      </c>
      <c r="B295" t="s">
        <v>1808</v>
      </c>
      <c r="C295" t="s">
        <v>343</v>
      </c>
      <c r="E295" t="s">
        <v>1011</v>
      </c>
      <c r="F295">
        <v>8249</v>
      </c>
      <c r="G295" t="s">
        <v>1051</v>
      </c>
      <c r="H295" t="s">
        <v>1809</v>
      </c>
      <c r="I295" t="s">
        <v>1795</v>
      </c>
      <c r="J295" t="s">
        <v>1423</v>
      </c>
      <c r="K295" t="s">
        <v>1117</v>
      </c>
      <c r="L295" t="s">
        <v>1118</v>
      </c>
      <c r="M295" t="s">
        <v>1056</v>
      </c>
      <c r="N295" t="s">
        <v>1119</v>
      </c>
      <c r="O295" t="s">
        <v>992</v>
      </c>
      <c r="P295" t="s">
        <v>1090</v>
      </c>
      <c r="Q295" t="b">
        <v>1</v>
      </c>
      <c r="R295" t="b">
        <v>0</v>
      </c>
      <c r="S295" t="s">
        <v>1099</v>
      </c>
      <c r="T295" t="s">
        <v>992</v>
      </c>
      <c r="U295" t="s">
        <v>1060</v>
      </c>
      <c r="V295" t="s">
        <v>995</v>
      </c>
      <c r="W295" t="s">
        <v>1034</v>
      </c>
      <c r="X295" t="s">
        <v>1424</v>
      </c>
    </row>
    <row r="296" spans="1:24" x14ac:dyDescent="0.25">
      <c r="A296" t="s">
        <v>42</v>
      </c>
      <c r="B296" t="s">
        <v>1810</v>
      </c>
      <c r="C296" t="s">
        <v>343</v>
      </c>
      <c r="D296" t="s">
        <v>992</v>
      </c>
      <c r="E296" t="s">
        <v>1013</v>
      </c>
      <c r="F296">
        <v>8461</v>
      </c>
      <c r="G296" t="s">
        <v>1085</v>
      </c>
      <c r="H296" t="s">
        <v>1811</v>
      </c>
      <c r="I296" t="s">
        <v>1795</v>
      </c>
      <c r="J296" t="s">
        <v>1423</v>
      </c>
      <c r="K296" t="s">
        <v>1094</v>
      </c>
      <c r="L296" t="s">
        <v>1095</v>
      </c>
      <c r="M296" t="s">
        <v>1028</v>
      </c>
      <c r="N296" t="s">
        <v>1096</v>
      </c>
      <c r="O296" t="s">
        <v>992</v>
      </c>
      <c r="P296" t="s">
        <v>1098</v>
      </c>
      <c r="Q296" t="b">
        <v>1</v>
      </c>
      <c r="R296" t="b">
        <v>0</v>
      </c>
      <c r="S296" t="s">
        <v>1032</v>
      </c>
      <c r="T296" t="s">
        <v>992</v>
      </c>
      <c r="U296" t="s">
        <v>1140</v>
      </c>
      <c r="V296" t="s">
        <v>995</v>
      </c>
      <c r="W296" t="s">
        <v>1034</v>
      </c>
      <c r="X296" t="s">
        <v>1812</v>
      </c>
    </row>
    <row r="297" spans="1:24" x14ac:dyDescent="0.25">
      <c r="A297" t="s">
        <v>42</v>
      </c>
      <c r="B297" t="s">
        <v>1813</v>
      </c>
      <c r="C297" t="s">
        <v>343</v>
      </c>
      <c r="D297" t="s">
        <v>992</v>
      </c>
      <c r="E297" t="s">
        <v>1015</v>
      </c>
      <c r="F297">
        <v>8976</v>
      </c>
      <c r="G297" t="s">
        <v>1085</v>
      </c>
      <c r="H297" t="s">
        <v>1814</v>
      </c>
      <c r="I297" t="s">
        <v>1795</v>
      </c>
      <c r="J297" t="s">
        <v>1423</v>
      </c>
      <c r="K297" t="s">
        <v>1103</v>
      </c>
      <c r="L297" t="s">
        <v>1104</v>
      </c>
      <c r="M297" t="s">
        <v>1028</v>
      </c>
      <c r="N297" t="s">
        <v>1105</v>
      </c>
      <c r="O297" t="s">
        <v>992</v>
      </c>
      <c r="P297" t="s">
        <v>1107</v>
      </c>
      <c r="Q297" t="b">
        <v>1</v>
      </c>
      <c r="R297" t="b">
        <v>0</v>
      </c>
      <c r="S297" t="s">
        <v>1032</v>
      </c>
      <c r="T297" t="s">
        <v>992</v>
      </c>
      <c r="U297" t="s">
        <v>1140</v>
      </c>
      <c r="V297" t="s">
        <v>995</v>
      </c>
      <c r="W297" t="s">
        <v>1034</v>
      </c>
      <c r="X297" t="s">
        <v>1815</v>
      </c>
    </row>
    <row r="298" spans="1:24" x14ac:dyDescent="0.25">
      <c r="A298" t="s">
        <v>42</v>
      </c>
      <c r="B298" t="s">
        <v>1816</v>
      </c>
      <c r="C298" t="s">
        <v>343</v>
      </c>
      <c r="D298" t="s">
        <v>992</v>
      </c>
      <c r="E298" t="s">
        <v>1017</v>
      </c>
      <c r="F298">
        <v>8979</v>
      </c>
      <c r="G298" t="s">
        <v>1085</v>
      </c>
      <c r="H298" t="s">
        <v>1817</v>
      </c>
      <c r="I298" t="s">
        <v>1795</v>
      </c>
      <c r="J298" t="s">
        <v>1423</v>
      </c>
      <c r="K298" t="s">
        <v>1110</v>
      </c>
      <c r="L298" t="s">
        <v>1111</v>
      </c>
      <c r="M298" t="s">
        <v>1028</v>
      </c>
      <c r="N298" t="s">
        <v>1112</v>
      </c>
      <c r="O298" t="s">
        <v>992</v>
      </c>
      <c r="P298" t="s">
        <v>1114</v>
      </c>
      <c r="Q298" t="b">
        <v>1</v>
      </c>
      <c r="R298" t="b">
        <v>0</v>
      </c>
      <c r="S298" t="s">
        <v>1032</v>
      </c>
      <c r="T298" t="s">
        <v>992</v>
      </c>
      <c r="U298" t="s">
        <v>1140</v>
      </c>
      <c r="V298" t="s">
        <v>995</v>
      </c>
      <c r="W298" t="s">
        <v>1034</v>
      </c>
      <c r="X298" t="s">
        <v>1818</v>
      </c>
    </row>
    <row r="299" spans="1:24" x14ac:dyDescent="0.25">
      <c r="A299" t="s">
        <v>42</v>
      </c>
      <c r="B299" t="s">
        <v>1819</v>
      </c>
      <c r="C299" t="s">
        <v>343</v>
      </c>
      <c r="D299" t="s">
        <v>992</v>
      </c>
      <c r="E299" t="s">
        <v>1019</v>
      </c>
      <c r="F299">
        <v>9055</v>
      </c>
      <c r="G299" t="s">
        <v>1085</v>
      </c>
      <c r="H299" t="s">
        <v>1820</v>
      </c>
      <c r="I299" t="s">
        <v>1795</v>
      </c>
      <c r="J299" t="s">
        <v>1423</v>
      </c>
      <c r="K299" t="s">
        <v>1132</v>
      </c>
      <c r="L299" t="s">
        <v>1133</v>
      </c>
      <c r="M299" t="s">
        <v>1028</v>
      </c>
      <c r="N299" t="s">
        <v>1134</v>
      </c>
      <c r="O299" t="s">
        <v>992</v>
      </c>
      <c r="P299" t="s">
        <v>1120</v>
      </c>
      <c r="Q299" t="b">
        <v>1</v>
      </c>
      <c r="R299" t="b">
        <v>0</v>
      </c>
      <c r="S299" t="s">
        <v>1032</v>
      </c>
      <c r="T299" t="s">
        <v>992</v>
      </c>
      <c r="U299" t="s">
        <v>1140</v>
      </c>
      <c r="V299" t="s">
        <v>995</v>
      </c>
      <c r="W299" t="s">
        <v>1034</v>
      </c>
      <c r="X299" t="s">
        <v>1821</v>
      </c>
    </row>
    <row r="300" spans="1:24" x14ac:dyDescent="0.25">
      <c r="A300" t="s">
        <v>42</v>
      </c>
      <c r="B300" t="s">
        <v>1822</v>
      </c>
      <c r="C300" t="s">
        <v>343</v>
      </c>
      <c r="E300" t="s">
        <v>1021</v>
      </c>
      <c r="F300">
        <v>9413</v>
      </c>
      <c r="G300" t="s">
        <v>1051</v>
      </c>
      <c r="H300" t="s">
        <v>1823</v>
      </c>
      <c r="I300" t="s">
        <v>1795</v>
      </c>
      <c r="J300" t="s">
        <v>1423</v>
      </c>
      <c r="K300" t="s">
        <v>1124</v>
      </c>
      <c r="L300" t="s">
        <v>1125</v>
      </c>
      <c r="M300" t="s">
        <v>1028</v>
      </c>
      <c r="N300" t="s">
        <v>1126</v>
      </c>
      <c r="O300" t="s">
        <v>992</v>
      </c>
      <c r="P300" t="s">
        <v>1128</v>
      </c>
      <c r="Q300" t="b">
        <v>1</v>
      </c>
      <c r="R300" t="b">
        <v>0</v>
      </c>
      <c r="S300" t="s">
        <v>1099</v>
      </c>
      <c r="T300" t="s">
        <v>992</v>
      </c>
      <c r="U300" t="s">
        <v>1060</v>
      </c>
      <c r="V300" t="s">
        <v>995</v>
      </c>
      <c r="W300" t="s">
        <v>1034</v>
      </c>
      <c r="X300" t="s">
        <v>1424</v>
      </c>
    </row>
    <row r="301" spans="1:24" x14ac:dyDescent="0.25">
      <c r="A301" t="s">
        <v>42</v>
      </c>
      <c r="B301" t="s">
        <v>1824</v>
      </c>
      <c r="C301" t="s">
        <v>343</v>
      </c>
      <c r="E301" t="s">
        <v>1130</v>
      </c>
      <c r="F301">
        <v>9331</v>
      </c>
      <c r="G301" t="s">
        <v>1051</v>
      </c>
      <c r="H301" t="s">
        <v>1825</v>
      </c>
      <c r="I301" t="s">
        <v>1795</v>
      </c>
      <c r="J301" t="s">
        <v>1423</v>
      </c>
      <c r="K301" t="s">
        <v>1132</v>
      </c>
      <c r="L301" t="s">
        <v>1133</v>
      </c>
      <c r="M301" t="s">
        <v>1028</v>
      </c>
      <c r="N301" t="s">
        <v>1134</v>
      </c>
      <c r="O301" t="s">
        <v>992</v>
      </c>
      <c r="P301" t="s">
        <v>1136</v>
      </c>
      <c r="Q301" t="b">
        <v>1</v>
      </c>
      <c r="R301" t="b">
        <v>0</v>
      </c>
      <c r="S301" t="s">
        <v>1099</v>
      </c>
      <c r="T301" t="s">
        <v>992</v>
      </c>
      <c r="U301" t="s">
        <v>1060</v>
      </c>
      <c r="V301" t="s">
        <v>995</v>
      </c>
      <c r="W301" t="s">
        <v>1034</v>
      </c>
      <c r="X301" t="s">
        <v>1424</v>
      </c>
    </row>
    <row r="302" spans="1:24" x14ac:dyDescent="0.25">
      <c r="A302" t="s">
        <v>42</v>
      </c>
      <c r="B302" t="s">
        <v>1826</v>
      </c>
      <c r="C302" t="s">
        <v>346</v>
      </c>
      <c r="E302" t="s">
        <v>990</v>
      </c>
      <c r="F302">
        <v>99627</v>
      </c>
      <c r="G302" t="s">
        <v>1051</v>
      </c>
      <c r="H302" t="s">
        <v>1827</v>
      </c>
      <c r="I302" t="s">
        <v>1828</v>
      </c>
      <c r="J302" t="s">
        <v>1423</v>
      </c>
      <c r="K302" t="s">
        <v>1026</v>
      </c>
      <c r="L302" t="s">
        <v>1027</v>
      </c>
      <c r="M302" t="s">
        <v>1028</v>
      </c>
      <c r="N302" t="s">
        <v>1029</v>
      </c>
      <c r="O302" t="s">
        <v>992</v>
      </c>
      <c r="P302" t="s">
        <v>1031</v>
      </c>
      <c r="Q302" t="b">
        <v>1</v>
      </c>
      <c r="R302" t="b">
        <v>0</v>
      </c>
      <c r="S302" t="s">
        <v>1099</v>
      </c>
      <c r="T302" t="s">
        <v>992</v>
      </c>
      <c r="U302" t="s">
        <v>1060</v>
      </c>
      <c r="V302" t="s">
        <v>995</v>
      </c>
      <c r="W302" t="s">
        <v>1034</v>
      </c>
      <c r="X302" t="s">
        <v>1424</v>
      </c>
    </row>
    <row r="303" spans="1:24" x14ac:dyDescent="0.25">
      <c r="A303" t="s">
        <v>42</v>
      </c>
      <c r="B303" t="s">
        <v>1829</v>
      </c>
      <c r="C303" t="s">
        <v>346</v>
      </c>
      <c r="E303" t="s">
        <v>999</v>
      </c>
      <c r="F303">
        <v>97041</v>
      </c>
      <c r="G303" t="s">
        <v>1051</v>
      </c>
      <c r="H303" t="s">
        <v>1830</v>
      </c>
      <c r="I303" t="s">
        <v>1828</v>
      </c>
      <c r="J303" t="s">
        <v>1423</v>
      </c>
      <c r="K303" t="s">
        <v>1038</v>
      </c>
      <c r="L303" t="s">
        <v>1039</v>
      </c>
      <c r="M303" t="s">
        <v>1028</v>
      </c>
      <c r="N303" t="s">
        <v>1040</v>
      </c>
      <c r="O303" t="s">
        <v>992</v>
      </c>
      <c r="P303" t="s">
        <v>1042</v>
      </c>
      <c r="Q303" t="b">
        <v>1</v>
      </c>
      <c r="R303" t="b">
        <v>0</v>
      </c>
      <c r="S303" t="s">
        <v>1099</v>
      </c>
      <c r="T303" t="s">
        <v>992</v>
      </c>
      <c r="U303" t="s">
        <v>1060</v>
      </c>
      <c r="V303" t="s">
        <v>995</v>
      </c>
      <c r="W303" t="s">
        <v>1034</v>
      </c>
      <c r="X303" t="s">
        <v>1424</v>
      </c>
    </row>
    <row r="304" spans="1:24" x14ac:dyDescent="0.25">
      <c r="A304" t="s">
        <v>42</v>
      </c>
      <c r="B304" t="s">
        <v>1831</v>
      </c>
      <c r="C304" t="s">
        <v>346</v>
      </c>
      <c r="E304" t="s">
        <v>1001</v>
      </c>
      <c r="F304">
        <v>98071</v>
      </c>
      <c r="G304" t="s">
        <v>1051</v>
      </c>
      <c r="H304" t="s">
        <v>1832</v>
      </c>
      <c r="I304" t="s">
        <v>1828</v>
      </c>
      <c r="J304" t="s">
        <v>1423</v>
      </c>
      <c r="K304" t="s">
        <v>1045</v>
      </c>
      <c r="L304" t="s">
        <v>1046</v>
      </c>
      <c r="M304" t="s">
        <v>1028</v>
      </c>
      <c r="N304" t="s">
        <v>1047</v>
      </c>
      <c r="O304" t="s">
        <v>992</v>
      </c>
      <c r="P304" t="s">
        <v>1049</v>
      </c>
      <c r="Q304" t="b">
        <v>1</v>
      </c>
      <c r="R304" t="b">
        <v>0</v>
      </c>
      <c r="S304" t="s">
        <v>1099</v>
      </c>
      <c r="T304" t="s">
        <v>992</v>
      </c>
      <c r="U304" t="s">
        <v>1060</v>
      </c>
      <c r="V304" t="s">
        <v>995</v>
      </c>
      <c r="W304" t="s">
        <v>1034</v>
      </c>
      <c r="X304" t="s">
        <v>1424</v>
      </c>
    </row>
    <row r="305" spans="1:24" x14ac:dyDescent="0.25">
      <c r="A305" t="s">
        <v>42</v>
      </c>
      <c r="B305" t="s">
        <v>1833</v>
      </c>
      <c r="C305" t="s">
        <v>346</v>
      </c>
      <c r="E305" t="s">
        <v>1003</v>
      </c>
      <c r="F305">
        <v>95281</v>
      </c>
      <c r="G305" t="s">
        <v>1051</v>
      </c>
      <c r="H305" t="s">
        <v>1834</v>
      </c>
      <c r="I305" t="s">
        <v>1828</v>
      </c>
      <c r="J305" t="s">
        <v>1423</v>
      </c>
      <c r="K305" t="s">
        <v>1087</v>
      </c>
      <c r="L305" t="s">
        <v>1088</v>
      </c>
      <c r="M305" t="s">
        <v>1056</v>
      </c>
      <c r="N305" t="s">
        <v>1089</v>
      </c>
      <c r="O305" t="s">
        <v>992</v>
      </c>
      <c r="P305" t="s">
        <v>1058</v>
      </c>
      <c r="Q305" t="b">
        <v>1</v>
      </c>
      <c r="R305" t="b">
        <v>0</v>
      </c>
      <c r="S305" t="s">
        <v>1099</v>
      </c>
      <c r="T305" t="s">
        <v>992</v>
      </c>
      <c r="U305" t="s">
        <v>1060</v>
      </c>
      <c r="V305" t="s">
        <v>995</v>
      </c>
      <c r="W305" t="s">
        <v>1034</v>
      </c>
      <c r="X305" t="s">
        <v>1424</v>
      </c>
    </row>
    <row r="306" spans="1:24" x14ac:dyDescent="0.25">
      <c r="A306" t="s">
        <v>42</v>
      </c>
      <c r="B306" t="s">
        <v>1835</v>
      </c>
      <c r="C306" t="s">
        <v>346</v>
      </c>
      <c r="E306" t="s">
        <v>1005</v>
      </c>
      <c r="F306">
        <v>95088</v>
      </c>
      <c r="G306" t="s">
        <v>1051</v>
      </c>
      <c r="H306" t="s">
        <v>1836</v>
      </c>
      <c r="I306" t="s">
        <v>1828</v>
      </c>
      <c r="J306" t="s">
        <v>1423</v>
      </c>
      <c r="K306" t="s">
        <v>1065</v>
      </c>
      <c r="L306" t="s">
        <v>1066</v>
      </c>
      <c r="M306" t="s">
        <v>1028</v>
      </c>
      <c r="N306" t="s">
        <v>1067</v>
      </c>
      <c r="O306" t="s">
        <v>992</v>
      </c>
      <c r="P306" t="s">
        <v>1069</v>
      </c>
      <c r="Q306" t="b">
        <v>1</v>
      </c>
      <c r="R306" t="b">
        <v>0</v>
      </c>
      <c r="S306" t="s">
        <v>1099</v>
      </c>
      <c r="T306" t="s">
        <v>992</v>
      </c>
      <c r="U306" t="s">
        <v>1060</v>
      </c>
      <c r="V306" t="s">
        <v>995</v>
      </c>
      <c r="W306" t="s">
        <v>1034</v>
      </c>
      <c r="X306" t="s">
        <v>1424</v>
      </c>
    </row>
    <row r="307" spans="1:24" x14ac:dyDescent="0.25">
      <c r="A307" t="s">
        <v>42</v>
      </c>
      <c r="B307" t="s">
        <v>1837</v>
      </c>
      <c r="C307" t="s">
        <v>346</v>
      </c>
      <c r="E307" t="s">
        <v>1007</v>
      </c>
      <c r="F307">
        <v>91831</v>
      </c>
      <c r="G307" t="s">
        <v>1051</v>
      </c>
      <c r="H307" t="s">
        <v>1838</v>
      </c>
      <c r="I307" t="s">
        <v>1828</v>
      </c>
      <c r="J307" t="s">
        <v>1423</v>
      </c>
      <c r="K307" t="s">
        <v>1072</v>
      </c>
      <c r="L307" t="s">
        <v>1073</v>
      </c>
      <c r="M307" t="s">
        <v>1028</v>
      </c>
      <c r="N307" t="s">
        <v>1074</v>
      </c>
      <c r="O307" t="s">
        <v>992</v>
      </c>
      <c r="P307" t="s">
        <v>1076</v>
      </c>
      <c r="Q307" t="b">
        <v>1</v>
      </c>
      <c r="R307" t="b">
        <v>0</v>
      </c>
      <c r="S307" t="s">
        <v>1099</v>
      </c>
      <c r="T307" t="s">
        <v>992</v>
      </c>
      <c r="U307" t="s">
        <v>1060</v>
      </c>
      <c r="V307" t="s">
        <v>995</v>
      </c>
      <c r="W307" t="s">
        <v>1034</v>
      </c>
      <c r="X307" t="s">
        <v>1424</v>
      </c>
    </row>
    <row r="308" spans="1:24" x14ac:dyDescent="0.25">
      <c r="A308" t="s">
        <v>42</v>
      </c>
      <c r="B308" t="s">
        <v>1839</v>
      </c>
      <c r="C308" t="s">
        <v>346</v>
      </c>
      <c r="E308" t="s">
        <v>1009</v>
      </c>
      <c r="F308">
        <v>86196</v>
      </c>
      <c r="G308" t="s">
        <v>1051</v>
      </c>
      <c r="H308" t="s">
        <v>1840</v>
      </c>
      <c r="I308" t="s">
        <v>1828</v>
      </c>
      <c r="J308" t="s">
        <v>1423</v>
      </c>
      <c r="K308" t="s">
        <v>1079</v>
      </c>
      <c r="L308" t="s">
        <v>1080</v>
      </c>
      <c r="M308" t="s">
        <v>1028</v>
      </c>
      <c r="N308" t="s">
        <v>1081</v>
      </c>
      <c r="O308" t="s">
        <v>992</v>
      </c>
      <c r="P308" t="s">
        <v>1083</v>
      </c>
      <c r="Q308" t="b">
        <v>1</v>
      </c>
      <c r="R308" t="b">
        <v>0</v>
      </c>
      <c r="S308" t="s">
        <v>1099</v>
      </c>
      <c r="T308" t="s">
        <v>992</v>
      </c>
      <c r="U308" t="s">
        <v>1060</v>
      </c>
      <c r="V308" t="s">
        <v>995</v>
      </c>
      <c r="W308" t="s">
        <v>1034</v>
      </c>
      <c r="X308" t="s">
        <v>1424</v>
      </c>
    </row>
    <row r="309" spans="1:24" x14ac:dyDescent="0.25">
      <c r="A309" t="s">
        <v>42</v>
      </c>
      <c r="B309" t="s">
        <v>1841</v>
      </c>
      <c r="C309" t="s">
        <v>346</v>
      </c>
      <c r="E309" t="s">
        <v>1011</v>
      </c>
      <c r="F309">
        <v>85750</v>
      </c>
      <c r="G309" t="s">
        <v>1051</v>
      </c>
      <c r="H309" t="s">
        <v>1842</v>
      </c>
      <c r="I309" t="s">
        <v>1828</v>
      </c>
      <c r="J309" t="s">
        <v>1423</v>
      </c>
      <c r="K309" t="s">
        <v>1117</v>
      </c>
      <c r="L309" t="s">
        <v>1118</v>
      </c>
      <c r="M309" t="s">
        <v>1056</v>
      </c>
      <c r="N309" t="s">
        <v>1119</v>
      </c>
      <c r="O309" t="s">
        <v>992</v>
      </c>
      <c r="P309" t="s">
        <v>1090</v>
      </c>
      <c r="Q309" t="b">
        <v>1</v>
      </c>
      <c r="R309" t="b">
        <v>0</v>
      </c>
      <c r="S309" t="s">
        <v>1099</v>
      </c>
      <c r="T309" t="s">
        <v>992</v>
      </c>
      <c r="U309" t="s">
        <v>1060</v>
      </c>
      <c r="V309" t="s">
        <v>995</v>
      </c>
      <c r="W309" t="s">
        <v>1034</v>
      </c>
      <c r="X309" t="s">
        <v>1424</v>
      </c>
    </row>
    <row r="310" spans="1:24" x14ac:dyDescent="0.25">
      <c r="A310" t="s">
        <v>42</v>
      </c>
      <c r="B310" t="s">
        <v>1843</v>
      </c>
      <c r="C310" t="s">
        <v>346</v>
      </c>
      <c r="D310" t="s">
        <v>992</v>
      </c>
      <c r="E310" t="s">
        <v>1013</v>
      </c>
      <c r="F310">
        <v>83956</v>
      </c>
      <c r="G310" t="s">
        <v>1085</v>
      </c>
      <c r="H310" t="s">
        <v>1844</v>
      </c>
      <c r="I310" t="s">
        <v>1828</v>
      </c>
      <c r="J310" t="s">
        <v>1423</v>
      </c>
      <c r="K310" t="s">
        <v>1094</v>
      </c>
      <c r="L310" t="s">
        <v>1095</v>
      </c>
      <c r="M310" t="s">
        <v>1028</v>
      </c>
      <c r="N310" t="s">
        <v>1096</v>
      </c>
      <c r="O310" t="s">
        <v>992</v>
      </c>
      <c r="P310" t="s">
        <v>1098</v>
      </c>
      <c r="Q310" t="b">
        <v>1</v>
      </c>
      <c r="R310" t="b">
        <v>0</v>
      </c>
      <c r="S310" t="s">
        <v>1032</v>
      </c>
      <c r="T310" t="s">
        <v>992</v>
      </c>
      <c r="U310" t="s">
        <v>1140</v>
      </c>
      <c r="V310" t="s">
        <v>995</v>
      </c>
      <c r="W310" t="s">
        <v>1034</v>
      </c>
      <c r="X310" t="s">
        <v>1845</v>
      </c>
    </row>
    <row r="311" spans="1:24" x14ac:dyDescent="0.25">
      <c r="A311" t="s">
        <v>42</v>
      </c>
      <c r="B311" t="s">
        <v>1846</v>
      </c>
      <c r="C311" t="s">
        <v>346</v>
      </c>
      <c r="D311" t="s">
        <v>992</v>
      </c>
      <c r="E311" t="s">
        <v>1015</v>
      </c>
      <c r="F311">
        <v>78566</v>
      </c>
      <c r="G311" t="s">
        <v>1085</v>
      </c>
      <c r="H311" t="s">
        <v>1847</v>
      </c>
      <c r="I311" t="s">
        <v>1828</v>
      </c>
      <c r="J311" t="s">
        <v>1423</v>
      </c>
      <c r="K311" t="s">
        <v>1103</v>
      </c>
      <c r="L311" t="s">
        <v>1104</v>
      </c>
      <c r="M311" t="s">
        <v>1028</v>
      </c>
      <c r="N311" t="s">
        <v>1105</v>
      </c>
      <c r="O311" t="s">
        <v>992</v>
      </c>
      <c r="P311" t="s">
        <v>1107</v>
      </c>
      <c r="Q311" t="b">
        <v>1</v>
      </c>
      <c r="R311" t="b">
        <v>0</v>
      </c>
      <c r="S311" t="s">
        <v>1032</v>
      </c>
      <c r="T311" t="s">
        <v>992</v>
      </c>
      <c r="U311" t="s">
        <v>1140</v>
      </c>
      <c r="V311" t="s">
        <v>995</v>
      </c>
      <c r="W311" t="s">
        <v>1034</v>
      </c>
      <c r="X311" t="s">
        <v>1848</v>
      </c>
    </row>
    <row r="312" spans="1:24" x14ac:dyDescent="0.25">
      <c r="A312" t="s">
        <v>42</v>
      </c>
      <c r="B312" t="s">
        <v>1849</v>
      </c>
      <c r="C312" t="s">
        <v>346</v>
      </c>
      <c r="D312" t="s">
        <v>992</v>
      </c>
      <c r="E312" t="s">
        <v>1017</v>
      </c>
      <c r="F312">
        <v>82430</v>
      </c>
      <c r="G312" t="s">
        <v>1085</v>
      </c>
      <c r="H312" t="s">
        <v>1850</v>
      </c>
      <c r="I312" t="s">
        <v>1828</v>
      </c>
      <c r="J312" t="s">
        <v>1423</v>
      </c>
      <c r="K312" t="s">
        <v>1110</v>
      </c>
      <c r="L312" t="s">
        <v>1111</v>
      </c>
      <c r="M312" t="s">
        <v>1028</v>
      </c>
      <c r="N312" t="s">
        <v>1112</v>
      </c>
      <c r="O312" t="s">
        <v>992</v>
      </c>
      <c r="P312" t="s">
        <v>1114</v>
      </c>
      <c r="Q312" t="b">
        <v>1</v>
      </c>
      <c r="R312" t="b">
        <v>0</v>
      </c>
      <c r="S312" t="s">
        <v>1032</v>
      </c>
      <c r="T312" t="s">
        <v>992</v>
      </c>
      <c r="U312" t="s">
        <v>1140</v>
      </c>
      <c r="V312" t="s">
        <v>995</v>
      </c>
      <c r="W312" t="s">
        <v>1034</v>
      </c>
      <c r="X312" t="s">
        <v>1851</v>
      </c>
    </row>
    <row r="313" spans="1:24" x14ac:dyDescent="0.25">
      <c r="A313" t="s">
        <v>42</v>
      </c>
      <c r="B313" t="s">
        <v>1852</v>
      </c>
      <c r="C313" t="s">
        <v>346</v>
      </c>
      <c r="D313" t="s">
        <v>992</v>
      </c>
      <c r="E313" t="s">
        <v>1019</v>
      </c>
      <c r="F313">
        <v>78328</v>
      </c>
      <c r="G313" t="s">
        <v>1085</v>
      </c>
      <c r="H313" t="s">
        <v>1853</v>
      </c>
      <c r="I313" t="s">
        <v>1828</v>
      </c>
      <c r="J313" t="s">
        <v>1423</v>
      </c>
      <c r="K313" t="s">
        <v>1132</v>
      </c>
      <c r="L313" t="s">
        <v>1133</v>
      </c>
      <c r="M313" t="s">
        <v>1028</v>
      </c>
      <c r="N313" t="s">
        <v>1134</v>
      </c>
      <c r="O313" t="s">
        <v>992</v>
      </c>
      <c r="P313" t="s">
        <v>1120</v>
      </c>
      <c r="Q313" t="b">
        <v>1</v>
      </c>
      <c r="R313" t="b">
        <v>0</v>
      </c>
      <c r="S313" t="s">
        <v>1032</v>
      </c>
      <c r="T313" t="s">
        <v>992</v>
      </c>
      <c r="U313" t="s">
        <v>1140</v>
      </c>
      <c r="V313" t="s">
        <v>995</v>
      </c>
      <c r="W313" t="s">
        <v>1034</v>
      </c>
      <c r="X313" t="s">
        <v>1854</v>
      </c>
    </row>
    <row r="314" spans="1:24" x14ac:dyDescent="0.25">
      <c r="A314" t="s">
        <v>42</v>
      </c>
      <c r="B314" t="s">
        <v>1855</v>
      </c>
      <c r="C314" t="s">
        <v>346</v>
      </c>
      <c r="E314" t="s">
        <v>1021</v>
      </c>
      <c r="F314">
        <v>76685</v>
      </c>
      <c r="G314" t="s">
        <v>1051</v>
      </c>
      <c r="H314" t="s">
        <v>1856</v>
      </c>
      <c r="I314" t="s">
        <v>1828</v>
      </c>
      <c r="J314" t="s">
        <v>1423</v>
      </c>
      <c r="K314" t="s">
        <v>1124</v>
      </c>
      <c r="L314" t="s">
        <v>1125</v>
      </c>
      <c r="M314" t="s">
        <v>1028</v>
      </c>
      <c r="N314" t="s">
        <v>1126</v>
      </c>
      <c r="O314" t="s">
        <v>992</v>
      </c>
      <c r="P314" t="s">
        <v>1128</v>
      </c>
      <c r="Q314" t="b">
        <v>1</v>
      </c>
      <c r="R314" t="b">
        <v>0</v>
      </c>
      <c r="S314" t="s">
        <v>1099</v>
      </c>
      <c r="T314" t="s">
        <v>992</v>
      </c>
      <c r="U314" t="s">
        <v>1060</v>
      </c>
      <c r="V314" t="s">
        <v>995</v>
      </c>
      <c r="W314" t="s">
        <v>1034</v>
      </c>
      <c r="X314" t="s">
        <v>1424</v>
      </c>
    </row>
    <row r="315" spans="1:24" x14ac:dyDescent="0.25">
      <c r="A315" t="s">
        <v>42</v>
      </c>
      <c r="B315" t="s">
        <v>1857</v>
      </c>
      <c r="C315" t="s">
        <v>346</v>
      </c>
      <c r="E315" t="s">
        <v>1130</v>
      </c>
      <c r="F315">
        <v>74404</v>
      </c>
      <c r="G315" t="s">
        <v>1051</v>
      </c>
      <c r="H315" t="s">
        <v>1858</v>
      </c>
      <c r="I315" t="s">
        <v>1828</v>
      </c>
      <c r="J315" t="s">
        <v>1423</v>
      </c>
      <c r="K315" t="s">
        <v>1132</v>
      </c>
      <c r="L315" t="s">
        <v>1133</v>
      </c>
      <c r="M315" t="s">
        <v>1028</v>
      </c>
      <c r="N315" t="s">
        <v>1134</v>
      </c>
      <c r="O315" t="s">
        <v>992</v>
      </c>
      <c r="P315" t="s">
        <v>1136</v>
      </c>
      <c r="Q315" t="b">
        <v>1</v>
      </c>
      <c r="R315" t="b">
        <v>0</v>
      </c>
      <c r="S315" t="s">
        <v>1099</v>
      </c>
      <c r="T315" t="s">
        <v>992</v>
      </c>
      <c r="U315" t="s">
        <v>1060</v>
      </c>
      <c r="V315" t="s">
        <v>995</v>
      </c>
      <c r="W315" t="s">
        <v>1034</v>
      </c>
      <c r="X315" t="s">
        <v>1424</v>
      </c>
    </row>
    <row r="316" spans="1:24" x14ac:dyDescent="0.25">
      <c r="A316" t="s">
        <v>42</v>
      </c>
      <c r="B316" t="s">
        <v>1859</v>
      </c>
      <c r="C316" t="s">
        <v>347</v>
      </c>
      <c r="D316" t="s">
        <v>992</v>
      </c>
      <c r="E316" t="s">
        <v>990</v>
      </c>
      <c r="F316">
        <v>0</v>
      </c>
      <c r="G316" t="s">
        <v>1085</v>
      </c>
      <c r="H316" t="s">
        <v>1860</v>
      </c>
      <c r="I316" t="s">
        <v>1861</v>
      </c>
      <c r="J316" t="s">
        <v>1423</v>
      </c>
      <c r="K316" t="s">
        <v>992</v>
      </c>
      <c r="L316" t="s">
        <v>992</v>
      </c>
      <c r="M316" t="s">
        <v>992</v>
      </c>
      <c r="N316" t="s">
        <v>992</v>
      </c>
      <c r="O316" t="s">
        <v>992</v>
      </c>
      <c r="P316" t="s">
        <v>992</v>
      </c>
      <c r="Q316" t="b">
        <v>1</v>
      </c>
      <c r="R316" t="b">
        <v>0</v>
      </c>
      <c r="S316" t="s">
        <v>1032</v>
      </c>
      <c r="T316" t="s">
        <v>992</v>
      </c>
      <c r="U316" t="s">
        <v>1140</v>
      </c>
      <c r="V316" t="s">
        <v>1061</v>
      </c>
      <c r="W316" t="s">
        <v>1207</v>
      </c>
      <c r="X316" t="s">
        <v>1862</v>
      </c>
    </row>
    <row r="317" spans="1:24" x14ac:dyDescent="0.25">
      <c r="A317" t="s">
        <v>42</v>
      </c>
      <c r="B317" t="s">
        <v>1863</v>
      </c>
      <c r="C317" t="s">
        <v>347</v>
      </c>
      <c r="D317" t="s">
        <v>992</v>
      </c>
      <c r="E317" t="s">
        <v>999</v>
      </c>
      <c r="F317">
        <v>0</v>
      </c>
      <c r="G317" t="s">
        <v>1085</v>
      </c>
      <c r="H317" t="s">
        <v>1860</v>
      </c>
      <c r="I317" t="s">
        <v>1861</v>
      </c>
      <c r="J317" t="s">
        <v>1423</v>
      </c>
      <c r="K317" t="s">
        <v>992</v>
      </c>
      <c r="L317" t="s">
        <v>992</v>
      </c>
      <c r="M317" t="s">
        <v>992</v>
      </c>
      <c r="N317" t="s">
        <v>992</v>
      </c>
      <c r="O317" t="s">
        <v>992</v>
      </c>
      <c r="P317" t="s">
        <v>992</v>
      </c>
      <c r="Q317" t="b">
        <v>1</v>
      </c>
      <c r="R317" t="b">
        <v>0</v>
      </c>
      <c r="S317" t="s">
        <v>1032</v>
      </c>
      <c r="T317" t="s">
        <v>992</v>
      </c>
      <c r="U317" t="s">
        <v>1140</v>
      </c>
      <c r="V317" t="s">
        <v>1061</v>
      </c>
      <c r="W317" t="s">
        <v>1207</v>
      </c>
      <c r="X317" t="s">
        <v>1864</v>
      </c>
    </row>
    <row r="318" spans="1:24" x14ac:dyDescent="0.25">
      <c r="A318" t="s">
        <v>42</v>
      </c>
      <c r="B318" t="s">
        <v>1865</v>
      </c>
      <c r="C318" t="s">
        <v>347</v>
      </c>
      <c r="D318" t="s">
        <v>992</v>
      </c>
      <c r="E318" t="s">
        <v>1001</v>
      </c>
      <c r="F318">
        <v>0</v>
      </c>
      <c r="G318" t="s">
        <v>1085</v>
      </c>
      <c r="H318" t="s">
        <v>1860</v>
      </c>
      <c r="I318" t="s">
        <v>1861</v>
      </c>
      <c r="J318" t="s">
        <v>1423</v>
      </c>
      <c r="K318" t="s">
        <v>992</v>
      </c>
      <c r="L318" t="s">
        <v>992</v>
      </c>
      <c r="M318" t="s">
        <v>992</v>
      </c>
      <c r="N318" t="s">
        <v>992</v>
      </c>
      <c r="O318" t="s">
        <v>992</v>
      </c>
      <c r="P318" t="s">
        <v>992</v>
      </c>
      <c r="Q318" t="b">
        <v>1</v>
      </c>
      <c r="R318" t="b">
        <v>0</v>
      </c>
      <c r="S318" t="s">
        <v>1032</v>
      </c>
      <c r="T318" t="s">
        <v>992</v>
      </c>
      <c r="U318" t="s">
        <v>1140</v>
      </c>
      <c r="V318" t="s">
        <v>1061</v>
      </c>
      <c r="W318" t="s">
        <v>1207</v>
      </c>
      <c r="X318" t="s">
        <v>1866</v>
      </c>
    </row>
    <row r="319" spans="1:24" x14ac:dyDescent="0.25">
      <c r="A319" t="s">
        <v>42</v>
      </c>
      <c r="B319" t="s">
        <v>1867</v>
      </c>
      <c r="C319" t="s">
        <v>347</v>
      </c>
      <c r="D319" t="s">
        <v>992</v>
      </c>
      <c r="E319" t="s">
        <v>1003</v>
      </c>
      <c r="F319">
        <v>0</v>
      </c>
      <c r="G319" t="s">
        <v>1085</v>
      </c>
      <c r="H319" t="s">
        <v>1860</v>
      </c>
      <c r="I319" t="s">
        <v>1861</v>
      </c>
      <c r="J319" t="s">
        <v>1423</v>
      </c>
      <c r="K319" t="s">
        <v>992</v>
      </c>
      <c r="L319" t="s">
        <v>992</v>
      </c>
      <c r="M319" t="s">
        <v>992</v>
      </c>
      <c r="N319" t="s">
        <v>992</v>
      </c>
      <c r="O319" t="s">
        <v>992</v>
      </c>
      <c r="P319" t="s">
        <v>992</v>
      </c>
      <c r="Q319" t="b">
        <v>1</v>
      </c>
      <c r="R319" t="b">
        <v>0</v>
      </c>
      <c r="S319" t="s">
        <v>1032</v>
      </c>
      <c r="T319" t="s">
        <v>992</v>
      </c>
      <c r="U319" t="s">
        <v>1140</v>
      </c>
      <c r="V319" t="s">
        <v>1061</v>
      </c>
      <c r="W319" t="s">
        <v>1207</v>
      </c>
      <c r="X319" t="s">
        <v>1868</v>
      </c>
    </row>
    <row r="320" spans="1:24" x14ac:dyDescent="0.25">
      <c r="A320" t="s">
        <v>42</v>
      </c>
      <c r="B320" t="s">
        <v>1869</v>
      </c>
      <c r="C320" t="s">
        <v>347</v>
      </c>
      <c r="D320" t="s">
        <v>992</v>
      </c>
      <c r="E320" t="s">
        <v>1005</v>
      </c>
      <c r="F320">
        <v>0</v>
      </c>
      <c r="G320" t="s">
        <v>1085</v>
      </c>
      <c r="H320" t="s">
        <v>1860</v>
      </c>
      <c r="I320" t="s">
        <v>1861</v>
      </c>
      <c r="J320" t="s">
        <v>1423</v>
      </c>
      <c r="K320" t="s">
        <v>992</v>
      </c>
      <c r="L320" t="s">
        <v>992</v>
      </c>
      <c r="M320" t="s">
        <v>992</v>
      </c>
      <c r="N320" t="s">
        <v>992</v>
      </c>
      <c r="O320" t="s">
        <v>992</v>
      </c>
      <c r="P320" t="s">
        <v>992</v>
      </c>
      <c r="Q320" t="b">
        <v>1</v>
      </c>
      <c r="R320" t="b">
        <v>0</v>
      </c>
      <c r="S320" t="s">
        <v>1032</v>
      </c>
      <c r="T320" t="s">
        <v>992</v>
      </c>
      <c r="U320" t="s">
        <v>1140</v>
      </c>
      <c r="V320" t="s">
        <v>1061</v>
      </c>
      <c r="W320" t="s">
        <v>1207</v>
      </c>
      <c r="X320" t="s">
        <v>1870</v>
      </c>
    </row>
    <row r="321" spans="1:24" x14ac:dyDescent="0.25">
      <c r="A321" t="s">
        <v>42</v>
      </c>
      <c r="B321" t="s">
        <v>1871</v>
      </c>
      <c r="C321" t="s">
        <v>347</v>
      </c>
      <c r="D321" t="s">
        <v>992</v>
      </c>
      <c r="E321" t="s">
        <v>1007</v>
      </c>
      <c r="F321">
        <v>0</v>
      </c>
      <c r="G321" t="s">
        <v>1085</v>
      </c>
      <c r="H321" t="s">
        <v>1860</v>
      </c>
      <c r="I321" t="s">
        <v>1861</v>
      </c>
      <c r="J321" t="s">
        <v>1423</v>
      </c>
      <c r="K321" t="s">
        <v>992</v>
      </c>
      <c r="L321" t="s">
        <v>992</v>
      </c>
      <c r="M321" t="s">
        <v>992</v>
      </c>
      <c r="N321" t="s">
        <v>992</v>
      </c>
      <c r="O321" t="s">
        <v>992</v>
      </c>
      <c r="P321" t="s">
        <v>992</v>
      </c>
      <c r="Q321" t="b">
        <v>1</v>
      </c>
      <c r="R321" t="b">
        <v>0</v>
      </c>
      <c r="S321" t="s">
        <v>1032</v>
      </c>
      <c r="T321" t="s">
        <v>992</v>
      </c>
      <c r="U321" t="s">
        <v>1140</v>
      </c>
      <c r="V321" t="s">
        <v>1061</v>
      </c>
      <c r="W321" t="s">
        <v>1207</v>
      </c>
      <c r="X321" t="s">
        <v>1872</v>
      </c>
    </row>
    <row r="322" spans="1:24" x14ac:dyDescent="0.25">
      <c r="A322" t="s">
        <v>42</v>
      </c>
      <c r="B322" t="s">
        <v>1873</v>
      </c>
      <c r="C322" t="s">
        <v>347</v>
      </c>
      <c r="D322" t="s">
        <v>992</v>
      </c>
      <c r="E322" t="s">
        <v>1009</v>
      </c>
      <c r="F322">
        <v>0</v>
      </c>
      <c r="G322" t="s">
        <v>1085</v>
      </c>
      <c r="H322" t="s">
        <v>1860</v>
      </c>
      <c r="I322" t="s">
        <v>1861</v>
      </c>
      <c r="J322" t="s">
        <v>1423</v>
      </c>
      <c r="K322" t="s">
        <v>992</v>
      </c>
      <c r="L322" t="s">
        <v>992</v>
      </c>
      <c r="M322" t="s">
        <v>992</v>
      </c>
      <c r="N322" t="s">
        <v>992</v>
      </c>
      <c r="O322" t="s">
        <v>992</v>
      </c>
      <c r="P322" t="s">
        <v>992</v>
      </c>
      <c r="Q322" t="b">
        <v>1</v>
      </c>
      <c r="R322" t="b">
        <v>0</v>
      </c>
      <c r="S322" t="s">
        <v>1032</v>
      </c>
      <c r="T322" t="s">
        <v>992</v>
      </c>
      <c r="U322" t="s">
        <v>1140</v>
      </c>
      <c r="V322" t="s">
        <v>1061</v>
      </c>
      <c r="W322" t="s">
        <v>1207</v>
      </c>
      <c r="X322" t="s">
        <v>1874</v>
      </c>
    </row>
    <row r="323" spans="1:24" x14ac:dyDescent="0.25">
      <c r="A323" t="s">
        <v>42</v>
      </c>
      <c r="B323" t="s">
        <v>1875</v>
      </c>
      <c r="C323" t="s">
        <v>347</v>
      </c>
      <c r="D323" t="s">
        <v>992</v>
      </c>
      <c r="E323" t="s">
        <v>1011</v>
      </c>
      <c r="F323">
        <v>0</v>
      </c>
      <c r="G323" t="s">
        <v>1085</v>
      </c>
      <c r="H323" t="s">
        <v>1860</v>
      </c>
      <c r="I323" t="s">
        <v>1861</v>
      </c>
      <c r="J323" t="s">
        <v>1423</v>
      </c>
      <c r="K323" t="s">
        <v>992</v>
      </c>
      <c r="L323" t="s">
        <v>992</v>
      </c>
      <c r="M323" t="s">
        <v>992</v>
      </c>
      <c r="N323" t="s">
        <v>992</v>
      </c>
      <c r="O323" t="s">
        <v>992</v>
      </c>
      <c r="P323" t="s">
        <v>992</v>
      </c>
      <c r="Q323" t="b">
        <v>1</v>
      </c>
      <c r="R323" t="b">
        <v>0</v>
      </c>
      <c r="S323" t="s">
        <v>1032</v>
      </c>
      <c r="T323" t="s">
        <v>992</v>
      </c>
      <c r="U323" t="s">
        <v>1140</v>
      </c>
      <c r="V323" t="s">
        <v>1061</v>
      </c>
      <c r="W323" t="s">
        <v>1207</v>
      </c>
      <c r="X323" t="s">
        <v>1876</v>
      </c>
    </row>
    <row r="324" spans="1:24" x14ac:dyDescent="0.25">
      <c r="A324" t="s">
        <v>42</v>
      </c>
      <c r="B324" t="s">
        <v>1877</v>
      </c>
      <c r="C324" t="s">
        <v>347</v>
      </c>
      <c r="D324" t="s">
        <v>992</v>
      </c>
      <c r="E324" t="s">
        <v>1013</v>
      </c>
      <c r="F324">
        <v>0</v>
      </c>
      <c r="G324" t="s">
        <v>1085</v>
      </c>
      <c r="H324" t="s">
        <v>1860</v>
      </c>
      <c r="I324" t="s">
        <v>1861</v>
      </c>
      <c r="J324" t="s">
        <v>1423</v>
      </c>
      <c r="K324" t="s">
        <v>992</v>
      </c>
      <c r="L324" t="s">
        <v>992</v>
      </c>
      <c r="M324" t="s">
        <v>992</v>
      </c>
      <c r="N324" t="s">
        <v>992</v>
      </c>
      <c r="O324" t="s">
        <v>992</v>
      </c>
      <c r="P324" t="s">
        <v>992</v>
      </c>
      <c r="Q324" t="b">
        <v>1</v>
      </c>
      <c r="R324" t="b">
        <v>0</v>
      </c>
      <c r="S324" t="s">
        <v>1032</v>
      </c>
      <c r="T324" t="s">
        <v>992</v>
      </c>
      <c r="U324" t="s">
        <v>1140</v>
      </c>
      <c r="V324" t="s">
        <v>1061</v>
      </c>
      <c r="W324" t="s">
        <v>1207</v>
      </c>
      <c r="X324" t="s">
        <v>1878</v>
      </c>
    </row>
    <row r="325" spans="1:24" x14ac:dyDescent="0.25">
      <c r="A325" t="s">
        <v>42</v>
      </c>
      <c r="B325" t="s">
        <v>1879</v>
      </c>
      <c r="C325" t="s">
        <v>347</v>
      </c>
      <c r="D325" t="s">
        <v>992</v>
      </c>
      <c r="E325" t="s">
        <v>1015</v>
      </c>
      <c r="F325">
        <v>0</v>
      </c>
      <c r="G325" t="s">
        <v>1085</v>
      </c>
      <c r="H325" t="s">
        <v>1860</v>
      </c>
      <c r="I325" t="s">
        <v>1861</v>
      </c>
      <c r="J325" t="s">
        <v>1423</v>
      </c>
      <c r="K325" t="s">
        <v>992</v>
      </c>
      <c r="L325" t="s">
        <v>992</v>
      </c>
      <c r="M325" t="s">
        <v>992</v>
      </c>
      <c r="N325" t="s">
        <v>992</v>
      </c>
      <c r="O325" t="s">
        <v>992</v>
      </c>
      <c r="P325" t="s">
        <v>992</v>
      </c>
      <c r="Q325" t="b">
        <v>1</v>
      </c>
      <c r="R325" t="b">
        <v>0</v>
      </c>
      <c r="S325" t="s">
        <v>1032</v>
      </c>
      <c r="T325" t="s">
        <v>992</v>
      </c>
      <c r="U325" t="s">
        <v>1140</v>
      </c>
      <c r="V325" t="s">
        <v>1061</v>
      </c>
      <c r="W325" t="s">
        <v>1207</v>
      </c>
      <c r="X325" t="s">
        <v>1880</v>
      </c>
    </row>
    <row r="326" spans="1:24" x14ac:dyDescent="0.25">
      <c r="A326" t="s">
        <v>42</v>
      </c>
      <c r="B326" t="s">
        <v>1881</v>
      </c>
      <c r="C326" t="s">
        <v>347</v>
      </c>
      <c r="D326" t="s">
        <v>992</v>
      </c>
      <c r="E326" t="s">
        <v>1017</v>
      </c>
      <c r="F326">
        <v>0</v>
      </c>
      <c r="G326" t="s">
        <v>1085</v>
      </c>
      <c r="H326" t="s">
        <v>1860</v>
      </c>
      <c r="I326" t="s">
        <v>1861</v>
      </c>
      <c r="J326" t="s">
        <v>1423</v>
      </c>
      <c r="K326" t="s">
        <v>992</v>
      </c>
      <c r="L326" t="s">
        <v>992</v>
      </c>
      <c r="M326" t="s">
        <v>992</v>
      </c>
      <c r="N326" t="s">
        <v>992</v>
      </c>
      <c r="O326" t="s">
        <v>992</v>
      </c>
      <c r="P326" t="s">
        <v>992</v>
      </c>
      <c r="Q326" t="b">
        <v>1</v>
      </c>
      <c r="R326" t="b">
        <v>0</v>
      </c>
      <c r="S326" t="s">
        <v>1032</v>
      </c>
      <c r="T326" t="s">
        <v>992</v>
      </c>
      <c r="U326" t="s">
        <v>1140</v>
      </c>
      <c r="V326" t="s">
        <v>1061</v>
      </c>
      <c r="W326" t="s">
        <v>1207</v>
      </c>
      <c r="X326" t="s">
        <v>1882</v>
      </c>
    </row>
    <row r="327" spans="1:24" x14ac:dyDescent="0.25">
      <c r="A327" t="s">
        <v>42</v>
      </c>
      <c r="B327" t="s">
        <v>1883</v>
      </c>
      <c r="C327" t="s">
        <v>347</v>
      </c>
      <c r="D327" t="s">
        <v>992</v>
      </c>
      <c r="E327" t="s">
        <v>1019</v>
      </c>
      <c r="F327">
        <v>0</v>
      </c>
      <c r="G327" t="s">
        <v>1085</v>
      </c>
      <c r="H327" t="s">
        <v>1860</v>
      </c>
      <c r="I327" t="s">
        <v>1861</v>
      </c>
      <c r="J327" t="s">
        <v>1423</v>
      </c>
      <c r="K327" t="s">
        <v>992</v>
      </c>
      <c r="L327" t="s">
        <v>992</v>
      </c>
      <c r="M327" t="s">
        <v>992</v>
      </c>
      <c r="N327" t="s">
        <v>992</v>
      </c>
      <c r="O327" t="s">
        <v>992</v>
      </c>
      <c r="P327" t="s">
        <v>992</v>
      </c>
      <c r="Q327" t="b">
        <v>1</v>
      </c>
      <c r="R327" t="b">
        <v>0</v>
      </c>
      <c r="S327" t="s">
        <v>1032</v>
      </c>
      <c r="T327" t="s">
        <v>992</v>
      </c>
      <c r="U327" t="s">
        <v>1140</v>
      </c>
      <c r="V327" t="s">
        <v>1061</v>
      </c>
      <c r="W327" t="s">
        <v>1207</v>
      </c>
      <c r="X327" t="s">
        <v>1884</v>
      </c>
    </row>
    <row r="328" spans="1:24" x14ac:dyDescent="0.25">
      <c r="A328" t="s">
        <v>42</v>
      </c>
      <c r="B328" t="s">
        <v>1885</v>
      </c>
      <c r="C328" t="s">
        <v>347</v>
      </c>
      <c r="D328" t="s">
        <v>992</v>
      </c>
      <c r="E328" t="s">
        <v>1021</v>
      </c>
      <c r="F328">
        <v>0</v>
      </c>
      <c r="G328" t="s">
        <v>1085</v>
      </c>
      <c r="H328" t="s">
        <v>1860</v>
      </c>
      <c r="I328" t="s">
        <v>1861</v>
      </c>
      <c r="J328" t="s">
        <v>1423</v>
      </c>
      <c r="K328" t="s">
        <v>992</v>
      </c>
      <c r="L328" t="s">
        <v>992</v>
      </c>
      <c r="M328" t="s">
        <v>992</v>
      </c>
      <c r="N328" t="s">
        <v>992</v>
      </c>
      <c r="O328" t="s">
        <v>992</v>
      </c>
      <c r="P328" t="s">
        <v>992</v>
      </c>
      <c r="Q328" t="b">
        <v>1</v>
      </c>
      <c r="R328" t="b">
        <v>0</v>
      </c>
      <c r="S328" t="s">
        <v>1032</v>
      </c>
      <c r="T328" t="s">
        <v>992</v>
      </c>
      <c r="U328" t="s">
        <v>1140</v>
      </c>
      <c r="V328" t="s">
        <v>1061</v>
      </c>
      <c r="W328" t="s">
        <v>1207</v>
      </c>
      <c r="X328" t="s">
        <v>1886</v>
      </c>
    </row>
    <row r="329" spans="1:24" x14ac:dyDescent="0.25">
      <c r="A329" t="s">
        <v>42</v>
      </c>
      <c r="B329" t="s">
        <v>1887</v>
      </c>
      <c r="C329" t="s">
        <v>347</v>
      </c>
      <c r="D329" t="s">
        <v>992</v>
      </c>
      <c r="E329" t="s">
        <v>1130</v>
      </c>
      <c r="F329">
        <v>0</v>
      </c>
      <c r="G329" t="s">
        <v>1085</v>
      </c>
      <c r="H329" t="s">
        <v>1860</v>
      </c>
      <c r="I329" t="s">
        <v>1861</v>
      </c>
      <c r="J329" t="s">
        <v>1423</v>
      </c>
      <c r="K329" t="s">
        <v>992</v>
      </c>
      <c r="L329" t="s">
        <v>992</v>
      </c>
      <c r="M329" t="s">
        <v>992</v>
      </c>
      <c r="N329" t="s">
        <v>992</v>
      </c>
      <c r="O329" t="s">
        <v>992</v>
      </c>
      <c r="P329" t="s">
        <v>992</v>
      </c>
      <c r="Q329" t="b">
        <v>1</v>
      </c>
      <c r="R329" t="b">
        <v>0</v>
      </c>
      <c r="S329" t="s">
        <v>1032</v>
      </c>
      <c r="T329" t="s">
        <v>992</v>
      </c>
      <c r="U329" t="s">
        <v>1140</v>
      </c>
      <c r="V329" t="s">
        <v>1061</v>
      </c>
      <c r="W329" t="s">
        <v>1207</v>
      </c>
      <c r="X329" t="s">
        <v>1888</v>
      </c>
    </row>
    <row r="330" spans="1:24" x14ac:dyDescent="0.25">
      <c r="A330" t="s">
        <v>42</v>
      </c>
      <c r="B330" t="s">
        <v>1889</v>
      </c>
      <c r="C330" t="s">
        <v>348</v>
      </c>
      <c r="E330" t="s">
        <v>990</v>
      </c>
      <c r="F330">
        <v>53107</v>
      </c>
      <c r="G330" t="s">
        <v>1051</v>
      </c>
      <c r="H330" t="s">
        <v>1890</v>
      </c>
      <c r="I330" t="s">
        <v>1891</v>
      </c>
      <c r="J330" t="s">
        <v>1423</v>
      </c>
      <c r="K330" t="s">
        <v>1026</v>
      </c>
      <c r="L330" t="s">
        <v>1027</v>
      </c>
      <c r="M330" t="s">
        <v>1028</v>
      </c>
      <c r="N330" t="s">
        <v>1029</v>
      </c>
      <c r="O330" t="s">
        <v>992</v>
      </c>
      <c r="P330" t="s">
        <v>1031</v>
      </c>
      <c r="Q330" t="b">
        <v>1</v>
      </c>
      <c r="R330" t="b">
        <v>0</v>
      </c>
      <c r="S330" t="s">
        <v>1099</v>
      </c>
      <c r="T330" t="s">
        <v>992</v>
      </c>
      <c r="U330" t="s">
        <v>1060</v>
      </c>
      <c r="V330" t="s">
        <v>995</v>
      </c>
      <c r="W330" t="s">
        <v>1034</v>
      </c>
      <c r="X330" t="s">
        <v>1424</v>
      </c>
    </row>
    <row r="331" spans="1:24" x14ac:dyDescent="0.25">
      <c r="A331" t="s">
        <v>42</v>
      </c>
      <c r="B331" t="s">
        <v>1892</v>
      </c>
      <c r="C331" t="s">
        <v>348</v>
      </c>
      <c r="E331" t="s">
        <v>999</v>
      </c>
      <c r="F331">
        <v>52886</v>
      </c>
      <c r="G331" t="s">
        <v>1051</v>
      </c>
      <c r="H331" t="s">
        <v>1893</v>
      </c>
      <c r="I331" t="s">
        <v>1891</v>
      </c>
      <c r="J331" t="s">
        <v>1423</v>
      </c>
      <c r="K331" t="s">
        <v>1038</v>
      </c>
      <c r="L331" t="s">
        <v>1039</v>
      </c>
      <c r="M331" t="s">
        <v>1028</v>
      </c>
      <c r="N331" t="s">
        <v>1040</v>
      </c>
      <c r="O331" t="s">
        <v>992</v>
      </c>
      <c r="P331" t="s">
        <v>1042</v>
      </c>
      <c r="Q331" t="b">
        <v>1</v>
      </c>
      <c r="R331" t="b">
        <v>0</v>
      </c>
      <c r="S331" t="s">
        <v>1099</v>
      </c>
      <c r="T331" t="s">
        <v>992</v>
      </c>
      <c r="U331" t="s">
        <v>1060</v>
      </c>
      <c r="V331" t="s">
        <v>995</v>
      </c>
      <c r="W331" t="s">
        <v>1034</v>
      </c>
      <c r="X331" t="s">
        <v>1424</v>
      </c>
    </row>
    <row r="332" spans="1:24" x14ac:dyDescent="0.25">
      <c r="A332" t="s">
        <v>42</v>
      </c>
      <c r="B332" t="s">
        <v>1894</v>
      </c>
      <c r="C332" t="s">
        <v>348</v>
      </c>
      <c r="E332" t="s">
        <v>1001</v>
      </c>
      <c r="F332">
        <v>51730</v>
      </c>
      <c r="G332" t="s">
        <v>1051</v>
      </c>
      <c r="H332" t="s">
        <v>1895</v>
      </c>
      <c r="I332" t="s">
        <v>1891</v>
      </c>
      <c r="J332" t="s">
        <v>1423</v>
      </c>
      <c r="K332" t="s">
        <v>1045</v>
      </c>
      <c r="L332" t="s">
        <v>1046</v>
      </c>
      <c r="M332" t="s">
        <v>1028</v>
      </c>
      <c r="N332" t="s">
        <v>1047</v>
      </c>
      <c r="O332" t="s">
        <v>992</v>
      </c>
      <c r="P332" t="s">
        <v>1049</v>
      </c>
      <c r="Q332" t="b">
        <v>1</v>
      </c>
      <c r="R332" t="b">
        <v>0</v>
      </c>
      <c r="S332" t="s">
        <v>1099</v>
      </c>
      <c r="T332" t="s">
        <v>992</v>
      </c>
      <c r="U332" t="s">
        <v>1060</v>
      </c>
      <c r="V332" t="s">
        <v>995</v>
      </c>
      <c r="W332" t="s">
        <v>1034</v>
      </c>
      <c r="X332" t="s">
        <v>1424</v>
      </c>
    </row>
    <row r="333" spans="1:24" x14ac:dyDescent="0.25">
      <c r="A333" t="s">
        <v>42</v>
      </c>
      <c r="B333" t="s">
        <v>1896</v>
      </c>
      <c r="C333" t="s">
        <v>348</v>
      </c>
      <c r="E333" t="s">
        <v>1003</v>
      </c>
      <c r="F333">
        <v>49848</v>
      </c>
      <c r="G333" t="s">
        <v>1051</v>
      </c>
      <c r="H333" t="s">
        <v>1897</v>
      </c>
      <c r="I333" t="s">
        <v>1891</v>
      </c>
      <c r="J333" t="s">
        <v>1423</v>
      </c>
      <c r="K333" t="s">
        <v>1087</v>
      </c>
      <c r="L333" t="s">
        <v>1088</v>
      </c>
      <c r="M333" t="s">
        <v>1056</v>
      </c>
      <c r="N333" t="s">
        <v>1089</v>
      </c>
      <c r="O333" t="s">
        <v>992</v>
      </c>
      <c r="P333" t="s">
        <v>1058</v>
      </c>
      <c r="Q333" t="b">
        <v>1</v>
      </c>
      <c r="R333" t="b">
        <v>0</v>
      </c>
      <c r="S333" t="s">
        <v>1099</v>
      </c>
      <c r="T333" t="s">
        <v>992</v>
      </c>
      <c r="U333" t="s">
        <v>1060</v>
      </c>
      <c r="V333" t="s">
        <v>995</v>
      </c>
      <c r="W333" t="s">
        <v>1034</v>
      </c>
      <c r="X333" t="s">
        <v>1424</v>
      </c>
    </row>
    <row r="334" spans="1:24" x14ac:dyDescent="0.25">
      <c r="A334" t="s">
        <v>42</v>
      </c>
      <c r="B334" t="s">
        <v>1898</v>
      </c>
      <c r="C334" t="s">
        <v>348</v>
      </c>
      <c r="E334" t="s">
        <v>1005</v>
      </c>
      <c r="F334">
        <v>50353</v>
      </c>
      <c r="G334" t="s">
        <v>1051</v>
      </c>
      <c r="H334" t="s">
        <v>1899</v>
      </c>
      <c r="I334" t="s">
        <v>1891</v>
      </c>
      <c r="J334" t="s">
        <v>1423</v>
      </c>
      <c r="K334" t="s">
        <v>1065</v>
      </c>
      <c r="L334" t="s">
        <v>1066</v>
      </c>
      <c r="M334" t="s">
        <v>1028</v>
      </c>
      <c r="N334" t="s">
        <v>1067</v>
      </c>
      <c r="O334" t="s">
        <v>992</v>
      </c>
      <c r="P334" t="s">
        <v>1069</v>
      </c>
      <c r="Q334" t="b">
        <v>1</v>
      </c>
      <c r="R334" t="b">
        <v>0</v>
      </c>
      <c r="S334" t="s">
        <v>1099</v>
      </c>
      <c r="T334" t="s">
        <v>992</v>
      </c>
      <c r="U334" t="s">
        <v>1060</v>
      </c>
      <c r="V334" t="s">
        <v>995</v>
      </c>
      <c r="W334" t="s">
        <v>1034</v>
      </c>
      <c r="X334" t="s">
        <v>1424</v>
      </c>
    </row>
    <row r="335" spans="1:24" x14ac:dyDescent="0.25">
      <c r="A335" t="s">
        <v>42</v>
      </c>
      <c r="B335" t="s">
        <v>1900</v>
      </c>
      <c r="C335" t="s">
        <v>348</v>
      </c>
      <c r="E335" t="s">
        <v>1007</v>
      </c>
      <c r="F335">
        <v>47564</v>
      </c>
      <c r="G335" t="s">
        <v>1051</v>
      </c>
      <c r="H335" t="s">
        <v>1901</v>
      </c>
      <c r="I335" t="s">
        <v>1891</v>
      </c>
      <c r="J335" t="s">
        <v>1423</v>
      </c>
      <c r="K335" t="s">
        <v>1072</v>
      </c>
      <c r="L335" t="s">
        <v>1073</v>
      </c>
      <c r="M335" t="s">
        <v>1028</v>
      </c>
      <c r="N335" t="s">
        <v>1074</v>
      </c>
      <c r="O335" t="s">
        <v>992</v>
      </c>
      <c r="P335" t="s">
        <v>1076</v>
      </c>
      <c r="Q335" t="b">
        <v>1</v>
      </c>
      <c r="R335" t="b">
        <v>0</v>
      </c>
      <c r="S335" t="s">
        <v>1099</v>
      </c>
      <c r="T335" t="s">
        <v>992</v>
      </c>
      <c r="U335" t="s">
        <v>1060</v>
      </c>
      <c r="V335" t="s">
        <v>995</v>
      </c>
      <c r="W335" t="s">
        <v>1034</v>
      </c>
      <c r="X335" t="s">
        <v>1424</v>
      </c>
    </row>
    <row r="336" spans="1:24" x14ac:dyDescent="0.25">
      <c r="A336" t="s">
        <v>42</v>
      </c>
      <c r="B336" t="s">
        <v>1902</v>
      </c>
      <c r="C336" t="s">
        <v>348</v>
      </c>
      <c r="E336" t="s">
        <v>1009</v>
      </c>
      <c r="F336">
        <v>47084</v>
      </c>
      <c r="G336" t="s">
        <v>1051</v>
      </c>
      <c r="H336" t="s">
        <v>1903</v>
      </c>
      <c r="I336" t="s">
        <v>1891</v>
      </c>
      <c r="J336" t="s">
        <v>1423</v>
      </c>
      <c r="K336" t="s">
        <v>1079</v>
      </c>
      <c r="L336" t="s">
        <v>1080</v>
      </c>
      <c r="M336" t="s">
        <v>1028</v>
      </c>
      <c r="N336" t="s">
        <v>1081</v>
      </c>
      <c r="O336" t="s">
        <v>992</v>
      </c>
      <c r="P336" t="s">
        <v>1083</v>
      </c>
      <c r="Q336" t="b">
        <v>1</v>
      </c>
      <c r="R336" t="b">
        <v>0</v>
      </c>
      <c r="S336" t="s">
        <v>1099</v>
      </c>
      <c r="T336" t="s">
        <v>992</v>
      </c>
      <c r="U336" t="s">
        <v>1060</v>
      </c>
      <c r="V336" t="s">
        <v>995</v>
      </c>
      <c r="W336" t="s">
        <v>1034</v>
      </c>
      <c r="X336" t="s">
        <v>1424</v>
      </c>
    </row>
    <row r="337" spans="1:24" x14ac:dyDescent="0.25">
      <c r="A337" t="s">
        <v>42</v>
      </c>
      <c r="B337" t="s">
        <v>1904</v>
      </c>
      <c r="C337" t="s">
        <v>348</v>
      </c>
      <c r="E337" t="s">
        <v>1011</v>
      </c>
      <c r="F337">
        <v>45888</v>
      </c>
      <c r="G337" t="s">
        <v>1051</v>
      </c>
      <c r="H337" t="s">
        <v>1905</v>
      </c>
      <c r="I337" t="s">
        <v>1891</v>
      </c>
      <c r="J337" t="s">
        <v>1423</v>
      </c>
      <c r="K337" t="s">
        <v>1117</v>
      </c>
      <c r="L337" t="s">
        <v>1118</v>
      </c>
      <c r="M337" t="s">
        <v>1056</v>
      </c>
      <c r="N337" t="s">
        <v>1119</v>
      </c>
      <c r="O337" t="s">
        <v>992</v>
      </c>
      <c r="P337" t="s">
        <v>1090</v>
      </c>
      <c r="Q337" t="b">
        <v>1</v>
      </c>
      <c r="R337" t="b">
        <v>0</v>
      </c>
      <c r="S337" t="s">
        <v>1099</v>
      </c>
      <c r="T337" t="s">
        <v>992</v>
      </c>
      <c r="U337" t="s">
        <v>1060</v>
      </c>
      <c r="V337" t="s">
        <v>995</v>
      </c>
      <c r="W337" t="s">
        <v>1034</v>
      </c>
      <c r="X337" t="s">
        <v>1424</v>
      </c>
    </row>
    <row r="338" spans="1:24" x14ac:dyDescent="0.25">
      <c r="A338" t="s">
        <v>42</v>
      </c>
      <c r="B338" t="s">
        <v>1906</v>
      </c>
      <c r="C338" t="s">
        <v>348</v>
      </c>
      <c r="D338" t="s">
        <v>992</v>
      </c>
      <c r="E338" t="s">
        <v>1013</v>
      </c>
      <c r="F338">
        <v>49006</v>
      </c>
      <c r="G338" t="s">
        <v>1085</v>
      </c>
      <c r="H338" t="s">
        <v>1907</v>
      </c>
      <c r="I338" t="s">
        <v>1891</v>
      </c>
      <c r="J338" t="s">
        <v>1423</v>
      </c>
      <c r="K338" t="s">
        <v>1094</v>
      </c>
      <c r="L338" t="s">
        <v>1095</v>
      </c>
      <c r="M338" t="s">
        <v>1028</v>
      </c>
      <c r="N338" t="s">
        <v>1096</v>
      </c>
      <c r="O338" t="s">
        <v>992</v>
      </c>
      <c r="P338" t="s">
        <v>1098</v>
      </c>
      <c r="Q338" t="b">
        <v>1</v>
      </c>
      <c r="R338" t="b">
        <v>0</v>
      </c>
      <c r="S338" t="s">
        <v>1032</v>
      </c>
      <c r="T338" t="s">
        <v>992</v>
      </c>
      <c r="U338" t="s">
        <v>1140</v>
      </c>
      <c r="V338" t="s">
        <v>995</v>
      </c>
      <c r="W338" t="s">
        <v>1034</v>
      </c>
      <c r="X338" t="s">
        <v>1908</v>
      </c>
    </row>
    <row r="339" spans="1:24" x14ac:dyDescent="0.25">
      <c r="A339" t="s">
        <v>42</v>
      </c>
      <c r="B339" t="s">
        <v>1909</v>
      </c>
      <c r="C339" t="s">
        <v>348</v>
      </c>
      <c r="D339" t="s">
        <v>992</v>
      </c>
      <c r="E339" t="s">
        <v>1015</v>
      </c>
      <c r="F339">
        <v>41300</v>
      </c>
      <c r="G339" t="s">
        <v>1085</v>
      </c>
      <c r="H339" t="s">
        <v>1910</v>
      </c>
      <c r="I339" t="s">
        <v>1891</v>
      </c>
      <c r="J339" t="s">
        <v>1423</v>
      </c>
      <c r="K339" t="s">
        <v>1103</v>
      </c>
      <c r="L339" t="s">
        <v>1104</v>
      </c>
      <c r="M339" t="s">
        <v>1028</v>
      </c>
      <c r="N339" t="s">
        <v>1105</v>
      </c>
      <c r="O339" t="s">
        <v>992</v>
      </c>
      <c r="P339" t="s">
        <v>1107</v>
      </c>
      <c r="Q339" t="b">
        <v>1</v>
      </c>
      <c r="R339" t="b">
        <v>0</v>
      </c>
      <c r="S339" t="s">
        <v>1032</v>
      </c>
      <c r="T339" t="s">
        <v>992</v>
      </c>
      <c r="U339" t="s">
        <v>1140</v>
      </c>
      <c r="V339" t="s">
        <v>995</v>
      </c>
      <c r="W339" t="s">
        <v>1034</v>
      </c>
      <c r="X339" t="s">
        <v>1911</v>
      </c>
    </row>
    <row r="340" spans="1:24" x14ac:dyDescent="0.25">
      <c r="A340" t="s">
        <v>42</v>
      </c>
      <c r="B340" t="s">
        <v>1912</v>
      </c>
      <c r="C340" t="s">
        <v>348</v>
      </c>
      <c r="D340" t="s">
        <v>992</v>
      </c>
      <c r="E340" t="s">
        <v>1017</v>
      </c>
      <c r="F340">
        <v>42115</v>
      </c>
      <c r="G340" t="s">
        <v>1085</v>
      </c>
      <c r="H340" t="s">
        <v>1913</v>
      </c>
      <c r="I340" t="s">
        <v>1891</v>
      </c>
      <c r="J340" t="s">
        <v>1423</v>
      </c>
      <c r="K340" t="s">
        <v>1110</v>
      </c>
      <c r="L340" t="s">
        <v>1111</v>
      </c>
      <c r="M340" t="s">
        <v>1028</v>
      </c>
      <c r="N340" t="s">
        <v>1112</v>
      </c>
      <c r="O340" t="s">
        <v>992</v>
      </c>
      <c r="P340" t="s">
        <v>1114</v>
      </c>
      <c r="Q340" t="b">
        <v>1</v>
      </c>
      <c r="R340" t="b">
        <v>0</v>
      </c>
      <c r="S340" t="s">
        <v>1032</v>
      </c>
      <c r="T340" t="s">
        <v>992</v>
      </c>
      <c r="U340" t="s">
        <v>1140</v>
      </c>
      <c r="V340" t="s">
        <v>995</v>
      </c>
      <c r="W340" t="s">
        <v>1034</v>
      </c>
      <c r="X340" t="s">
        <v>1914</v>
      </c>
    </row>
    <row r="341" spans="1:24" x14ac:dyDescent="0.25">
      <c r="A341" t="s">
        <v>42</v>
      </c>
      <c r="B341" t="s">
        <v>1915</v>
      </c>
      <c r="C341" t="s">
        <v>348</v>
      </c>
      <c r="D341" t="s">
        <v>992</v>
      </c>
      <c r="E341" t="s">
        <v>1019</v>
      </c>
      <c r="F341">
        <v>41549</v>
      </c>
      <c r="G341" t="s">
        <v>1085</v>
      </c>
      <c r="H341" t="s">
        <v>1916</v>
      </c>
      <c r="I341" t="s">
        <v>1891</v>
      </c>
      <c r="J341" t="s">
        <v>1423</v>
      </c>
      <c r="K341" t="s">
        <v>1132</v>
      </c>
      <c r="L341" t="s">
        <v>1133</v>
      </c>
      <c r="M341" t="s">
        <v>1028</v>
      </c>
      <c r="N341" t="s">
        <v>1134</v>
      </c>
      <c r="O341" t="s">
        <v>992</v>
      </c>
      <c r="P341" t="s">
        <v>1120</v>
      </c>
      <c r="Q341" t="b">
        <v>1</v>
      </c>
      <c r="R341" t="b">
        <v>0</v>
      </c>
      <c r="S341" t="s">
        <v>1032</v>
      </c>
      <c r="T341" t="s">
        <v>992</v>
      </c>
      <c r="U341" t="s">
        <v>1140</v>
      </c>
      <c r="V341" t="s">
        <v>995</v>
      </c>
      <c r="W341" t="s">
        <v>1034</v>
      </c>
      <c r="X341" t="s">
        <v>1917</v>
      </c>
    </row>
    <row r="342" spans="1:24" x14ac:dyDescent="0.25">
      <c r="A342" t="s">
        <v>42</v>
      </c>
      <c r="B342" t="s">
        <v>1918</v>
      </c>
      <c r="C342" t="s">
        <v>348</v>
      </c>
      <c r="E342" t="s">
        <v>1021</v>
      </c>
      <c r="F342">
        <v>52055</v>
      </c>
      <c r="G342" t="s">
        <v>1051</v>
      </c>
      <c r="H342" t="s">
        <v>1919</v>
      </c>
      <c r="I342" t="s">
        <v>1891</v>
      </c>
      <c r="J342" t="s">
        <v>1423</v>
      </c>
      <c r="K342" t="s">
        <v>1124</v>
      </c>
      <c r="L342" t="s">
        <v>1125</v>
      </c>
      <c r="M342" t="s">
        <v>1028</v>
      </c>
      <c r="N342" t="s">
        <v>1126</v>
      </c>
      <c r="O342" t="s">
        <v>992</v>
      </c>
      <c r="P342" t="s">
        <v>1128</v>
      </c>
      <c r="Q342" t="b">
        <v>1</v>
      </c>
      <c r="R342" t="b">
        <v>0</v>
      </c>
      <c r="S342" t="s">
        <v>1099</v>
      </c>
      <c r="T342" t="s">
        <v>992</v>
      </c>
      <c r="U342" t="s">
        <v>1060</v>
      </c>
      <c r="V342" t="s">
        <v>995</v>
      </c>
      <c r="W342" t="s">
        <v>1034</v>
      </c>
      <c r="X342" t="s">
        <v>1424</v>
      </c>
    </row>
    <row r="343" spans="1:24" x14ac:dyDescent="0.25">
      <c r="A343" t="s">
        <v>42</v>
      </c>
      <c r="B343" t="s">
        <v>1920</v>
      </c>
      <c r="C343" t="s">
        <v>348</v>
      </c>
      <c r="E343" t="s">
        <v>1130</v>
      </c>
      <c r="F343">
        <v>55546</v>
      </c>
      <c r="G343" t="s">
        <v>1051</v>
      </c>
      <c r="H343" t="s">
        <v>1921</v>
      </c>
      <c r="I343" t="s">
        <v>1891</v>
      </c>
      <c r="J343" t="s">
        <v>1423</v>
      </c>
      <c r="K343" t="s">
        <v>1132</v>
      </c>
      <c r="L343" t="s">
        <v>1133</v>
      </c>
      <c r="M343" t="s">
        <v>1028</v>
      </c>
      <c r="N343" t="s">
        <v>1134</v>
      </c>
      <c r="O343" t="s">
        <v>992</v>
      </c>
      <c r="P343" t="s">
        <v>1136</v>
      </c>
      <c r="Q343" t="b">
        <v>1</v>
      </c>
      <c r="R343" t="b">
        <v>0</v>
      </c>
      <c r="S343" t="s">
        <v>1099</v>
      </c>
      <c r="T343" t="s">
        <v>992</v>
      </c>
      <c r="U343" t="s">
        <v>1060</v>
      </c>
      <c r="V343" t="s">
        <v>995</v>
      </c>
      <c r="W343" t="s">
        <v>1034</v>
      </c>
      <c r="X343" t="s">
        <v>1424</v>
      </c>
    </row>
    <row r="344" spans="1:24" x14ac:dyDescent="0.25">
      <c r="A344" t="s">
        <v>42</v>
      </c>
      <c r="B344" t="s">
        <v>1922</v>
      </c>
      <c r="C344" t="s">
        <v>351</v>
      </c>
      <c r="D344" t="s">
        <v>992</v>
      </c>
      <c r="E344" t="s">
        <v>990</v>
      </c>
      <c r="F344">
        <v>66399</v>
      </c>
      <c r="G344" t="s">
        <v>1085</v>
      </c>
      <c r="H344" t="s">
        <v>1923</v>
      </c>
      <c r="I344" t="s">
        <v>1924</v>
      </c>
      <c r="J344" t="s">
        <v>1423</v>
      </c>
      <c r="K344" t="s">
        <v>1026</v>
      </c>
      <c r="L344" t="s">
        <v>1027</v>
      </c>
      <c r="M344" t="s">
        <v>1028</v>
      </c>
      <c r="N344" t="s">
        <v>1029</v>
      </c>
      <c r="O344" t="s">
        <v>992</v>
      </c>
      <c r="P344" t="s">
        <v>1031</v>
      </c>
      <c r="Q344" t="b">
        <v>1</v>
      </c>
      <c r="R344" t="b">
        <v>0</v>
      </c>
      <c r="S344" t="s">
        <v>1032</v>
      </c>
      <c r="T344" t="s">
        <v>992</v>
      </c>
      <c r="U344" t="s">
        <v>1140</v>
      </c>
      <c r="V344" t="s">
        <v>995</v>
      </c>
      <c r="W344" t="s">
        <v>1034</v>
      </c>
      <c r="X344" t="s">
        <v>1925</v>
      </c>
    </row>
    <row r="345" spans="1:24" x14ac:dyDescent="0.25">
      <c r="A345" t="s">
        <v>42</v>
      </c>
      <c r="B345" t="s">
        <v>1926</v>
      </c>
      <c r="C345" t="s">
        <v>351</v>
      </c>
      <c r="D345" t="s">
        <v>992</v>
      </c>
      <c r="E345" t="s">
        <v>999</v>
      </c>
      <c r="F345">
        <v>69568</v>
      </c>
      <c r="G345" t="s">
        <v>1085</v>
      </c>
      <c r="H345" t="s">
        <v>1927</v>
      </c>
      <c r="I345" t="s">
        <v>1924</v>
      </c>
      <c r="J345" t="s">
        <v>1423</v>
      </c>
      <c r="K345" t="s">
        <v>1038</v>
      </c>
      <c r="L345" t="s">
        <v>1039</v>
      </c>
      <c r="M345" t="s">
        <v>1028</v>
      </c>
      <c r="N345" t="s">
        <v>1040</v>
      </c>
      <c r="O345" t="s">
        <v>992</v>
      </c>
      <c r="P345" t="s">
        <v>1042</v>
      </c>
      <c r="Q345" t="b">
        <v>1</v>
      </c>
      <c r="R345" t="b">
        <v>0</v>
      </c>
      <c r="S345" t="s">
        <v>1032</v>
      </c>
      <c r="T345" t="s">
        <v>992</v>
      </c>
      <c r="U345" t="s">
        <v>1140</v>
      </c>
      <c r="V345" t="s">
        <v>995</v>
      </c>
      <c r="W345" t="s">
        <v>1034</v>
      </c>
      <c r="X345" t="s">
        <v>1928</v>
      </c>
    </row>
    <row r="346" spans="1:24" x14ac:dyDescent="0.25">
      <c r="A346" t="s">
        <v>42</v>
      </c>
      <c r="B346" t="s">
        <v>1929</v>
      </c>
      <c r="C346" t="s">
        <v>351</v>
      </c>
      <c r="D346" t="s">
        <v>992</v>
      </c>
      <c r="E346" t="s">
        <v>1001</v>
      </c>
      <c r="F346">
        <v>70667</v>
      </c>
      <c r="G346" t="s">
        <v>1085</v>
      </c>
      <c r="H346" t="s">
        <v>1930</v>
      </c>
      <c r="I346" t="s">
        <v>1924</v>
      </c>
      <c r="J346" t="s">
        <v>1423</v>
      </c>
      <c r="K346" t="s">
        <v>1045</v>
      </c>
      <c r="L346" t="s">
        <v>1046</v>
      </c>
      <c r="M346" t="s">
        <v>1028</v>
      </c>
      <c r="N346" t="s">
        <v>1047</v>
      </c>
      <c r="O346" t="s">
        <v>992</v>
      </c>
      <c r="P346" t="s">
        <v>1049</v>
      </c>
      <c r="Q346" t="b">
        <v>1</v>
      </c>
      <c r="R346" t="b">
        <v>0</v>
      </c>
      <c r="S346" t="s">
        <v>1032</v>
      </c>
      <c r="T346" t="s">
        <v>992</v>
      </c>
      <c r="U346" t="s">
        <v>1140</v>
      </c>
      <c r="V346" t="s">
        <v>995</v>
      </c>
      <c r="W346" t="s">
        <v>1034</v>
      </c>
      <c r="X346" t="s">
        <v>1931</v>
      </c>
    </row>
    <row r="347" spans="1:24" x14ac:dyDescent="0.25">
      <c r="A347" t="s">
        <v>42</v>
      </c>
      <c r="B347" t="s">
        <v>1932</v>
      </c>
      <c r="C347" t="s">
        <v>351</v>
      </c>
      <c r="D347" t="s">
        <v>992</v>
      </c>
      <c r="E347" t="s">
        <v>1003</v>
      </c>
      <c r="F347">
        <v>73812</v>
      </c>
      <c r="G347" t="s">
        <v>1085</v>
      </c>
      <c r="H347" t="s">
        <v>1933</v>
      </c>
      <c r="I347" t="s">
        <v>1924</v>
      </c>
      <c r="J347" t="s">
        <v>1423</v>
      </c>
      <c r="K347" t="s">
        <v>1087</v>
      </c>
      <c r="L347" t="s">
        <v>1088</v>
      </c>
      <c r="M347" t="s">
        <v>1056</v>
      </c>
      <c r="N347" t="s">
        <v>1089</v>
      </c>
      <c r="O347" t="s">
        <v>992</v>
      </c>
      <c r="P347" t="s">
        <v>1058</v>
      </c>
      <c r="Q347" t="b">
        <v>1</v>
      </c>
      <c r="R347" t="b">
        <v>0</v>
      </c>
      <c r="S347" t="s">
        <v>1032</v>
      </c>
      <c r="T347" t="s">
        <v>992</v>
      </c>
      <c r="U347" t="s">
        <v>1140</v>
      </c>
      <c r="V347" t="s">
        <v>995</v>
      </c>
      <c r="W347" t="s">
        <v>1034</v>
      </c>
      <c r="X347" t="s">
        <v>1934</v>
      </c>
    </row>
    <row r="348" spans="1:24" x14ac:dyDescent="0.25">
      <c r="A348" t="s">
        <v>42</v>
      </c>
      <c r="B348" t="s">
        <v>1935</v>
      </c>
      <c r="C348" t="s">
        <v>351</v>
      </c>
      <c r="D348" t="s">
        <v>992</v>
      </c>
      <c r="E348" t="s">
        <v>1005</v>
      </c>
      <c r="F348">
        <v>75236</v>
      </c>
      <c r="G348" t="s">
        <v>1085</v>
      </c>
      <c r="H348" t="s">
        <v>1936</v>
      </c>
      <c r="I348" t="s">
        <v>1924</v>
      </c>
      <c r="J348" t="s">
        <v>1423</v>
      </c>
      <c r="K348" t="s">
        <v>1065</v>
      </c>
      <c r="L348" t="s">
        <v>1066</v>
      </c>
      <c r="M348" t="s">
        <v>1028</v>
      </c>
      <c r="N348" t="s">
        <v>1067</v>
      </c>
      <c r="O348" t="s">
        <v>992</v>
      </c>
      <c r="P348" t="s">
        <v>1069</v>
      </c>
      <c r="Q348" t="b">
        <v>1</v>
      </c>
      <c r="R348" t="b">
        <v>0</v>
      </c>
      <c r="S348" t="s">
        <v>1032</v>
      </c>
      <c r="T348" t="s">
        <v>992</v>
      </c>
      <c r="U348" t="s">
        <v>1140</v>
      </c>
      <c r="V348" t="s">
        <v>995</v>
      </c>
      <c r="W348" t="s">
        <v>1034</v>
      </c>
      <c r="X348" t="s">
        <v>1937</v>
      </c>
    </row>
    <row r="349" spans="1:24" x14ac:dyDescent="0.25">
      <c r="A349" t="s">
        <v>42</v>
      </c>
      <c r="B349" t="s">
        <v>1938</v>
      </c>
      <c r="C349" t="s">
        <v>351</v>
      </c>
      <c r="D349" t="s">
        <v>992</v>
      </c>
      <c r="E349" t="s">
        <v>1007</v>
      </c>
      <c r="F349">
        <v>78815</v>
      </c>
      <c r="G349" t="s">
        <v>1085</v>
      </c>
      <c r="H349" t="s">
        <v>1939</v>
      </c>
      <c r="I349" t="s">
        <v>1924</v>
      </c>
      <c r="J349" t="s">
        <v>1423</v>
      </c>
      <c r="K349" t="s">
        <v>1072</v>
      </c>
      <c r="L349" t="s">
        <v>1073</v>
      </c>
      <c r="M349" t="s">
        <v>1028</v>
      </c>
      <c r="N349" t="s">
        <v>1074</v>
      </c>
      <c r="O349" t="s">
        <v>992</v>
      </c>
      <c r="P349" t="s">
        <v>1076</v>
      </c>
      <c r="Q349" t="b">
        <v>1</v>
      </c>
      <c r="R349" t="b">
        <v>0</v>
      </c>
      <c r="S349" t="s">
        <v>1032</v>
      </c>
      <c r="T349" t="s">
        <v>992</v>
      </c>
      <c r="U349" t="s">
        <v>1140</v>
      </c>
      <c r="V349" t="s">
        <v>995</v>
      </c>
      <c r="W349" t="s">
        <v>1034</v>
      </c>
      <c r="X349" t="s">
        <v>1940</v>
      </c>
    </row>
    <row r="350" spans="1:24" x14ac:dyDescent="0.25">
      <c r="A350" t="s">
        <v>42</v>
      </c>
      <c r="B350" t="s">
        <v>1941</v>
      </c>
      <c r="C350" t="s">
        <v>351</v>
      </c>
      <c r="D350" t="s">
        <v>992</v>
      </c>
      <c r="E350" t="s">
        <v>1009</v>
      </c>
      <c r="F350">
        <v>79850</v>
      </c>
      <c r="G350" t="s">
        <v>1085</v>
      </c>
      <c r="H350" t="s">
        <v>1942</v>
      </c>
      <c r="I350" t="s">
        <v>1924</v>
      </c>
      <c r="J350" t="s">
        <v>1423</v>
      </c>
      <c r="K350" t="s">
        <v>1079</v>
      </c>
      <c r="L350" t="s">
        <v>1080</v>
      </c>
      <c r="M350" t="s">
        <v>1028</v>
      </c>
      <c r="N350" t="s">
        <v>1081</v>
      </c>
      <c r="O350" t="s">
        <v>992</v>
      </c>
      <c r="P350" t="s">
        <v>1083</v>
      </c>
      <c r="Q350" t="b">
        <v>1</v>
      </c>
      <c r="R350" t="b">
        <v>0</v>
      </c>
      <c r="S350" t="s">
        <v>1032</v>
      </c>
      <c r="T350" t="s">
        <v>992</v>
      </c>
      <c r="U350" t="s">
        <v>1140</v>
      </c>
      <c r="V350" t="s">
        <v>995</v>
      </c>
      <c r="W350" t="s">
        <v>1034</v>
      </c>
      <c r="X350" t="s">
        <v>1943</v>
      </c>
    </row>
    <row r="351" spans="1:24" x14ac:dyDescent="0.25">
      <c r="A351" t="s">
        <v>42</v>
      </c>
      <c r="B351" t="s">
        <v>1944</v>
      </c>
      <c r="C351" t="s">
        <v>351</v>
      </c>
      <c r="D351" t="s">
        <v>992</v>
      </c>
      <c r="E351" t="s">
        <v>1011</v>
      </c>
      <c r="F351">
        <v>83276</v>
      </c>
      <c r="G351" t="s">
        <v>1085</v>
      </c>
      <c r="H351" t="s">
        <v>1945</v>
      </c>
      <c r="I351" t="s">
        <v>1924</v>
      </c>
      <c r="J351" t="s">
        <v>1423</v>
      </c>
      <c r="K351" t="s">
        <v>1117</v>
      </c>
      <c r="L351" t="s">
        <v>1118</v>
      </c>
      <c r="M351" t="s">
        <v>1056</v>
      </c>
      <c r="N351" t="s">
        <v>1119</v>
      </c>
      <c r="O351" t="s">
        <v>992</v>
      </c>
      <c r="P351" t="s">
        <v>1090</v>
      </c>
      <c r="Q351" t="b">
        <v>1</v>
      </c>
      <c r="R351" t="b">
        <v>0</v>
      </c>
      <c r="S351" t="s">
        <v>1032</v>
      </c>
      <c r="T351" t="s">
        <v>992</v>
      </c>
      <c r="U351" t="s">
        <v>1140</v>
      </c>
      <c r="V351" t="s">
        <v>995</v>
      </c>
      <c r="W351" t="s">
        <v>1034</v>
      </c>
      <c r="X351" t="s">
        <v>1946</v>
      </c>
    </row>
    <row r="352" spans="1:24" x14ac:dyDescent="0.25">
      <c r="A352" t="s">
        <v>42</v>
      </c>
      <c r="B352" t="s">
        <v>1947</v>
      </c>
      <c r="C352" t="s">
        <v>351</v>
      </c>
      <c r="D352" t="s">
        <v>992</v>
      </c>
      <c r="E352" t="s">
        <v>1013</v>
      </c>
      <c r="F352">
        <v>84768</v>
      </c>
      <c r="G352" t="s">
        <v>1085</v>
      </c>
      <c r="H352" t="s">
        <v>1948</v>
      </c>
      <c r="I352" t="s">
        <v>1924</v>
      </c>
      <c r="J352" t="s">
        <v>1423</v>
      </c>
      <c r="K352" t="s">
        <v>1094</v>
      </c>
      <c r="L352" t="s">
        <v>1095</v>
      </c>
      <c r="M352" t="s">
        <v>1028</v>
      </c>
      <c r="N352" t="s">
        <v>1096</v>
      </c>
      <c r="O352" t="s">
        <v>992</v>
      </c>
      <c r="P352" t="s">
        <v>1098</v>
      </c>
      <c r="Q352" t="b">
        <v>1</v>
      </c>
      <c r="R352" t="b">
        <v>0</v>
      </c>
      <c r="S352" t="s">
        <v>1032</v>
      </c>
      <c r="T352" t="s">
        <v>992</v>
      </c>
      <c r="U352" t="s">
        <v>1140</v>
      </c>
      <c r="V352" t="s">
        <v>995</v>
      </c>
      <c r="W352" t="s">
        <v>1034</v>
      </c>
      <c r="X352" t="s">
        <v>1949</v>
      </c>
    </row>
    <row r="353" spans="1:24" x14ac:dyDescent="0.25">
      <c r="A353" t="s">
        <v>42</v>
      </c>
      <c r="B353" t="s">
        <v>1950</v>
      </c>
      <c r="C353" t="s">
        <v>351</v>
      </c>
      <c r="D353" t="s">
        <v>992</v>
      </c>
      <c r="E353" t="s">
        <v>1015</v>
      </c>
      <c r="F353">
        <v>88711</v>
      </c>
      <c r="G353" t="s">
        <v>1085</v>
      </c>
      <c r="H353" t="s">
        <v>1951</v>
      </c>
      <c r="I353" t="s">
        <v>1924</v>
      </c>
      <c r="J353" t="s">
        <v>1423</v>
      </c>
      <c r="K353" t="s">
        <v>1103</v>
      </c>
      <c r="L353" t="s">
        <v>1104</v>
      </c>
      <c r="M353" t="s">
        <v>1028</v>
      </c>
      <c r="N353" t="s">
        <v>1105</v>
      </c>
      <c r="O353" t="s">
        <v>992</v>
      </c>
      <c r="P353" t="s">
        <v>1107</v>
      </c>
      <c r="Q353" t="b">
        <v>1</v>
      </c>
      <c r="R353" t="b">
        <v>0</v>
      </c>
      <c r="S353" t="s">
        <v>1032</v>
      </c>
      <c r="T353" t="s">
        <v>992</v>
      </c>
      <c r="U353" t="s">
        <v>1140</v>
      </c>
      <c r="V353" t="s">
        <v>995</v>
      </c>
      <c r="W353" t="s">
        <v>1034</v>
      </c>
      <c r="X353" t="s">
        <v>1952</v>
      </c>
    </row>
    <row r="354" spans="1:24" x14ac:dyDescent="0.25">
      <c r="A354" t="s">
        <v>42</v>
      </c>
      <c r="B354" t="s">
        <v>1953</v>
      </c>
      <c r="C354" t="s">
        <v>351</v>
      </c>
      <c r="D354" t="s">
        <v>992</v>
      </c>
      <c r="E354" t="s">
        <v>1017</v>
      </c>
      <c r="F354">
        <v>89806</v>
      </c>
      <c r="G354" t="s">
        <v>1085</v>
      </c>
      <c r="H354" t="s">
        <v>1954</v>
      </c>
      <c r="I354" t="s">
        <v>1924</v>
      </c>
      <c r="J354" t="s">
        <v>1423</v>
      </c>
      <c r="K354" t="s">
        <v>1110</v>
      </c>
      <c r="L354" t="s">
        <v>1111</v>
      </c>
      <c r="M354" t="s">
        <v>1028</v>
      </c>
      <c r="N354" t="s">
        <v>1112</v>
      </c>
      <c r="O354" t="s">
        <v>992</v>
      </c>
      <c r="P354" t="s">
        <v>1114</v>
      </c>
      <c r="Q354" t="b">
        <v>1</v>
      </c>
      <c r="R354" t="b">
        <v>0</v>
      </c>
      <c r="S354" t="s">
        <v>1032</v>
      </c>
      <c r="T354" t="s">
        <v>992</v>
      </c>
      <c r="U354" t="s">
        <v>1140</v>
      </c>
      <c r="V354" t="s">
        <v>995</v>
      </c>
      <c r="W354" t="s">
        <v>1034</v>
      </c>
      <c r="X354" t="s">
        <v>1955</v>
      </c>
    </row>
    <row r="355" spans="1:24" x14ac:dyDescent="0.25">
      <c r="A355" t="s">
        <v>42</v>
      </c>
      <c r="B355" t="s">
        <v>1956</v>
      </c>
      <c r="C355" t="s">
        <v>351</v>
      </c>
      <c r="D355" t="s">
        <v>992</v>
      </c>
      <c r="E355" t="s">
        <v>1019</v>
      </c>
      <c r="F355">
        <v>93568</v>
      </c>
      <c r="G355" t="s">
        <v>1085</v>
      </c>
      <c r="H355" t="s">
        <v>1957</v>
      </c>
      <c r="I355" t="s">
        <v>1924</v>
      </c>
      <c r="J355" t="s">
        <v>1423</v>
      </c>
      <c r="K355" t="s">
        <v>1132</v>
      </c>
      <c r="L355" t="s">
        <v>1133</v>
      </c>
      <c r="M355" t="s">
        <v>1028</v>
      </c>
      <c r="N355" t="s">
        <v>1134</v>
      </c>
      <c r="O355" t="s">
        <v>992</v>
      </c>
      <c r="P355" t="s">
        <v>1120</v>
      </c>
      <c r="Q355" t="b">
        <v>1</v>
      </c>
      <c r="R355" t="b">
        <v>0</v>
      </c>
      <c r="S355" t="s">
        <v>1032</v>
      </c>
      <c r="T355" t="s">
        <v>992</v>
      </c>
      <c r="U355" t="s">
        <v>1140</v>
      </c>
      <c r="V355" t="s">
        <v>995</v>
      </c>
      <c r="W355" t="s">
        <v>1034</v>
      </c>
      <c r="X355" t="s">
        <v>1958</v>
      </c>
    </row>
    <row r="356" spans="1:24" x14ac:dyDescent="0.25">
      <c r="A356" t="s">
        <v>42</v>
      </c>
      <c r="B356" t="s">
        <v>1959</v>
      </c>
      <c r="C356" t="s">
        <v>351</v>
      </c>
      <c r="D356" t="s">
        <v>992</v>
      </c>
      <c r="E356" t="s">
        <v>1021</v>
      </c>
      <c r="F356">
        <v>95221</v>
      </c>
      <c r="G356" t="s">
        <v>1085</v>
      </c>
      <c r="H356" t="s">
        <v>1960</v>
      </c>
      <c r="I356" t="s">
        <v>1924</v>
      </c>
      <c r="J356" t="s">
        <v>1423</v>
      </c>
      <c r="K356" t="s">
        <v>1124</v>
      </c>
      <c r="L356" t="s">
        <v>1125</v>
      </c>
      <c r="M356" t="s">
        <v>1028</v>
      </c>
      <c r="N356" t="s">
        <v>1126</v>
      </c>
      <c r="O356" t="s">
        <v>992</v>
      </c>
      <c r="P356" t="s">
        <v>1128</v>
      </c>
      <c r="Q356" t="b">
        <v>1</v>
      </c>
      <c r="R356" t="b">
        <v>0</v>
      </c>
      <c r="S356" t="s">
        <v>1032</v>
      </c>
      <c r="T356" t="s">
        <v>992</v>
      </c>
      <c r="U356" t="s">
        <v>1140</v>
      </c>
      <c r="V356" t="s">
        <v>995</v>
      </c>
      <c r="W356" t="s">
        <v>1034</v>
      </c>
      <c r="X356" t="s">
        <v>1961</v>
      </c>
    </row>
    <row r="357" spans="1:24" x14ac:dyDescent="0.25">
      <c r="A357" t="s">
        <v>42</v>
      </c>
      <c r="B357" t="s">
        <v>1962</v>
      </c>
      <c r="C357" t="s">
        <v>351</v>
      </c>
      <c r="D357" t="s">
        <v>992</v>
      </c>
      <c r="E357" t="s">
        <v>1130</v>
      </c>
      <c r="F357">
        <v>99507</v>
      </c>
      <c r="G357" t="s">
        <v>1085</v>
      </c>
      <c r="H357" t="s">
        <v>1963</v>
      </c>
      <c r="I357" t="s">
        <v>1924</v>
      </c>
      <c r="J357" t="s">
        <v>1423</v>
      </c>
      <c r="K357" t="s">
        <v>1132</v>
      </c>
      <c r="L357" t="s">
        <v>1133</v>
      </c>
      <c r="M357" t="s">
        <v>1028</v>
      </c>
      <c r="N357" t="s">
        <v>1134</v>
      </c>
      <c r="O357" t="s">
        <v>992</v>
      </c>
      <c r="P357" t="s">
        <v>1136</v>
      </c>
      <c r="Q357" t="b">
        <v>1</v>
      </c>
      <c r="R357" t="b">
        <v>0</v>
      </c>
      <c r="S357" t="s">
        <v>1032</v>
      </c>
      <c r="T357" t="s">
        <v>992</v>
      </c>
      <c r="U357" t="s">
        <v>1140</v>
      </c>
      <c r="V357" t="s">
        <v>995</v>
      </c>
      <c r="W357" t="s">
        <v>1034</v>
      </c>
      <c r="X357" t="s">
        <v>1964</v>
      </c>
    </row>
    <row r="358" spans="1:24" x14ac:dyDescent="0.25">
      <c r="A358" t="s">
        <v>42</v>
      </c>
      <c r="B358" t="s">
        <v>1965</v>
      </c>
      <c r="C358" t="s">
        <v>352</v>
      </c>
      <c r="D358" t="s">
        <v>992</v>
      </c>
      <c r="E358" t="s">
        <v>990</v>
      </c>
      <c r="F358">
        <v>3240</v>
      </c>
      <c r="G358" t="s">
        <v>1023</v>
      </c>
      <c r="H358" t="s">
        <v>1966</v>
      </c>
      <c r="I358" t="s">
        <v>1967</v>
      </c>
      <c r="J358" t="s">
        <v>1423</v>
      </c>
      <c r="K358" t="s">
        <v>1026</v>
      </c>
      <c r="L358" t="s">
        <v>1027</v>
      </c>
      <c r="M358" t="s">
        <v>1028</v>
      </c>
      <c r="N358" t="s">
        <v>1029</v>
      </c>
      <c r="O358" t="s">
        <v>992</v>
      </c>
      <c r="P358" t="s">
        <v>1031</v>
      </c>
      <c r="Q358" t="b">
        <v>1</v>
      </c>
      <c r="R358" t="b">
        <v>0</v>
      </c>
      <c r="S358" t="s">
        <v>1032</v>
      </c>
      <c r="T358" t="s">
        <v>992</v>
      </c>
      <c r="U358" t="s">
        <v>1140</v>
      </c>
      <c r="V358" t="s">
        <v>995</v>
      </c>
      <c r="W358" t="s">
        <v>1034</v>
      </c>
      <c r="X358" t="s">
        <v>992</v>
      </c>
    </row>
    <row r="359" spans="1:24" x14ac:dyDescent="0.25">
      <c r="A359" t="s">
        <v>42</v>
      </c>
      <c r="B359" t="s">
        <v>1968</v>
      </c>
      <c r="C359" t="s">
        <v>352</v>
      </c>
      <c r="D359" t="s">
        <v>992</v>
      </c>
      <c r="E359" t="s">
        <v>999</v>
      </c>
      <c r="F359">
        <v>4336</v>
      </c>
      <c r="G359" t="s">
        <v>1023</v>
      </c>
      <c r="H359" t="s">
        <v>1969</v>
      </c>
      <c r="I359" t="s">
        <v>1967</v>
      </c>
      <c r="J359" t="s">
        <v>1423</v>
      </c>
      <c r="K359" t="s">
        <v>1038</v>
      </c>
      <c r="L359" t="s">
        <v>1039</v>
      </c>
      <c r="M359" t="s">
        <v>1028</v>
      </c>
      <c r="N359" t="s">
        <v>1040</v>
      </c>
      <c r="O359" t="s">
        <v>992</v>
      </c>
      <c r="P359" t="s">
        <v>1042</v>
      </c>
      <c r="Q359" t="b">
        <v>1</v>
      </c>
      <c r="R359" t="b">
        <v>0</v>
      </c>
      <c r="S359" t="s">
        <v>1032</v>
      </c>
      <c r="T359" t="s">
        <v>992</v>
      </c>
      <c r="U359" t="s">
        <v>1140</v>
      </c>
      <c r="V359" t="s">
        <v>995</v>
      </c>
      <c r="W359" t="s">
        <v>1034</v>
      </c>
      <c r="X359" t="s">
        <v>992</v>
      </c>
    </row>
    <row r="360" spans="1:24" x14ac:dyDescent="0.25">
      <c r="A360" t="s">
        <v>42</v>
      </c>
      <c r="B360" t="s">
        <v>1970</v>
      </c>
      <c r="C360" t="s">
        <v>352</v>
      </c>
      <c r="D360" t="s">
        <v>992</v>
      </c>
      <c r="E360" t="s">
        <v>1001</v>
      </c>
      <c r="F360">
        <v>1408</v>
      </c>
      <c r="G360" t="s">
        <v>1023</v>
      </c>
      <c r="H360" t="s">
        <v>1971</v>
      </c>
      <c r="I360" t="s">
        <v>1967</v>
      </c>
      <c r="J360" t="s">
        <v>1423</v>
      </c>
      <c r="K360" t="s">
        <v>1045</v>
      </c>
      <c r="L360" t="s">
        <v>1046</v>
      </c>
      <c r="M360" t="s">
        <v>1028</v>
      </c>
      <c r="N360" t="s">
        <v>1047</v>
      </c>
      <c r="O360" t="s">
        <v>992</v>
      </c>
      <c r="P360" t="s">
        <v>1049</v>
      </c>
      <c r="Q360" t="b">
        <v>1</v>
      </c>
      <c r="R360" t="b">
        <v>0</v>
      </c>
      <c r="S360" t="s">
        <v>1032</v>
      </c>
      <c r="T360" t="s">
        <v>992</v>
      </c>
      <c r="U360" t="s">
        <v>1140</v>
      </c>
      <c r="V360" t="s">
        <v>995</v>
      </c>
      <c r="W360" t="s">
        <v>1034</v>
      </c>
      <c r="X360" t="s">
        <v>992</v>
      </c>
    </row>
    <row r="361" spans="1:24" x14ac:dyDescent="0.25">
      <c r="A361" t="s">
        <v>42</v>
      </c>
      <c r="B361" t="s">
        <v>1972</v>
      </c>
      <c r="C361" t="s">
        <v>352</v>
      </c>
      <c r="D361" t="s">
        <v>992</v>
      </c>
      <c r="E361" t="s">
        <v>1003</v>
      </c>
      <c r="F361">
        <v>-214</v>
      </c>
      <c r="G361" t="s">
        <v>1023</v>
      </c>
      <c r="H361" t="s">
        <v>1973</v>
      </c>
      <c r="I361" t="s">
        <v>1967</v>
      </c>
      <c r="J361" t="s">
        <v>1423</v>
      </c>
      <c r="K361" t="s">
        <v>1087</v>
      </c>
      <c r="L361" t="s">
        <v>1088</v>
      </c>
      <c r="M361" t="s">
        <v>1056</v>
      </c>
      <c r="N361" t="s">
        <v>1089</v>
      </c>
      <c r="O361" t="s">
        <v>992</v>
      </c>
      <c r="P361" t="s">
        <v>1058</v>
      </c>
      <c r="Q361" t="b">
        <v>1</v>
      </c>
      <c r="R361" t="b">
        <v>0</v>
      </c>
      <c r="S361" t="s">
        <v>1032</v>
      </c>
      <c r="T361" t="s">
        <v>992</v>
      </c>
      <c r="U361" t="s">
        <v>1140</v>
      </c>
      <c r="V361" t="s">
        <v>995</v>
      </c>
      <c r="W361" t="s">
        <v>1034</v>
      </c>
      <c r="X361" t="s">
        <v>992</v>
      </c>
    </row>
    <row r="362" spans="1:24" x14ac:dyDescent="0.25">
      <c r="A362" t="s">
        <v>42</v>
      </c>
      <c r="B362" t="s">
        <v>1974</v>
      </c>
      <c r="C362" t="s">
        <v>352</v>
      </c>
      <c r="D362" t="s">
        <v>992</v>
      </c>
      <c r="E362" t="s">
        <v>1005</v>
      </c>
      <c r="F362">
        <v>8242</v>
      </c>
      <c r="G362" t="s">
        <v>1023</v>
      </c>
      <c r="H362" t="s">
        <v>1975</v>
      </c>
      <c r="I362" t="s">
        <v>1967</v>
      </c>
      <c r="J362" t="s">
        <v>1423</v>
      </c>
      <c r="K362" t="s">
        <v>1065</v>
      </c>
      <c r="L362" t="s">
        <v>1066</v>
      </c>
      <c r="M362" t="s">
        <v>1028</v>
      </c>
      <c r="N362" t="s">
        <v>1067</v>
      </c>
      <c r="O362" t="s">
        <v>992</v>
      </c>
      <c r="P362" t="s">
        <v>1069</v>
      </c>
      <c r="Q362" t="b">
        <v>1</v>
      </c>
      <c r="R362" t="b">
        <v>0</v>
      </c>
      <c r="S362" t="s">
        <v>1032</v>
      </c>
      <c r="T362" t="s">
        <v>992</v>
      </c>
      <c r="U362" t="s">
        <v>1140</v>
      </c>
      <c r="V362" t="s">
        <v>995</v>
      </c>
      <c r="W362" t="s">
        <v>1034</v>
      </c>
      <c r="X362" t="s">
        <v>992</v>
      </c>
    </row>
    <row r="363" spans="1:24" x14ac:dyDescent="0.25">
      <c r="A363" t="s">
        <v>42</v>
      </c>
      <c r="B363" t="s">
        <v>1976</v>
      </c>
      <c r="C363" t="s">
        <v>352</v>
      </c>
      <c r="D363" t="s">
        <v>992</v>
      </c>
      <c r="E363" t="s">
        <v>1007</v>
      </c>
      <c r="F363">
        <v>4339</v>
      </c>
      <c r="G363" t="s">
        <v>1023</v>
      </c>
      <c r="H363" t="s">
        <v>1977</v>
      </c>
      <c r="I363" t="s">
        <v>1967</v>
      </c>
      <c r="J363" t="s">
        <v>1423</v>
      </c>
      <c r="K363" t="s">
        <v>1072</v>
      </c>
      <c r="L363" t="s">
        <v>1073</v>
      </c>
      <c r="M363" t="s">
        <v>1028</v>
      </c>
      <c r="N363" t="s">
        <v>1074</v>
      </c>
      <c r="O363" t="s">
        <v>992</v>
      </c>
      <c r="P363" t="s">
        <v>1076</v>
      </c>
      <c r="Q363" t="b">
        <v>1</v>
      </c>
      <c r="R363" t="b">
        <v>0</v>
      </c>
      <c r="S363" t="s">
        <v>1032</v>
      </c>
      <c r="T363" t="s">
        <v>992</v>
      </c>
      <c r="U363" t="s">
        <v>1140</v>
      </c>
      <c r="V363" t="s">
        <v>995</v>
      </c>
      <c r="W363" t="s">
        <v>1034</v>
      </c>
      <c r="X363" t="s">
        <v>992</v>
      </c>
    </row>
    <row r="364" spans="1:24" x14ac:dyDescent="0.25">
      <c r="A364" t="s">
        <v>42</v>
      </c>
      <c r="B364" t="s">
        <v>1978</v>
      </c>
      <c r="C364" t="s">
        <v>352</v>
      </c>
      <c r="D364" t="s">
        <v>992</v>
      </c>
      <c r="E364" t="s">
        <v>1009</v>
      </c>
      <c r="F364">
        <v>-4726</v>
      </c>
      <c r="G364" t="s">
        <v>1023</v>
      </c>
      <c r="H364" t="s">
        <v>1979</v>
      </c>
      <c r="I364" t="s">
        <v>1967</v>
      </c>
      <c r="J364" t="s">
        <v>1423</v>
      </c>
      <c r="K364" t="s">
        <v>1079</v>
      </c>
      <c r="L364" t="s">
        <v>1080</v>
      </c>
      <c r="M364" t="s">
        <v>1028</v>
      </c>
      <c r="N364" t="s">
        <v>1081</v>
      </c>
      <c r="O364" t="s">
        <v>992</v>
      </c>
      <c r="P364" t="s">
        <v>1083</v>
      </c>
      <c r="Q364" t="b">
        <v>1</v>
      </c>
      <c r="R364" t="b">
        <v>0</v>
      </c>
      <c r="S364" t="s">
        <v>1032</v>
      </c>
      <c r="T364" t="s">
        <v>992</v>
      </c>
      <c r="U364" t="s">
        <v>1140</v>
      </c>
      <c r="V364" t="s">
        <v>995</v>
      </c>
      <c r="W364" t="s">
        <v>1034</v>
      </c>
      <c r="X364" t="s">
        <v>992</v>
      </c>
    </row>
    <row r="365" spans="1:24" x14ac:dyDescent="0.25">
      <c r="A365" t="s">
        <v>42</v>
      </c>
      <c r="B365" t="s">
        <v>1980</v>
      </c>
      <c r="C365" t="s">
        <v>352</v>
      </c>
      <c r="D365" t="s">
        <v>992</v>
      </c>
      <c r="E365" t="s">
        <v>1011</v>
      </c>
      <c r="F365">
        <v>-19154</v>
      </c>
      <c r="G365" t="s">
        <v>1023</v>
      </c>
      <c r="H365" t="s">
        <v>1981</v>
      </c>
      <c r="I365" t="s">
        <v>1967</v>
      </c>
      <c r="J365" t="s">
        <v>1423</v>
      </c>
      <c r="K365" t="s">
        <v>1117</v>
      </c>
      <c r="L365" t="s">
        <v>1118</v>
      </c>
      <c r="M365" t="s">
        <v>1056</v>
      </c>
      <c r="N365" t="s">
        <v>1119</v>
      </c>
      <c r="O365" t="s">
        <v>992</v>
      </c>
      <c r="P365" t="s">
        <v>1090</v>
      </c>
      <c r="Q365" t="b">
        <v>1</v>
      </c>
      <c r="R365" t="b">
        <v>0</v>
      </c>
      <c r="S365" t="s">
        <v>1032</v>
      </c>
      <c r="T365" t="s">
        <v>992</v>
      </c>
      <c r="U365" t="s">
        <v>1140</v>
      </c>
      <c r="V365" t="s">
        <v>995</v>
      </c>
      <c r="W365" t="s">
        <v>1034</v>
      </c>
      <c r="X365" t="s">
        <v>992</v>
      </c>
    </row>
    <row r="366" spans="1:24" x14ac:dyDescent="0.25">
      <c r="A366" t="s">
        <v>42</v>
      </c>
      <c r="B366" t="s">
        <v>1982</v>
      </c>
      <c r="C366" t="s">
        <v>352</v>
      </c>
      <c r="D366" t="s">
        <v>992</v>
      </c>
      <c r="E366" t="s">
        <v>1013</v>
      </c>
      <c r="F366">
        <v>-11221</v>
      </c>
      <c r="G366" t="s">
        <v>1023</v>
      </c>
      <c r="H366" t="s">
        <v>1983</v>
      </c>
      <c r="I366" t="s">
        <v>1967</v>
      </c>
      <c r="J366" t="s">
        <v>1423</v>
      </c>
      <c r="K366" t="s">
        <v>1094</v>
      </c>
      <c r="L366" t="s">
        <v>1095</v>
      </c>
      <c r="M366" t="s">
        <v>1028</v>
      </c>
      <c r="N366" t="s">
        <v>1096</v>
      </c>
      <c r="O366" t="s">
        <v>992</v>
      </c>
      <c r="P366" t="s">
        <v>1098</v>
      </c>
      <c r="Q366" t="b">
        <v>1</v>
      </c>
      <c r="R366" t="b">
        <v>0</v>
      </c>
      <c r="S366" t="s">
        <v>1032</v>
      </c>
      <c r="T366" t="s">
        <v>992</v>
      </c>
      <c r="U366" t="s">
        <v>1140</v>
      </c>
      <c r="V366" t="s">
        <v>995</v>
      </c>
      <c r="W366" t="s">
        <v>1034</v>
      </c>
      <c r="X366" t="s">
        <v>992</v>
      </c>
    </row>
    <row r="367" spans="1:24" x14ac:dyDescent="0.25">
      <c r="A367" t="s">
        <v>42</v>
      </c>
      <c r="B367" t="s">
        <v>1984</v>
      </c>
      <c r="C367" t="s">
        <v>352</v>
      </c>
      <c r="D367" t="s">
        <v>992</v>
      </c>
      <c r="E367" t="s">
        <v>1015</v>
      </c>
      <c r="F367">
        <v>-15552</v>
      </c>
      <c r="G367" t="s">
        <v>1023</v>
      </c>
      <c r="H367" t="s">
        <v>1985</v>
      </c>
      <c r="I367" t="s">
        <v>1967</v>
      </c>
      <c r="J367" t="s">
        <v>1423</v>
      </c>
      <c r="K367" t="s">
        <v>1103</v>
      </c>
      <c r="L367" t="s">
        <v>1104</v>
      </c>
      <c r="M367" t="s">
        <v>1028</v>
      </c>
      <c r="N367" t="s">
        <v>1105</v>
      </c>
      <c r="O367" t="s">
        <v>992</v>
      </c>
      <c r="P367" t="s">
        <v>1107</v>
      </c>
      <c r="Q367" t="b">
        <v>1</v>
      </c>
      <c r="R367" t="b">
        <v>0</v>
      </c>
      <c r="S367" t="s">
        <v>1032</v>
      </c>
      <c r="T367" t="s">
        <v>992</v>
      </c>
      <c r="U367" t="s">
        <v>1140</v>
      </c>
      <c r="V367" t="s">
        <v>995</v>
      </c>
      <c r="W367" t="s">
        <v>1034</v>
      </c>
      <c r="X367" t="s">
        <v>992</v>
      </c>
    </row>
    <row r="368" spans="1:24" x14ac:dyDescent="0.25">
      <c r="A368" t="s">
        <v>42</v>
      </c>
      <c r="B368" t="s">
        <v>1986</v>
      </c>
      <c r="C368" t="s">
        <v>352</v>
      </c>
      <c r="D368" t="s">
        <v>992</v>
      </c>
      <c r="E368" t="s">
        <v>1017</v>
      </c>
      <c r="F368">
        <v>-17607</v>
      </c>
      <c r="G368" t="s">
        <v>1023</v>
      </c>
      <c r="H368" t="s">
        <v>1987</v>
      </c>
      <c r="I368" t="s">
        <v>1967</v>
      </c>
      <c r="J368" t="s">
        <v>1423</v>
      </c>
      <c r="K368" t="s">
        <v>1110</v>
      </c>
      <c r="L368" t="s">
        <v>1111</v>
      </c>
      <c r="M368" t="s">
        <v>1028</v>
      </c>
      <c r="N368" t="s">
        <v>1112</v>
      </c>
      <c r="O368" t="s">
        <v>992</v>
      </c>
      <c r="P368" t="s">
        <v>1114</v>
      </c>
      <c r="Q368" t="b">
        <v>1</v>
      </c>
      <c r="R368" t="b">
        <v>0</v>
      </c>
      <c r="S368" t="s">
        <v>1032</v>
      </c>
      <c r="T368" t="s">
        <v>992</v>
      </c>
      <c r="U368" t="s">
        <v>1140</v>
      </c>
      <c r="V368" t="s">
        <v>995</v>
      </c>
      <c r="W368" t="s">
        <v>1034</v>
      </c>
      <c r="X368" t="s">
        <v>992</v>
      </c>
    </row>
    <row r="369" spans="1:24" x14ac:dyDescent="0.25">
      <c r="A369" t="s">
        <v>42</v>
      </c>
      <c r="B369" t="s">
        <v>1988</v>
      </c>
      <c r="C369" t="s">
        <v>352</v>
      </c>
      <c r="D369" t="s">
        <v>992</v>
      </c>
      <c r="E369" t="s">
        <v>1019</v>
      </c>
      <c r="F369">
        <v>-14264</v>
      </c>
      <c r="G369" t="s">
        <v>1023</v>
      </c>
      <c r="H369" t="s">
        <v>1989</v>
      </c>
      <c r="I369" t="s">
        <v>1967</v>
      </c>
      <c r="J369" t="s">
        <v>1423</v>
      </c>
      <c r="K369" t="s">
        <v>1132</v>
      </c>
      <c r="L369" t="s">
        <v>1133</v>
      </c>
      <c r="M369" t="s">
        <v>1028</v>
      </c>
      <c r="N369" t="s">
        <v>1134</v>
      </c>
      <c r="O369" t="s">
        <v>992</v>
      </c>
      <c r="P369" t="s">
        <v>1120</v>
      </c>
      <c r="Q369" t="b">
        <v>1</v>
      </c>
      <c r="R369" t="b">
        <v>0</v>
      </c>
      <c r="S369" t="s">
        <v>1032</v>
      </c>
      <c r="T369" t="s">
        <v>992</v>
      </c>
      <c r="U369" t="s">
        <v>1140</v>
      </c>
      <c r="V369" t="s">
        <v>995</v>
      </c>
      <c r="W369" t="s">
        <v>1034</v>
      </c>
      <c r="X369" t="s">
        <v>992</v>
      </c>
    </row>
    <row r="370" spans="1:24" x14ac:dyDescent="0.25">
      <c r="A370" t="s">
        <v>42</v>
      </c>
      <c r="B370" t="s">
        <v>1990</v>
      </c>
      <c r="C370" t="s">
        <v>352</v>
      </c>
      <c r="D370" t="s">
        <v>992</v>
      </c>
      <c r="E370" t="s">
        <v>1021</v>
      </c>
      <c r="F370">
        <v>-2177</v>
      </c>
      <c r="G370" t="s">
        <v>1023</v>
      </c>
      <c r="H370" t="s">
        <v>1991</v>
      </c>
      <c r="I370" t="s">
        <v>1967</v>
      </c>
      <c r="J370" t="s">
        <v>1423</v>
      </c>
      <c r="K370" t="s">
        <v>1124</v>
      </c>
      <c r="L370" t="s">
        <v>1125</v>
      </c>
      <c r="M370" t="s">
        <v>1028</v>
      </c>
      <c r="N370" t="s">
        <v>1126</v>
      </c>
      <c r="O370" t="s">
        <v>992</v>
      </c>
      <c r="P370" t="s">
        <v>1128</v>
      </c>
      <c r="Q370" t="b">
        <v>1</v>
      </c>
      <c r="R370" t="b">
        <v>0</v>
      </c>
      <c r="S370" t="s">
        <v>1032</v>
      </c>
      <c r="T370" t="s">
        <v>992</v>
      </c>
      <c r="U370" t="s">
        <v>1140</v>
      </c>
      <c r="V370" t="s">
        <v>995</v>
      </c>
      <c r="W370" t="s">
        <v>1034</v>
      </c>
      <c r="X370" t="s">
        <v>992</v>
      </c>
    </row>
    <row r="371" spans="1:24" x14ac:dyDescent="0.25">
      <c r="A371" t="s">
        <v>42</v>
      </c>
      <c r="B371" t="s">
        <v>1992</v>
      </c>
      <c r="C371" t="s">
        <v>352</v>
      </c>
      <c r="E371" t="s">
        <v>1130</v>
      </c>
      <c r="F371">
        <v>12359</v>
      </c>
      <c r="G371" t="s">
        <v>1051</v>
      </c>
      <c r="H371" t="s">
        <v>1993</v>
      </c>
      <c r="I371" t="s">
        <v>1967</v>
      </c>
      <c r="J371" t="s">
        <v>1423</v>
      </c>
      <c r="K371" t="s">
        <v>1132</v>
      </c>
      <c r="L371" t="s">
        <v>1133</v>
      </c>
      <c r="M371" t="s">
        <v>1028</v>
      </c>
      <c r="N371" t="s">
        <v>1134</v>
      </c>
      <c r="O371" t="s">
        <v>992</v>
      </c>
      <c r="P371" t="s">
        <v>1136</v>
      </c>
      <c r="Q371" t="b">
        <v>1</v>
      </c>
      <c r="R371" t="b">
        <v>0</v>
      </c>
      <c r="S371" t="s">
        <v>1099</v>
      </c>
      <c r="T371" t="s">
        <v>992</v>
      </c>
      <c r="U371" t="s">
        <v>1060</v>
      </c>
      <c r="V371" t="s">
        <v>995</v>
      </c>
      <c r="W371" t="s">
        <v>1034</v>
      </c>
      <c r="X371" t="s">
        <v>1424</v>
      </c>
    </row>
    <row r="372" spans="1:24" x14ac:dyDescent="0.25">
      <c r="A372" t="s">
        <v>42</v>
      </c>
      <c r="B372" t="s">
        <v>1994</v>
      </c>
      <c r="C372" t="s">
        <v>353</v>
      </c>
      <c r="D372" t="s">
        <v>992</v>
      </c>
      <c r="E372" t="s">
        <v>990</v>
      </c>
      <c r="F372">
        <v>0</v>
      </c>
      <c r="G372" t="s">
        <v>1085</v>
      </c>
      <c r="H372" t="s">
        <v>1995</v>
      </c>
      <c r="I372" t="s">
        <v>1996</v>
      </c>
      <c r="J372" t="s">
        <v>1423</v>
      </c>
      <c r="K372" t="s">
        <v>992</v>
      </c>
      <c r="L372" t="s">
        <v>992</v>
      </c>
      <c r="M372" t="s">
        <v>992</v>
      </c>
      <c r="N372" t="s">
        <v>992</v>
      </c>
      <c r="O372" t="s">
        <v>992</v>
      </c>
      <c r="P372" t="s">
        <v>992</v>
      </c>
      <c r="Q372" t="b">
        <v>1</v>
      </c>
      <c r="R372" t="b">
        <v>0</v>
      </c>
      <c r="S372" t="s">
        <v>1032</v>
      </c>
      <c r="T372" t="s">
        <v>992</v>
      </c>
      <c r="U372" t="s">
        <v>1140</v>
      </c>
      <c r="V372" t="s">
        <v>1061</v>
      </c>
      <c r="W372" t="s">
        <v>1207</v>
      </c>
      <c r="X372" t="s">
        <v>1997</v>
      </c>
    </row>
    <row r="373" spans="1:24" x14ac:dyDescent="0.25">
      <c r="A373" t="s">
        <v>42</v>
      </c>
      <c r="B373" t="s">
        <v>1998</v>
      </c>
      <c r="C373" t="s">
        <v>353</v>
      </c>
      <c r="D373" t="s">
        <v>992</v>
      </c>
      <c r="E373" t="s">
        <v>999</v>
      </c>
      <c r="F373">
        <v>0</v>
      </c>
      <c r="G373" t="s">
        <v>1085</v>
      </c>
      <c r="H373" t="s">
        <v>1995</v>
      </c>
      <c r="I373" t="s">
        <v>1996</v>
      </c>
      <c r="J373" t="s">
        <v>1423</v>
      </c>
      <c r="K373" t="s">
        <v>992</v>
      </c>
      <c r="L373" t="s">
        <v>992</v>
      </c>
      <c r="M373" t="s">
        <v>992</v>
      </c>
      <c r="N373" t="s">
        <v>992</v>
      </c>
      <c r="O373" t="s">
        <v>992</v>
      </c>
      <c r="P373" t="s">
        <v>992</v>
      </c>
      <c r="Q373" t="b">
        <v>1</v>
      </c>
      <c r="R373" t="b">
        <v>0</v>
      </c>
      <c r="S373" t="s">
        <v>1032</v>
      </c>
      <c r="T373" t="s">
        <v>992</v>
      </c>
      <c r="U373" t="s">
        <v>1140</v>
      </c>
      <c r="V373" t="s">
        <v>1061</v>
      </c>
      <c r="W373" t="s">
        <v>1207</v>
      </c>
      <c r="X373" t="s">
        <v>1999</v>
      </c>
    </row>
    <row r="374" spans="1:24" x14ac:dyDescent="0.25">
      <c r="A374" t="s">
        <v>42</v>
      </c>
      <c r="B374" t="s">
        <v>2000</v>
      </c>
      <c r="C374" t="s">
        <v>353</v>
      </c>
      <c r="D374" t="s">
        <v>992</v>
      </c>
      <c r="E374" t="s">
        <v>1001</v>
      </c>
      <c r="F374">
        <v>0</v>
      </c>
      <c r="G374" t="s">
        <v>1085</v>
      </c>
      <c r="H374" t="s">
        <v>1995</v>
      </c>
      <c r="I374" t="s">
        <v>1996</v>
      </c>
      <c r="J374" t="s">
        <v>1423</v>
      </c>
      <c r="K374" t="s">
        <v>992</v>
      </c>
      <c r="L374" t="s">
        <v>992</v>
      </c>
      <c r="M374" t="s">
        <v>992</v>
      </c>
      <c r="N374" t="s">
        <v>992</v>
      </c>
      <c r="O374" t="s">
        <v>992</v>
      </c>
      <c r="P374" t="s">
        <v>992</v>
      </c>
      <c r="Q374" t="b">
        <v>1</v>
      </c>
      <c r="R374" t="b">
        <v>0</v>
      </c>
      <c r="S374" t="s">
        <v>1032</v>
      </c>
      <c r="T374" t="s">
        <v>992</v>
      </c>
      <c r="U374" t="s">
        <v>1140</v>
      </c>
      <c r="V374" t="s">
        <v>1061</v>
      </c>
      <c r="W374" t="s">
        <v>1207</v>
      </c>
      <c r="X374" t="s">
        <v>2001</v>
      </c>
    </row>
    <row r="375" spans="1:24" x14ac:dyDescent="0.25">
      <c r="A375" t="s">
        <v>42</v>
      </c>
      <c r="B375" t="s">
        <v>2002</v>
      </c>
      <c r="C375" t="s">
        <v>353</v>
      </c>
      <c r="D375" t="s">
        <v>992</v>
      </c>
      <c r="E375" t="s">
        <v>1003</v>
      </c>
      <c r="F375">
        <v>0</v>
      </c>
      <c r="G375" t="s">
        <v>1085</v>
      </c>
      <c r="H375" t="s">
        <v>1995</v>
      </c>
      <c r="I375" t="s">
        <v>1996</v>
      </c>
      <c r="J375" t="s">
        <v>1423</v>
      </c>
      <c r="K375" t="s">
        <v>992</v>
      </c>
      <c r="L375" t="s">
        <v>992</v>
      </c>
      <c r="M375" t="s">
        <v>992</v>
      </c>
      <c r="N375" t="s">
        <v>992</v>
      </c>
      <c r="O375" t="s">
        <v>992</v>
      </c>
      <c r="P375" t="s">
        <v>992</v>
      </c>
      <c r="Q375" t="b">
        <v>1</v>
      </c>
      <c r="R375" t="b">
        <v>0</v>
      </c>
      <c r="S375" t="s">
        <v>1032</v>
      </c>
      <c r="T375" t="s">
        <v>992</v>
      </c>
      <c r="U375" t="s">
        <v>1140</v>
      </c>
      <c r="V375" t="s">
        <v>1061</v>
      </c>
      <c r="W375" t="s">
        <v>1207</v>
      </c>
      <c r="X375" t="s">
        <v>2003</v>
      </c>
    </row>
    <row r="376" spans="1:24" x14ac:dyDescent="0.25">
      <c r="A376" t="s">
        <v>42</v>
      </c>
      <c r="B376" t="s">
        <v>2004</v>
      </c>
      <c r="C376" t="s">
        <v>353</v>
      </c>
      <c r="D376" t="s">
        <v>992</v>
      </c>
      <c r="E376" t="s">
        <v>1005</v>
      </c>
      <c r="F376">
        <v>0</v>
      </c>
      <c r="G376" t="s">
        <v>1085</v>
      </c>
      <c r="H376" t="s">
        <v>1995</v>
      </c>
      <c r="I376" t="s">
        <v>1996</v>
      </c>
      <c r="J376" t="s">
        <v>1423</v>
      </c>
      <c r="K376" t="s">
        <v>992</v>
      </c>
      <c r="L376" t="s">
        <v>992</v>
      </c>
      <c r="M376" t="s">
        <v>992</v>
      </c>
      <c r="N376" t="s">
        <v>992</v>
      </c>
      <c r="O376" t="s">
        <v>992</v>
      </c>
      <c r="P376" t="s">
        <v>992</v>
      </c>
      <c r="Q376" t="b">
        <v>1</v>
      </c>
      <c r="R376" t="b">
        <v>0</v>
      </c>
      <c r="S376" t="s">
        <v>1032</v>
      </c>
      <c r="T376" t="s">
        <v>992</v>
      </c>
      <c r="U376" t="s">
        <v>1140</v>
      </c>
      <c r="V376" t="s">
        <v>1061</v>
      </c>
      <c r="W376" t="s">
        <v>1207</v>
      </c>
      <c r="X376" t="s">
        <v>2005</v>
      </c>
    </row>
    <row r="377" spans="1:24" x14ac:dyDescent="0.25">
      <c r="A377" t="s">
        <v>42</v>
      </c>
      <c r="B377" t="s">
        <v>2006</v>
      </c>
      <c r="C377" t="s">
        <v>353</v>
      </c>
      <c r="D377" t="s">
        <v>992</v>
      </c>
      <c r="E377" t="s">
        <v>1007</v>
      </c>
      <c r="F377">
        <v>0</v>
      </c>
      <c r="G377" t="s">
        <v>1085</v>
      </c>
      <c r="H377" t="s">
        <v>1995</v>
      </c>
      <c r="I377" t="s">
        <v>1996</v>
      </c>
      <c r="J377" t="s">
        <v>1423</v>
      </c>
      <c r="K377" t="s">
        <v>992</v>
      </c>
      <c r="L377" t="s">
        <v>992</v>
      </c>
      <c r="M377" t="s">
        <v>992</v>
      </c>
      <c r="N377" t="s">
        <v>992</v>
      </c>
      <c r="O377" t="s">
        <v>992</v>
      </c>
      <c r="P377" t="s">
        <v>992</v>
      </c>
      <c r="Q377" t="b">
        <v>1</v>
      </c>
      <c r="R377" t="b">
        <v>0</v>
      </c>
      <c r="S377" t="s">
        <v>1032</v>
      </c>
      <c r="T377" t="s">
        <v>992</v>
      </c>
      <c r="U377" t="s">
        <v>1140</v>
      </c>
      <c r="V377" t="s">
        <v>1061</v>
      </c>
      <c r="W377" t="s">
        <v>1207</v>
      </c>
      <c r="X377" t="s">
        <v>2007</v>
      </c>
    </row>
    <row r="378" spans="1:24" x14ac:dyDescent="0.25">
      <c r="A378" t="s">
        <v>42</v>
      </c>
      <c r="B378" t="s">
        <v>2008</v>
      </c>
      <c r="C378" t="s">
        <v>353</v>
      </c>
      <c r="D378" t="s">
        <v>992</v>
      </c>
      <c r="E378" t="s">
        <v>1009</v>
      </c>
      <c r="F378">
        <v>0</v>
      </c>
      <c r="G378" t="s">
        <v>1085</v>
      </c>
      <c r="H378" t="s">
        <v>1995</v>
      </c>
      <c r="I378" t="s">
        <v>1996</v>
      </c>
      <c r="J378" t="s">
        <v>1423</v>
      </c>
      <c r="K378" t="s">
        <v>992</v>
      </c>
      <c r="L378" t="s">
        <v>992</v>
      </c>
      <c r="M378" t="s">
        <v>992</v>
      </c>
      <c r="N378" t="s">
        <v>992</v>
      </c>
      <c r="O378" t="s">
        <v>992</v>
      </c>
      <c r="P378" t="s">
        <v>992</v>
      </c>
      <c r="Q378" t="b">
        <v>1</v>
      </c>
      <c r="R378" t="b">
        <v>0</v>
      </c>
      <c r="S378" t="s">
        <v>1032</v>
      </c>
      <c r="T378" t="s">
        <v>992</v>
      </c>
      <c r="U378" t="s">
        <v>1140</v>
      </c>
      <c r="V378" t="s">
        <v>1061</v>
      </c>
      <c r="W378" t="s">
        <v>1207</v>
      </c>
      <c r="X378" t="s">
        <v>2009</v>
      </c>
    </row>
    <row r="379" spans="1:24" x14ac:dyDescent="0.25">
      <c r="A379" t="s">
        <v>42</v>
      </c>
      <c r="B379" t="s">
        <v>2010</v>
      </c>
      <c r="C379" t="s">
        <v>353</v>
      </c>
      <c r="D379" t="s">
        <v>992</v>
      </c>
      <c r="E379" t="s">
        <v>1011</v>
      </c>
      <c r="F379">
        <v>0</v>
      </c>
      <c r="G379" t="s">
        <v>1085</v>
      </c>
      <c r="H379" t="s">
        <v>1995</v>
      </c>
      <c r="I379" t="s">
        <v>1996</v>
      </c>
      <c r="J379" t="s">
        <v>1423</v>
      </c>
      <c r="K379" t="s">
        <v>992</v>
      </c>
      <c r="L379" t="s">
        <v>992</v>
      </c>
      <c r="M379" t="s">
        <v>992</v>
      </c>
      <c r="N379" t="s">
        <v>992</v>
      </c>
      <c r="O379" t="s">
        <v>992</v>
      </c>
      <c r="P379" t="s">
        <v>992</v>
      </c>
      <c r="Q379" t="b">
        <v>1</v>
      </c>
      <c r="R379" t="b">
        <v>0</v>
      </c>
      <c r="S379" t="s">
        <v>1032</v>
      </c>
      <c r="T379" t="s">
        <v>992</v>
      </c>
      <c r="U379" t="s">
        <v>1140</v>
      </c>
      <c r="V379" t="s">
        <v>1061</v>
      </c>
      <c r="W379" t="s">
        <v>1207</v>
      </c>
      <c r="X379" t="s">
        <v>2011</v>
      </c>
    </row>
    <row r="380" spans="1:24" x14ac:dyDescent="0.25">
      <c r="A380" t="s">
        <v>42</v>
      </c>
      <c r="B380" t="s">
        <v>2012</v>
      </c>
      <c r="C380" t="s">
        <v>353</v>
      </c>
      <c r="D380" t="s">
        <v>992</v>
      </c>
      <c r="E380" t="s">
        <v>1013</v>
      </c>
      <c r="F380">
        <v>0</v>
      </c>
      <c r="G380" t="s">
        <v>1085</v>
      </c>
      <c r="H380" t="s">
        <v>1995</v>
      </c>
      <c r="I380" t="s">
        <v>1996</v>
      </c>
      <c r="J380" t="s">
        <v>1423</v>
      </c>
      <c r="K380" t="s">
        <v>992</v>
      </c>
      <c r="L380" t="s">
        <v>992</v>
      </c>
      <c r="M380" t="s">
        <v>992</v>
      </c>
      <c r="N380" t="s">
        <v>992</v>
      </c>
      <c r="O380" t="s">
        <v>992</v>
      </c>
      <c r="P380" t="s">
        <v>992</v>
      </c>
      <c r="Q380" t="b">
        <v>1</v>
      </c>
      <c r="R380" t="b">
        <v>0</v>
      </c>
      <c r="S380" t="s">
        <v>1032</v>
      </c>
      <c r="T380" t="s">
        <v>992</v>
      </c>
      <c r="U380" t="s">
        <v>1140</v>
      </c>
      <c r="V380" t="s">
        <v>1061</v>
      </c>
      <c r="W380" t="s">
        <v>1207</v>
      </c>
      <c r="X380" t="s">
        <v>2013</v>
      </c>
    </row>
    <row r="381" spans="1:24" x14ac:dyDescent="0.25">
      <c r="A381" t="s">
        <v>42</v>
      </c>
      <c r="B381" t="s">
        <v>2014</v>
      </c>
      <c r="C381" t="s">
        <v>353</v>
      </c>
      <c r="D381" t="s">
        <v>992</v>
      </c>
      <c r="E381" t="s">
        <v>1015</v>
      </c>
      <c r="F381">
        <v>0</v>
      </c>
      <c r="G381" t="s">
        <v>1085</v>
      </c>
      <c r="H381" t="s">
        <v>1995</v>
      </c>
      <c r="I381" t="s">
        <v>1996</v>
      </c>
      <c r="J381" t="s">
        <v>1423</v>
      </c>
      <c r="K381" t="s">
        <v>992</v>
      </c>
      <c r="L381" t="s">
        <v>992</v>
      </c>
      <c r="M381" t="s">
        <v>992</v>
      </c>
      <c r="N381" t="s">
        <v>992</v>
      </c>
      <c r="O381" t="s">
        <v>992</v>
      </c>
      <c r="P381" t="s">
        <v>992</v>
      </c>
      <c r="Q381" t="b">
        <v>1</v>
      </c>
      <c r="R381" t="b">
        <v>0</v>
      </c>
      <c r="S381" t="s">
        <v>1032</v>
      </c>
      <c r="T381" t="s">
        <v>992</v>
      </c>
      <c r="U381" t="s">
        <v>1140</v>
      </c>
      <c r="V381" t="s">
        <v>1061</v>
      </c>
      <c r="W381" t="s">
        <v>1207</v>
      </c>
      <c r="X381" t="s">
        <v>2015</v>
      </c>
    </row>
    <row r="382" spans="1:24" x14ac:dyDescent="0.25">
      <c r="A382" t="s">
        <v>42</v>
      </c>
      <c r="B382" t="s">
        <v>2016</v>
      </c>
      <c r="C382" t="s">
        <v>353</v>
      </c>
      <c r="D382" t="s">
        <v>992</v>
      </c>
      <c r="E382" t="s">
        <v>1017</v>
      </c>
      <c r="F382">
        <v>0</v>
      </c>
      <c r="G382" t="s">
        <v>1085</v>
      </c>
      <c r="H382" t="s">
        <v>1995</v>
      </c>
      <c r="I382" t="s">
        <v>1996</v>
      </c>
      <c r="J382" t="s">
        <v>1423</v>
      </c>
      <c r="K382" t="s">
        <v>992</v>
      </c>
      <c r="L382" t="s">
        <v>992</v>
      </c>
      <c r="M382" t="s">
        <v>992</v>
      </c>
      <c r="N382" t="s">
        <v>992</v>
      </c>
      <c r="O382" t="s">
        <v>992</v>
      </c>
      <c r="P382" t="s">
        <v>992</v>
      </c>
      <c r="Q382" t="b">
        <v>1</v>
      </c>
      <c r="R382" t="b">
        <v>0</v>
      </c>
      <c r="S382" t="s">
        <v>1032</v>
      </c>
      <c r="T382" t="s">
        <v>992</v>
      </c>
      <c r="U382" t="s">
        <v>1140</v>
      </c>
      <c r="V382" t="s">
        <v>1061</v>
      </c>
      <c r="W382" t="s">
        <v>1207</v>
      </c>
      <c r="X382" t="s">
        <v>2017</v>
      </c>
    </row>
    <row r="383" spans="1:24" x14ac:dyDescent="0.25">
      <c r="A383" t="s">
        <v>42</v>
      </c>
      <c r="B383" t="s">
        <v>2018</v>
      </c>
      <c r="C383" t="s">
        <v>353</v>
      </c>
      <c r="D383" t="s">
        <v>992</v>
      </c>
      <c r="E383" t="s">
        <v>1019</v>
      </c>
      <c r="F383">
        <v>0</v>
      </c>
      <c r="G383" t="s">
        <v>1085</v>
      </c>
      <c r="H383" t="s">
        <v>1995</v>
      </c>
      <c r="I383" t="s">
        <v>1996</v>
      </c>
      <c r="J383" t="s">
        <v>1423</v>
      </c>
      <c r="K383" t="s">
        <v>992</v>
      </c>
      <c r="L383" t="s">
        <v>992</v>
      </c>
      <c r="M383" t="s">
        <v>992</v>
      </c>
      <c r="N383" t="s">
        <v>992</v>
      </c>
      <c r="O383" t="s">
        <v>992</v>
      </c>
      <c r="P383" t="s">
        <v>992</v>
      </c>
      <c r="Q383" t="b">
        <v>1</v>
      </c>
      <c r="R383" t="b">
        <v>0</v>
      </c>
      <c r="S383" t="s">
        <v>1032</v>
      </c>
      <c r="T383" t="s">
        <v>992</v>
      </c>
      <c r="U383" t="s">
        <v>1140</v>
      </c>
      <c r="V383" t="s">
        <v>1061</v>
      </c>
      <c r="W383" t="s">
        <v>1207</v>
      </c>
      <c r="X383" t="s">
        <v>2019</v>
      </c>
    </row>
    <row r="384" spans="1:24" x14ac:dyDescent="0.25">
      <c r="A384" t="s">
        <v>42</v>
      </c>
      <c r="B384" t="s">
        <v>2020</v>
      </c>
      <c r="C384" t="s">
        <v>353</v>
      </c>
      <c r="D384" t="s">
        <v>992</v>
      </c>
      <c r="E384" t="s">
        <v>1021</v>
      </c>
      <c r="F384">
        <v>0</v>
      </c>
      <c r="G384" t="s">
        <v>1085</v>
      </c>
      <c r="H384" t="s">
        <v>1995</v>
      </c>
      <c r="I384" t="s">
        <v>1996</v>
      </c>
      <c r="J384" t="s">
        <v>1423</v>
      </c>
      <c r="K384" t="s">
        <v>992</v>
      </c>
      <c r="L384" t="s">
        <v>992</v>
      </c>
      <c r="M384" t="s">
        <v>992</v>
      </c>
      <c r="N384" t="s">
        <v>992</v>
      </c>
      <c r="O384" t="s">
        <v>992</v>
      </c>
      <c r="P384" t="s">
        <v>992</v>
      </c>
      <c r="Q384" t="b">
        <v>1</v>
      </c>
      <c r="R384" t="b">
        <v>0</v>
      </c>
      <c r="S384" t="s">
        <v>1032</v>
      </c>
      <c r="T384" t="s">
        <v>992</v>
      </c>
      <c r="U384" t="s">
        <v>1140</v>
      </c>
      <c r="V384" t="s">
        <v>1061</v>
      </c>
      <c r="W384" t="s">
        <v>1207</v>
      </c>
      <c r="X384" t="s">
        <v>2021</v>
      </c>
    </row>
    <row r="385" spans="1:24" x14ac:dyDescent="0.25">
      <c r="A385" t="s">
        <v>42</v>
      </c>
      <c r="B385" t="s">
        <v>2022</v>
      </c>
      <c r="C385" t="s">
        <v>353</v>
      </c>
      <c r="D385" t="s">
        <v>992</v>
      </c>
      <c r="E385" t="s">
        <v>1130</v>
      </c>
      <c r="F385">
        <v>0</v>
      </c>
      <c r="G385" t="s">
        <v>1085</v>
      </c>
      <c r="H385" t="s">
        <v>1995</v>
      </c>
      <c r="I385" t="s">
        <v>1996</v>
      </c>
      <c r="J385" t="s">
        <v>1423</v>
      </c>
      <c r="K385" t="s">
        <v>992</v>
      </c>
      <c r="L385" t="s">
        <v>992</v>
      </c>
      <c r="M385" t="s">
        <v>992</v>
      </c>
      <c r="N385" t="s">
        <v>992</v>
      </c>
      <c r="O385" t="s">
        <v>992</v>
      </c>
      <c r="P385" t="s">
        <v>992</v>
      </c>
      <c r="Q385" t="b">
        <v>1</v>
      </c>
      <c r="R385" t="b">
        <v>0</v>
      </c>
      <c r="S385" t="s">
        <v>1032</v>
      </c>
      <c r="T385" t="s">
        <v>992</v>
      </c>
      <c r="U385" t="s">
        <v>1140</v>
      </c>
      <c r="V385" t="s">
        <v>1061</v>
      </c>
      <c r="W385" t="s">
        <v>1207</v>
      </c>
      <c r="X385" t="s">
        <v>2023</v>
      </c>
    </row>
    <row r="386" spans="1:24" x14ac:dyDescent="0.25">
      <c r="A386" t="s">
        <v>42</v>
      </c>
      <c r="B386" t="s">
        <v>2024</v>
      </c>
      <c r="C386" t="s">
        <v>354</v>
      </c>
      <c r="D386" t="s">
        <v>992</v>
      </c>
      <c r="E386" t="s">
        <v>990</v>
      </c>
      <c r="F386">
        <v>-12912</v>
      </c>
      <c r="G386" t="s">
        <v>1023</v>
      </c>
      <c r="H386" t="s">
        <v>2025</v>
      </c>
      <c r="I386" t="s">
        <v>2026</v>
      </c>
      <c r="J386" t="s">
        <v>1423</v>
      </c>
      <c r="K386" t="s">
        <v>1026</v>
      </c>
      <c r="L386" t="s">
        <v>1027</v>
      </c>
      <c r="M386" t="s">
        <v>1028</v>
      </c>
      <c r="N386" t="s">
        <v>1029</v>
      </c>
      <c r="O386" t="s">
        <v>992</v>
      </c>
      <c r="P386" t="s">
        <v>1031</v>
      </c>
      <c r="Q386" t="b">
        <v>1</v>
      </c>
      <c r="R386" t="b">
        <v>0</v>
      </c>
      <c r="S386" t="s">
        <v>1032</v>
      </c>
      <c r="T386" t="s">
        <v>992</v>
      </c>
      <c r="U386" t="s">
        <v>1140</v>
      </c>
      <c r="V386" t="s">
        <v>995</v>
      </c>
      <c r="W386" t="s">
        <v>1034</v>
      </c>
      <c r="X386" t="s">
        <v>992</v>
      </c>
    </row>
    <row r="387" spans="1:24" x14ac:dyDescent="0.25">
      <c r="A387" t="s">
        <v>42</v>
      </c>
      <c r="B387" t="s">
        <v>2027</v>
      </c>
      <c r="C387" t="s">
        <v>354</v>
      </c>
      <c r="D387" t="s">
        <v>992</v>
      </c>
      <c r="E387" t="s">
        <v>999</v>
      </c>
      <c r="F387">
        <v>-11746</v>
      </c>
      <c r="G387" t="s">
        <v>1023</v>
      </c>
      <c r="H387" t="s">
        <v>2028</v>
      </c>
      <c r="I387" t="s">
        <v>2026</v>
      </c>
      <c r="J387" t="s">
        <v>1423</v>
      </c>
      <c r="K387" t="s">
        <v>1038</v>
      </c>
      <c r="L387" t="s">
        <v>1039</v>
      </c>
      <c r="M387" t="s">
        <v>1028</v>
      </c>
      <c r="N387" t="s">
        <v>1040</v>
      </c>
      <c r="O387" t="s">
        <v>992</v>
      </c>
      <c r="P387" t="s">
        <v>1042</v>
      </c>
      <c r="Q387" t="b">
        <v>1</v>
      </c>
      <c r="R387" t="b">
        <v>0</v>
      </c>
      <c r="S387" t="s">
        <v>1032</v>
      </c>
      <c r="T387" t="s">
        <v>992</v>
      </c>
      <c r="U387" t="s">
        <v>1140</v>
      </c>
      <c r="V387" t="s">
        <v>995</v>
      </c>
      <c r="W387" t="s">
        <v>1034</v>
      </c>
      <c r="X387" t="s">
        <v>992</v>
      </c>
    </row>
    <row r="388" spans="1:24" x14ac:dyDescent="0.25">
      <c r="A388" t="s">
        <v>42</v>
      </c>
      <c r="B388" t="s">
        <v>2029</v>
      </c>
      <c r="C388" t="s">
        <v>354</v>
      </c>
      <c r="D388" t="s">
        <v>992</v>
      </c>
      <c r="E388" t="s">
        <v>1001</v>
      </c>
      <c r="F388">
        <v>-11801</v>
      </c>
      <c r="G388" t="s">
        <v>1023</v>
      </c>
      <c r="H388" t="s">
        <v>2030</v>
      </c>
      <c r="I388" t="s">
        <v>2026</v>
      </c>
      <c r="J388" t="s">
        <v>1423</v>
      </c>
      <c r="K388" t="s">
        <v>1045</v>
      </c>
      <c r="L388" t="s">
        <v>1046</v>
      </c>
      <c r="M388" t="s">
        <v>1028</v>
      </c>
      <c r="N388" t="s">
        <v>1047</v>
      </c>
      <c r="O388" t="s">
        <v>992</v>
      </c>
      <c r="P388" t="s">
        <v>1049</v>
      </c>
      <c r="Q388" t="b">
        <v>1</v>
      </c>
      <c r="R388" t="b">
        <v>0</v>
      </c>
      <c r="S388" t="s">
        <v>1032</v>
      </c>
      <c r="T388" t="s">
        <v>992</v>
      </c>
      <c r="U388" t="s">
        <v>1140</v>
      </c>
      <c r="V388" t="s">
        <v>995</v>
      </c>
      <c r="W388" t="s">
        <v>1034</v>
      </c>
      <c r="X388" t="s">
        <v>992</v>
      </c>
    </row>
    <row r="389" spans="1:24" x14ac:dyDescent="0.25">
      <c r="A389" t="s">
        <v>42</v>
      </c>
      <c r="B389" t="s">
        <v>2031</v>
      </c>
      <c r="C389" t="s">
        <v>354</v>
      </c>
      <c r="D389" t="s">
        <v>992</v>
      </c>
      <c r="E389" t="s">
        <v>1003</v>
      </c>
      <c r="F389">
        <v>-11452</v>
      </c>
      <c r="G389" t="s">
        <v>1023</v>
      </c>
      <c r="H389" t="s">
        <v>2032</v>
      </c>
      <c r="I389" t="s">
        <v>2026</v>
      </c>
      <c r="J389" t="s">
        <v>1423</v>
      </c>
      <c r="K389" t="s">
        <v>1087</v>
      </c>
      <c r="L389" t="s">
        <v>1088</v>
      </c>
      <c r="M389" t="s">
        <v>1056</v>
      </c>
      <c r="N389" t="s">
        <v>1089</v>
      </c>
      <c r="O389" t="s">
        <v>992</v>
      </c>
      <c r="P389" t="s">
        <v>1058</v>
      </c>
      <c r="Q389" t="b">
        <v>1</v>
      </c>
      <c r="R389" t="b">
        <v>0</v>
      </c>
      <c r="S389" t="s">
        <v>1032</v>
      </c>
      <c r="T389" t="s">
        <v>992</v>
      </c>
      <c r="U389" t="s">
        <v>1140</v>
      </c>
      <c r="V389" t="s">
        <v>995</v>
      </c>
      <c r="W389" t="s">
        <v>1034</v>
      </c>
      <c r="X389" t="s">
        <v>992</v>
      </c>
    </row>
    <row r="390" spans="1:24" x14ac:dyDescent="0.25">
      <c r="A390" t="s">
        <v>42</v>
      </c>
      <c r="B390" t="s">
        <v>2033</v>
      </c>
      <c r="C390" t="s">
        <v>354</v>
      </c>
      <c r="D390" t="s">
        <v>992</v>
      </c>
      <c r="E390" t="s">
        <v>1005</v>
      </c>
      <c r="F390">
        <v>-9378</v>
      </c>
      <c r="G390" t="s">
        <v>1023</v>
      </c>
      <c r="H390" t="s">
        <v>2034</v>
      </c>
      <c r="I390" t="s">
        <v>2026</v>
      </c>
      <c r="J390" t="s">
        <v>1423</v>
      </c>
      <c r="K390" t="s">
        <v>1065</v>
      </c>
      <c r="L390" t="s">
        <v>1066</v>
      </c>
      <c r="M390" t="s">
        <v>1028</v>
      </c>
      <c r="N390" t="s">
        <v>1067</v>
      </c>
      <c r="O390" t="s">
        <v>992</v>
      </c>
      <c r="P390" t="s">
        <v>1069</v>
      </c>
      <c r="Q390" t="b">
        <v>1</v>
      </c>
      <c r="R390" t="b">
        <v>0</v>
      </c>
      <c r="S390" t="s">
        <v>1032</v>
      </c>
      <c r="T390" t="s">
        <v>992</v>
      </c>
      <c r="U390" t="s">
        <v>1140</v>
      </c>
      <c r="V390" t="s">
        <v>995</v>
      </c>
      <c r="W390" t="s">
        <v>1034</v>
      </c>
      <c r="X390" t="s">
        <v>992</v>
      </c>
    </row>
    <row r="391" spans="1:24" x14ac:dyDescent="0.25">
      <c r="A391" t="s">
        <v>42</v>
      </c>
      <c r="B391" t="s">
        <v>2035</v>
      </c>
      <c r="C391" t="s">
        <v>354</v>
      </c>
      <c r="D391" t="s">
        <v>992</v>
      </c>
      <c r="E391" t="s">
        <v>1007</v>
      </c>
      <c r="F391">
        <v>-8960</v>
      </c>
      <c r="G391" t="s">
        <v>1023</v>
      </c>
      <c r="H391" t="s">
        <v>2036</v>
      </c>
      <c r="I391" t="s">
        <v>2026</v>
      </c>
      <c r="J391" t="s">
        <v>1423</v>
      </c>
      <c r="K391" t="s">
        <v>1072</v>
      </c>
      <c r="L391" t="s">
        <v>1073</v>
      </c>
      <c r="M391" t="s">
        <v>1028</v>
      </c>
      <c r="N391" t="s">
        <v>1074</v>
      </c>
      <c r="O391" t="s">
        <v>992</v>
      </c>
      <c r="P391" t="s">
        <v>1076</v>
      </c>
      <c r="Q391" t="b">
        <v>1</v>
      </c>
      <c r="R391" t="b">
        <v>0</v>
      </c>
      <c r="S391" t="s">
        <v>1032</v>
      </c>
      <c r="T391" t="s">
        <v>992</v>
      </c>
      <c r="U391" t="s">
        <v>1140</v>
      </c>
      <c r="V391" t="s">
        <v>995</v>
      </c>
      <c r="W391" t="s">
        <v>1034</v>
      </c>
      <c r="X391" t="s">
        <v>992</v>
      </c>
    </row>
    <row r="392" spans="1:24" x14ac:dyDescent="0.25">
      <c r="A392" t="s">
        <v>42</v>
      </c>
      <c r="B392" t="s">
        <v>2037</v>
      </c>
      <c r="C392" t="s">
        <v>354</v>
      </c>
      <c r="D392" t="s">
        <v>992</v>
      </c>
      <c r="E392" t="s">
        <v>1009</v>
      </c>
      <c r="F392">
        <v>-8416</v>
      </c>
      <c r="G392" t="s">
        <v>1023</v>
      </c>
      <c r="H392" t="s">
        <v>2038</v>
      </c>
      <c r="I392" t="s">
        <v>2026</v>
      </c>
      <c r="J392" t="s">
        <v>1423</v>
      </c>
      <c r="K392" t="s">
        <v>1079</v>
      </c>
      <c r="L392" t="s">
        <v>1080</v>
      </c>
      <c r="M392" t="s">
        <v>1028</v>
      </c>
      <c r="N392" t="s">
        <v>1081</v>
      </c>
      <c r="O392" t="s">
        <v>992</v>
      </c>
      <c r="P392" t="s">
        <v>1083</v>
      </c>
      <c r="Q392" t="b">
        <v>1</v>
      </c>
      <c r="R392" t="b">
        <v>0</v>
      </c>
      <c r="S392" t="s">
        <v>1032</v>
      </c>
      <c r="T392" t="s">
        <v>992</v>
      </c>
      <c r="U392" t="s">
        <v>1140</v>
      </c>
      <c r="V392" t="s">
        <v>995</v>
      </c>
      <c r="W392" t="s">
        <v>1034</v>
      </c>
      <c r="X392" t="s">
        <v>992</v>
      </c>
    </row>
    <row r="393" spans="1:24" x14ac:dyDescent="0.25">
      <c r="A393" t="s">
        <v>42</v>
      </c>
      <c r="B393" t="s">
        <v>2039</v>
      </c>
      <c r="C393" t="s">
        <v>354</v>
      </c>
      <c r="D393" t="s">
        <v>992</v>
      </c>
      <c r="E393" t="s">
        <v>1011</v>
      </c>
      <c r="F393">
        <v>-7172</v>
      </c>
      <c r="G393" t="s">
        <v>1023</v>
      </c>
      <c r="H393" t="s">
        <v>2040</v>
      </c>
      <c r="I393" t="s">
        <v>2026</v>
      </c>
      <c r="J393" t="s">
        <v>1423</v>
      </c>
      <c r="K393" t="s">
        <v>1117</v>
      </c>
      <c r="L393" t="s">
        <v>1118</v>
      </c>
      <c r="M393" t="s">
        <v>1056</v>
      </c>
      <c r="N393" t="s">
        <v>1119</v>
      </c>
      <c r="O393" t="s">
        <v>992</v>
      </c>
      <c r="P393" t="s">
        <v>1090</v>
      </c>
      <c r="Q393" t="b">
        <v>1</v>
      </c>
      <c r="R393" t="b">
        <v>0</v>
      </c>
      <c r="S393" t="s">
        <v>1032</v>
      </c>
      <c r="T393" t="s">
        <v>992</v>
      </c>
      <c r="U393" t="s">
        <v>1140</v>
      </c>
      <c r="V393" t="s">
        <v>995</v>
      </c>
      <c r="W393" t="s">
        <v>1034</v>
      </c>
      <c r="X393" t="s">
        <v>992</v>
      </c>
    </row>
    <row r="394" spans="1:24" x14ac:dyDescent="0.25">
      <c r="A394" t="s">
        <v>42</v>
      </c>
      <c r="B394" t="s">
        <v>2041</v>
      </c>
      <c r="C394" t="s">
        <v>354</v>
      </c>
      <c r="D394" t="s">
        <v>992</v>
      </c>
      <c r="E394" t="s">
        <v>1013</v>
      </c>
      <c r="F394">
        <v>-6789</v>
      </c>
      <c r="G394" t="s">
        <v>1023</v>
      </c>
      <c r="H394" t="s">
        <v>2042</v>
      </c>
      <c r="I394" t="s">
        <v>2026</v>
      </c>
      <c r="J394" t="s">
        <v>1423</v>
      </c>
      <c r="K394" t="s">
        <v>1094</v>
      </c>
      <c r="L394" t="s">
        <v>1095</v>
      </c>
      <c r="M394" t="s">
        <v>1028</v>
      </c>
      <c r="N394" t="s">
        <v>1096</v>
      </c>
      <c r="O394" t="s">
        <v>992</v>
      </c>
      <c r="P394" t="s">
        <v>1098</v>
      </c>
      <c r="Q394" t="b">
        <v>1</v>
      </c>
      <c r="R394" t="b">
        <v>0</v>
      </c>
      <c r="S394" t="s">
        <v>1032</v>
      </c>
      <c r="T394" t="s">
        <v>992</v>
      </c>
      <c r="U394" t="s">
        <v>1140</v>
      </c>
      <c r="V394" t="s">
        <v>995</v>
      </c>
      <c r="W394" t="s">
        <v>1034</v>
      </c>
      <c r="X394" t="s">
        <v>992</v>
      </c>
    </row>
    <row r="395" spans="1:24" x14ac:dyDescent="0.25">
      <c r="A395" t="s">
        <v>42</v>
      </c>
      <c r="B395" t="s">
        <v>2043</v>
      </c>
      <c r="C395" t="s">
        <v>354</v>
      </c>
      <c r="D395" t="s">
        <v>992</v>
      </c>
      <c r="E395" t="s">
        <v>1015</v>
      </c>
      <c r="F395">
        <v>-6363</v>
      </c>
      <c r="G395" t="s">
        <v>1023</v>
      </c>
      <c r="H395" t="s">
        <v>2044</v>
      </c>
      <c r="I395" t="s">
        <v>2026</v>
      </c>
      <c r="J395" t="s">
        <v>1423</v>
      </c>
      <c r="K395" t="s">
        <v>1103</v>
      </c>
      <c r="L395" t="s">
        <v>1104</v>
      </c>
      <c r="M395" t="s">
        <v>1028</v>
      </c>
      <c r="N395" t="s">
        <v>1105</v>
      </c>
      <c r="O395" t="s">
        <v>992</v>
      </c>
      <c r="P395" t="s">
        <v>1107</v>
      </c>
      <c r="Q395" t="b">
        <v>1</v>
      </c>
      <c r="R395" t="b">
        <v>0</v>
      </c>
      <c r="S395" t="s">
        <v>1032</v>
      </c>
      <c r="T395" t="s">
        <v>992</v>
      </c>
      <c r="U395" t="s">
        <v>1140</v>
      </c>
      <c r="V395" t="s">
        <v>995</v>
      </c>
      <c r="W395" t="s">
        <v>1034</v>
      </c>
      <c r="X395" t="s">
        <v>992</v>
      </c>
    </row>
    <row r="396" spans="1:24" x14ac:dyDescent="0.25">
      <c r="A396" t="s">
        <v>42</v>
      </c>
      <c r="B396" t="s">
        <v>2045</v>
      </c>
      <c r="C396" t="s">
        <v>354</v>
      </c>
      <c r="D396" t="s">
        <v>992</v>
      </c>
      <c r="E396" t="s">
        <v>1017</v>
      </c>
      <c r="F396">
        <v>-6369</v>
      </c>
      <c r="G396" t="s">
        <v>1023</v>
      </c>
      <c r="H396" t="s">
        <v>2046</v>
      </c>
      <c r="I396" t="s">
        <v>2026</v>
      </c>
      <c r="J396" t="s">
        <v>1423</v>
      </c>
      <c r="K396" t="s">
        <v>1110</v>
      </c>
      <c r="L396" t="s">
        <v>1111</v>
      </c>
      <c r="M396" t="s">
        <v>1028</v>
      </c>
      <c r="N396" t="s">
        <v>1112</v>
      </c>
      <c r="O396" t="s">
        <v>992</v>
      </c>
      <c r="P396" t="s">
        <v>1114</v>
      </c>
      <c r="Q396" t="b">
        <v>1</v>
      </c>
      <c r="R396" t="b">
        <v>0</v>
      </c>
      <c r="S396" t="s">
        <v>1032</v>
      </c>
      <c r="T396" t="s">
        <v>992</v>
      </c>
      <c r="U396" t="s">
        <v>1140</v>
      </c>
      <c r="V396" t="s">
        <v>995</v>
      </c>
      <c r="W396" t="s">
        <v>1034</v>
      </c>
      <c r="X396" t="s">
        <v>992</v>
      </c>
    </row>
    <row r="397" spans="1:24" x14ac:dyDescent="0.25">
      <c r="A397" t="s">
        <v>42</v>
      </c>
      <c r="B397" t="s">
        <v>2047</v>
      </c>
      <c r="C397" t="s">
        <v>354</v>
      </c>
      <c r="D397" t="s">
        <v>992</v>
      </c>
      <c r="E397" t="s">
        <v>1019</v>
      </c>
      <c r="F397">
        <v>-5571</v>
      </c>
      <c r="G397" t="s">
        <v>1023</v>
      </c>
      <c r="H397" t="s">
        <v>2048</v>
      </c>
      <c r="I397" t="s">
        <v>2026</v>
      </c>
      <c r="J397" t="s">
        <v>1423</v>
      </c>
      <c r="K397" t="s">
        <v>1132</v>
      </c>
      <c r="L397" t="s">
        <v>1133</v>
      </c>
      <c r="M397" t="s">
        <v>1028</v>
      </c>
      <c r="N397" t="s">
        <v>1134</v>
      </c>
      <c r="O397" t="s">
        <v>992</v>
      </c>
      <c r="P397" t="s">
        <v>1120</v>
      </c>
      <c r="Q397" t="b">
        <v>1</v>
      </c>
      <c r="R397" t="b">
        <v>0</v>
      </c>
      <c r="S397" t="s">
        <v>1032</v>
      </c>
      <c r="T397" t="s">
        <v>992</v>
      </c>
      <c r="U397" t="s">
        <v>1140</v>
      </c>
      <c r="V397" t="s">
        <v>995</v>
      </c>
      <c r="W397" t="s">
        <v>1034</v>
      </c>
      <c r="X397" t="s">
        <v>992</v>
      </c>
    </row>
    <row r="398" spans="1:24" x14ac:dyDescent="0.25">
      <c r="A398" t="s">
        <v>42</v>
      </c>
      <c r="B398" t="s">
        <v>2049</v>
      </c>
      <c r="C398" t="s">
        <v>354</v>
      </c>
      <c r="E398" t="s">
        <v>1021</v>
      </c>
      <c r="F398">
        <v>-4854</v>
      </c>
      <c r="G398" t="s">
        <v>1051</v>
      </c>
      <c r="H398" t="s">
        <v>2050</v>
      </c>
      <c r="I398" t="s">
        <v>2026</v>
      </c>
      <c r="J398" t="s">
        <v>1423</v>
      </c>
      <c r="K398" t="s">
        <v>1124</v>
      </c>
      <c r="L398" t="s">
        <v>1125</v>
      </c>
      <c r="M398" t="s">
        <v>1028</v>
      </c>
      <c r="N398" t="s">
        <v>1126</v>
      </c>
      <c r="O398" t="s">
        <v>992</v>
      </c>
      <c r="P398" t="s">
        <v>1128</v>
      </c>
      <c r="Q398" t="b">
        <v>1</v>
      </c>
      <c r="R398" t="b">
        <v>0</v>
      </c>
      <c r="S398" t="s">
        <v>1099</v>
      </c>
      <c r="T398" t="s">
        <v>992</v>
      </c>
      <c r="U398" t="s">
        <v>1060</v>
      </c>
      <c r="V398" t="s">
        <v>995</v>
      </c>
      <c r="W398" t="s">
        <v>1034</v>
      </c>
      <c r="X398" t="s">
        <v>1424</v>
      </c>
    </row>
    <row r="399" spans="1:24" x14ac:dyDescent="0.25">
      <c r="A399" t="s">
        <v>42</v>
      </c>
      <c r="B399" t="s">
        <v>2051</v>
      </c>
      <c r="C399" t="s">
        <v>354</v>
      </c>
      <c r="E399" t="s">
        <v>1130</v>
      </c>
      <c r="F399">
        <v>-5375</v>
      </c>
      <c r="G399" t="s">
        <v>1051</v>
      </c>
      <c r="H399" t="s">
        <v>2052</v>
      </c>
      <c r="I399" t="s">
        <v>2026</v>
      </c>
      <c r="J399" t="s">
        <v>1423</v>
      </c>
      <c r="K399" t="s">
        <v>1132</v>
      </c>
      <c r="L399" t="s">
        <v>1133</v>
      </c>
      <c r="M399" t="s">
        <v>1028</v>
      </c>
      <c r="N399" t="s">
        <v>1134</v>
      </c>
      <c r="O399" t="s">
        <v>992</v>
      </c>
      <c r="P399" t="s">
        <v>1136</v>
      </c>
      <c r="Q399" t="b">
        <v>1</v>
      </c>
      <c r="R399" t="b">
        <v>0</v>
      </c>
      <c r="S399" t="s">
        <v>1099</v>
      </c>
      <c r="T399" t="s">
        <v>992</v>
      </c>
      <c r="U399" t="s">
        <v>1060</v>
      </c>
      <c r="V399" t="s">
        <v>995</v>
      </c>
      <c r="W399" t="s">
        <v>1034</v>
      </c>
      <c r="X399" t="s">
        <v>1424</v>
      </c>
    </row>
    <row r="400" spans="1:24" x14ac:dyDescent="0.25">
      <c r="A400" t="s">
        <v>42</v>
      </c>
      <c r="B400" t="s">
        <v>2053</v>
      </c>
      <c r="C400" t="s">
        <v>405</v>
      </c>
      <c r="D400" t="s">
        <v>403</v>
      </c>
      <c r="E400" t="s">
        <v>990</v>
      </c>
      <c r="F400">
        <v>2905</v>
      </c>
      <c r="G400" t="s">
        <v>2054</v>
      </c>
      <c r="H400" t="s">
        <v>2055</v>
      </c>
      <c r="I400" t="s">
        <v>2056</v>
      </c>
      <c r="J400" t="s">
        <v>2057</v>
      </c>
      <c r="K400" t="s">
        <v>1026</v>
      </c>
      <c r="L400" t="s">
        <v>1027</v>
      </c>
      <c r="M400" t="s">
        <v>1028</v>
      </c>
      <c r="N400" t="s">
        <v>1029</v>
      </c>
      <c r="O400" t="s">
        <v>1030</v>
      </c>
      <c r="P400" t="s">
        <v>1031</v>
      </c>
      <c r="Q400" t="b">
        <v>1</v>
      </c>
      <c r="R400" t="b">
        <v>0</v>
      </c>
      <c r="S400" t="s">
        <v>994</v>
      </c>
      <c r="T400" t="s">
        <v>2058</v>
      </c>
      <c r="U400" t="s">
        <v>2059</v>
      </c>
      <c r="V400" t="s">
        <v>1289</v>
      </c>
      <c r="W400" t="s">
        <v>2060</v>
      </c>
      <c r="X400" t="s">
        <v>2061</v>
      </c>
    </row>
    <row r="401" spans="1:24" x14ac:dyDescent="0.25">
      <c r="A401" t="s">
        <v>42</v>
      </c>
      <c r="B401" t="s">
        <v>2062</v>
      </c>
      <c r="C401" t="s">
        <v>405</v>
      </c>
      <c r="D401" t="s">
        <v>403</v>
      </c>
      <c r="E401" t="s">
        <v>999</v>
      </c>
      <c r="F401">
        <v>2686</v>
      </c>
      <c r="G401" t="s">
        <v>2054</v>
      </c>
      <c r="H401" t="s">
        <v>2063</v>
      </c>
      <c r="I401" t="s">
        <v>2064</v>
      </c>
      <c r="J401" t="s">
        <v>2057</v>
      </c>
      <c r="K401" t="s">
        <v>1038</v>
      </c>
      <c r="L401" t="s">
        <v>1039</v>
      </c>
      <c r="M401" t="s">
        <v>1028</v>
      </c>
      <c r="N401" t="s">
        <v>1040</v>
      </c>
      <c r="O401" t="s">
        <v>1030</v>
      </c>
      <c r="P401" t="s">
        <v>1042</v>
      </c>
      <c r="Q401" t="b">
        <v>0</v>
      </c>
      <c r="R401" t="b">
        <v>1</v>
      </c>
      <c r="S401" t="s">
        <v>1287</v>
      </c>
      <c r="T401" t="s">
        <v>2058</v>
      </c>
      <c r="U401" t="s">
        <v>2059</v>
      </c>
      <c r="V401" t="s">
        <v>1289</v>
      </c>
      <c r="W401" t="s">
        <v>2060</v>
      </c>
      <c r="X401" t="s">
        <v>2061</v>
      </c>
    </row>
    <row r="402" spans="1:24" x14ac:dyDescent="0.25">
      <c r="A402" t="s">
        <v>42</v>
      </c>
      <c r="B402" t="s">
        <v>2065</v>
      </c>
      <c r="C402" t="s">
        <v>405</v>
      </c>
      <c r="D402" t="s">
        <v>403</v>
      </c>
      <c r="E402" t="s">
        <v>1001</v>
      </c>
      <c r="F402">
        <v>2617</v>
      </c>
      <c r="G402" t="s">
        <v>2054</v>
      </c>
      <c r="H402" t="s">
        <v>2066</v>
      </c>
      <c r="I402" t="s">
        <v>2067</v>
      </c>
      <c r="J402" t="s">
        <v>2057</v>
      </c>
      <c r="K402" t="s">
        <v>1045</v>
      </c>
      <c r="L402" t="s">
        <v>1046</v>
      </c>
      <c r="M402" t="s">
        <v>1028</v>
      </c>
      <c r="N402" t="s">
        <v>1047</v>
      </c>
      <c r="O402" t="s">
        <v>1030</v>
      </c>
      <c r="P402" t="s">
        <v>1049</v>
      </c>
      <c r="Q402" t="b">
        <v>0</v>
      </c>
      <c r="R402" t="b">
        <v>1</v>
      </c>
      <c r="S402" t="s">
        <v>1287</v>
      </c>
      <c r="T402" t="s">
        <v>2058</v>
      </c>
      <c r="U402" t="s">
        <v>2059</v>
      </c>
      <c r="V402" t="s">
        <v>1289</v>
      </c>
      <c r="W402" t="s">
        <v>2060</v>
      </c>
      <c r="X402" t="s">
        <v>2061</v>
      </c>
    </row>
    <row r="403" spans="1:24" x14ac:dyDescent="0.25">
      <c r="A403" t="s">
        <v>42</v>
      </c>
      <c r="B403" t="s">
        <v>2068</v>
      </c>
      <c r="C403" t="s">
        <v>405</v>
      </c>
      <c r="D403" t="s">
        <v>403</v>
      </c>
      <c r="E403" t="s">
        <v>1003</v>
      </c>
      <c r="F403">
        <v>2625</v>
      </c>
      <c r="G403" t="s">
        <v>2054</v>
      </c>
      <c r="H403" t="s">
        <v>2069</v>
      </c>
      <c r="I403" t="s">
        <v>2070</v>
      </c>
      <c r="J403" t="s">
        <v>2057</v>
      </c>
      <c r="K403" t="s">
        <v>1054</v>
      </c>
      <c r="L403" t="s">
        <v>1055</v>
      </c>
      <c r="M403" t="s">
        <v>1056</v>
      </c>
      <c r="N403" t="s">
        <v>1057</v>
      </c>
      <c r="O403" t="s">
        <v>1030</v>
      </c>
      <c r="P403" t="s">
        <v>1058</v>
      </c>
      <c r="Q403" t="b">
        <v>1</v>
      </c>
      <c r="R403" t="b">
        <v>0</v>
      </c>
      <c r="S403" t="s">
        <v>994</v>
      </c>
      <c r="T403" t="s">
        <v>2058</v>
      </c>
      <c r="U403" t="s">
        <v>2059</v>
      </c>
      <c r="V403" t="s">
        <v>1289</v>
      </c>
      <c r="W403" t="s">
        <v>2060</v>
      </c>
      <c r="X403" t="s">
        <v>2061</v>
      </c>
    </row>
    <row r="404" spans="1:24" x14ac:dyDescent="0.25">
      <c r="A404" t="s">
        <v>42</v>
      </c>
      <c r="B404" t="s">
        <v>2071</v>
      </c>
      <c r="C404" t="s">
        <v>405</v>
      </c>
      <c r="D404" t="s">
        <v>403</v>
      </c>
      <c r="E404" t="s">
        <v>1005</v>
      </c>
      <c r="F404">
        <v>2997</v>
      </c>
      <c r="G404" t="s">
        <v>2054</v>
      </c>
      <c r="H404" t="s">
        <v>2072</v>
      </c>
      <c r="I404" t="s">
        <v>2056</v>
      </c>
      <c r="J404" t="s">
        <v>2057</v>
      </c>
      <c r="K404" t="s">
        <v>1065</v>
      </c>
      <c r="L404" t="s">
        <v>1066</v>
      </c>
      <c r="M404" t="s">
        <v>1028</v>
      </c>
      <c r="N404" t="s">
        <v>1067</v>
      </c>
      <c r="O404" t="s">
        <v>1068</v>
      </c>
      <c r="P404" t="s">
        <v>1069</v>
      </c>
      <c r="Q404" t="b">
        <v>1</v>
      </c>
      <c r="R404" t="b">
        <v>0</v>
      </c>
      <c r="S404" t="s">
        <v>994</v>
      </c>
      <c r="T404" t="s">
        <v>2058</v>
      </c>
      <c r="U404" t="s">
        <v>2059</v>
      </c>
      <c r="V404" t="s">
        <v>1289</v>
      </c>
      <c r="W404" t="s">
        <v>2060</v>
      </c>
      <c r="X404" t="s">
        <v>2061</v>
      </c>
    </row>
    <row r="405" spans="1:24" x14ac:dyDescent="0.25">
      <c r="A405" t="s">
        <v>42</v>
      </c>
      <c r="B405" t="s">
        <v>2073</v>
      </c>
      <c r="C405" t="s">
        <v>405</v>
      </c>
      <c r="D405" t="s">
        <v>403</v>
      </c>
      <c r="E405" t="s">
        <v>1007</v>
      </c>
      <c r="F405">
        <v>2964</v>
      </c>
      <c r="G405" t="s">
        <v>2054</v>
      </c>
      <c r="H405" t="s">
        <v>2074</v>
      </c>
      <c r="I405" t="s">
        <v>2064</v>
      </c>
      <c r="J405" t="s">
        <v>2057</v>
      </c>
      <c r="K405" t="s">
        <v>1072</v>
      </c>
      <c r="L405" t="s">
        <v>1073</v>
      </c>
      <c r="M405" t="s">
        <v>1028</v>
      </c>
      <c r="N405" t="s">
        <v>1074</v>
      </c>
      <c r="O405" t="s">
        <v>1068</v>
      </c>
      <c r="P405" t="s">
        <v>1076</v>
      </c>
      <c r="Q405" t="b">
        <v>0</v>
      </c>
      <c r="R405" t="b">
        <v>1</v>
      </c>
      <c r="S405" t="s">
        <v>1287</v>
      </c>
      <c r="T405" t="s">
        <v>2058</v>
      </c>
      <c r="U405" t="s">
        <v>2059</v>
      </c>
      <c r="V405" t="s">
        <v>1289</v>
      </c>
      <c r="W405" t="s">
        <v>2060</v>
      </c>
      <c r="X405" t="s">
        <v>2061</v>
      </c>
    </row>
    <row r="406" spans="1:24" x14ac:dyDescent="0.25">
      <c r="A406" t="s">
        <v>42</v>
      </c>
      <c r="B406" t="s">
        <v>2075</v>
      </c>
      <c r="C406" t="s">
        <v>405</v>
      </c>
      <c r="D406" t="s">
        <v>403</v>
      </c>
      <c r="E406" t="s">
        <v>1009</v>
      </c>
      <c r="F406">
        <v>2869</v>
      </c>
      <c r="G406" t="s">
        <v>2054</v>
      </c>
      <c r="H406" t="s">
        <v>2076</v>
      </c>
      <c r="I406" t="s">
        <v>2067</v>
      </c>
      <c r="J406" t="s">
        <v>2057</v>
      </c>
      <c r="K406" t="s">
        <v>1079</v>
      </c>
      <c r="L406" t="s">
        <v>1080</v>
      </c>
      <c r="M406" t="s">
        <v>1028</v>
      </c>
      <c r="N406" t="s">
        <v>1081</v>
      </c>
      <c r="O406" t="s">
        <v>1068</v>
      </c>
      <c r="P406" t="s">
        <v>1083</v>
      </c>
      <c r="Q406" t="b">
        <v>1</v>
      </c>
      <c r="R406" t="b">
        <v>0</v>
      </c>
      <c r="S406" t="s">
        <v>994</v>
      </c>
      <c r="T406" t="s">
        <v>2058</v>
      </c>
      <c r="U406" t="s">
        <v>2059</v>
      </c>
      <c r="V406" t="s">
        <v>1289</v>
      </c>
      <c r="W406" t="s">
        <v>2060</v>
      </c>
      <c r="X406" t="s">
        <v>2061</v>
      </c>
    </row>
    <row r="407" spans="1:24" x14ac:dyDescent="0.25">
      <c r="A407" t="s">
        <v>42</v>
      </c>
      <c r="B407" t="s">
        <v>2077</v>
      </c>
      <c r="C407" t="s">
        <v>405</v>
      </c>
      <c r="D407" t="s">
        <v>403</v>
      </c>
      <c r="E407" t="s">
        <v>1011</v>
      </c>
      <c r="F407">
        <v>2858</v>
      </c>
      <c r="G407" t="s">
        <v>2054</v>
      </c>
      <c r="H407" t="s">
        <v>2078</v>
      </c>
      <c r="I407" t="s">
        <v>2070</v>
      </c>
      <c r="J407" t="s">
        <v>2057</v>
      </c>
      <c r="K407" t="s">
        <v>1087</v>
      </c>
      <c r="L407" t="s">
        <v>1088</v>
      </c>
      <c r="M407" t="s">
        <v>1056</v>
      </c>
      <c r="N407" t="s">
        <v>1089</v>
      </c>
      <c r="O407" t="s">
        <v>1068</v>
      </c>
      <c r="P407" t="s">
        <v>1090</v>
      </c>
      <c r="Q407" t="b">
        <v>0</v>
      </c>
      <c r="R407" t="b">
        <v>1</v>
      </c>
      <c r="S407" t="s">
        <v>1287</v>
      </c>
      <c r="T407" t="s">
        <v>2058</v>
      </c>
      <c r="U407" t="s">
        <v>2059</v>
      </c>
      <c r="V407" t="s">
        <v>1289</v>
      </c>
      <c r="W407" t="s">
        <v>2060</v>
      </c>
      <c r="X407" t="s">
        <v>2061</v>
      </c>
    </row>
    <row r="408" spans="1:24" x14ac:dyDescent="0.25">
      <c r="A408" t="s">
        <v>42</v>
      </c>
      <c r="B408" t="s">
        <v>2079</v>
      </c>
      <c r="C408" t="s">
        <v>405</v>
      </c>
      <c r="D408" t="s">
        <v>403</v>
      </c>
      <c r="E408" t="s">
        <v>1013</v>
      </c>
      <c r="F408">
        <v>3286</v>
      </c>
      <c r="G408" t="s">
        <v>2054</v>
      </c>
      <c r="H408" t="s">
        <v>2080</v>
      </c>
      <c r="I408" t="s">
        <v>2056</v>
      </c>
      <c r="J408" t="s">
        <v>2057</v>
      </c>
      <c r="K408" t="s">
        <v>1094</v>
      </c>
      <c r="L408" t="s">
        <v>1095</v>
      </c>
      <c r="M408" t="s">
        <v>1028</v>
      </c>
      <c r="N408" t="s">
        <v>1096</v>
      </c>
      <c r="O408" t="s">
        <v>1097</v>
      </c>
      <c r="P408" t="s">
        <v>1098</v>
      </c>
      <c r="Q408" t="b">
        <v>1</v>
      </c>
      <c r="R408" t="b">
        <v>0</v>
      </c>
      <c r="S408" t="s">
        <v>994</v>
      </c>
      <c r="T408" t="s">
        <v>2058</v>
      </c>
      <c r="U408" t="s">
        <v>2059</v>
      </c>
      <c r="V408" t="s">
        <v>1289</v>
      </c>
      <c r="W408" t="s">
        <v>2060</v>
      </c>
      <c r="X408" t="s">
        <v>2061</v>
      </c>
    </row>
    <row r="409" spans="1:24" x14ac:dyDescent="0.25">
      <c r="A409" t="s">
        <v>42</v>
      </c>
      <c r="B409" t="s">
        <v>2081</v>
      </c>
      <c r="C409" t="s">
        <v>405</v>
      </c>
      <c r="D409" t="s">
        <v>403</v>
      </c>
      <c r="E409" t="s">
        <v>1015</v>
      </c>
      <c r="F409">
        <v>3226</v>
      </c>
      <c r="G409" t="s">
        <v>2054</v>
      </c>
      <c r="H409" t="s">
        <v>2082</v>
      </c>
      <c r="I409" t="s">
        <v>2064</v>
      </c>
      <c r="J409" t="s">
        <v>2057</v>
      </c>
      <c r="K409" t="s">
        <v>1103</v>
      </c>
      <c r="L409" t="s">
        <v>1104</v>
      </c>
      <c r="M409" t="s">
        <v>1028</v>
      </c>
      <c r="N409" t="s">
        <v>1105</v>
      </c>
      <c r="O409" t="s">
        <v>1097</v>
      </c>
      <c r="P409" t="s">
        <v>1107</v>
      </c>
      <c r="Q409" t="b">
        <v>1</v>
      </c>
      <c r="R409" t="b">
        <v>0</v>
      </c>
      <c r="S409" t="s">
        <v>994</v>
      </c>
      <c r="T409" t="s">
        <v>2058</v>
      </c>
      <c r="U409" t="s">
        <v>2059</v>
      </c>
      <c r="V409" t="s">
        <v>1289</v>
      </c>
      <c r="W409" t="s">
        <v>2060</v>
      </c>
      <c r="X409" t="s">
        <v>2061</v>
      </c>
    </row>
    <row r="410" spans="1:24" x14ac:dyDescent="0.25">
      <c r="A410" t="s">
        <v>42</v>
      </c>
      <c r="B410" t="s">
        <v>2083</v>
      </c>
      <c r="C410" t="s">
        <v>405</v>
      </c>
      <c r="D410" t="s">
        <v>403</v>
      </c>
      <c r="E410" t="s">
        <v>1017</v>
      </c>
      <c r="F410">
        <v>3168</v>
      </c>
      <c r="G410" t="s">
        <v>2054</v>
      </c>
      <c r="H410" t="s">
        <v>2084</v>
      </c>
      <c r="I410" t="s">
        <v>2067</v>
      </c>
      <c r="J410" t="s">
        <v>2057</v>
      </c>
      <c r="K410" t="s">
        <v>1110</v>
      </c>
      <c r="L410" t="s">
        <v>1111</v>
      </c>
      <c r="M410" t="s">
        <v>1028</v>
      </c>
      <c r="N410" t="s">
        <v>1112</v>
      </c>
      <c r="O410" t="s">
        <v>1097</v>
      </c>
      <c r="P410" t="s">
        <v>1114</v>
      </c>
      <c r="Q410" t="b">
        <v>1</v>
      </c>
      <c r="R410" t="b">
        <v>0</v>
      </c>
      <c r="S410" t="s">
        <v>994</v>
      </c>
      <c r="T410" t="s">
        <v>2058</v>
      </c>
      <c r="U410" t="s">
        <v>2059</v>
      </c>
      <c r="V410" t="s">
        <v>1289</v>
      </c>
      <c r="W410" t="s">
        <v>2060</v>
      </c>
      <c r="X410" t="s">
        <v>2061</v>
      </c>
    </row>
    <row r="411" spans="1:24" x14ac:dyDescent="0.25">
      <c r="A411" t="s">
        <v>42</v>
      </c>
      <c r="B411" t="s">
        <v>2085</v>
      </c>
      <c r="C411" t="s">
        <v>405</v>
      </c>
      <c r="D411" t="s">
        <v>403</v>
      </c>
      <c r="E411" t="s">
        <v>1019</v>
      </c>
      <c r="F411">
        <v>3183</v>
      </c>
      <c r="G411" t="s">
        <v>2054</v>
      </c>
      <c r="H411" t="s">
        <v>2086</v>
      </c>
      <c r="I411" t="s">
        <v>2070</v>
      </c>
      <c r="J411" t="s">
        <v>2057</v>
      </c>
      <c r="K411" t="s">
        <v>1117</v>
      </c>
      <c r="L411" t="s">
        <v>1118</v>
      </c>
      <c r="M411" t="s">
        <v>1056</v>
      </c>
      <c r="N411" t="s">
        <v>1119</v>
      </c>
      <c r="O411" t="s">
        <v>1097</v>
      </c>
      <c r="P411" t="s">
        <v>1120</v>
      </c>
      <c r="Q411" t="b">
        <v>0</v>
      </c>
      <c r="R411" t="b">
        <v>1</v>
      </c>
      <c r="S411" t="s">
        <v>1287</v>
      </c>
      <c r="T411" t="s">
        <v>2058</v>
      </c>
      <c r="U411" t="s">
        <v>2059</v>
      </c>
      <c r="V411" t="s">
        <v>1289</v>
      </c>
      <c r="W411" t="s">
        <v>2060</v>
      </c>
      <c r="X411" t="s">
        <v>2061</v>
      </c>
    </row>
    <row r="412" spans="1:24" x14ac:dyDescent="0.25">
      <c r="A412" t="s">
        <v>42</v>
      </c>
      <c r="B412" t="s">
        <v>2087</v>
      </c>
      <c r="C412" t="s">
        <v>405</v>
      </c>
      <c r="D412" t="s">
        <v>403</v>
      </c>
      <c r="E412" t="s">
        <v>1021</v>
      </c>
      <c r="F412">
        <v>3594</v>
      </c>
      <c r="G412" t="s">
        <v>2054</v>
      </c>
      <c r="H412" t="s">
        <v>2088</v>
      </c>
      <c r="I412" t="s">
        <v>2056</v>
      </c>
      <c r="J412" t="s">
        <v>2057</v>
      </c>
      <c r="K412" t="s">
        <v>1124</v>
      </c>
      <c r="L412" t="s">
        <v>1125</v>
      </c>
      <c r="M412" t="s">
        <v>1028</v>
      </c>
      <c r="N412" t="s">
        <v>1126</v>
      </c>
      <c r="O412" t="s">
        <v>1127</v>
      </c>
      <c r="P412" t="s">
        <v>1128</v>
      </c>
      <c r="Q412" t="b">
        <v>1</v>
      </c>
      <c r="R412" t="b">
        <v>0</v>
      </c>
      <c r="S412" t="s">
        <v>994</v>
      </c>
      <c r="T412" t="s">
        <v>2058</v>
      </c>
      <c r="U412" t="s">
        <v>2059</v>
      </c>
      <c r="V412" t="s">
        <v>1289</v>
      </c>
      <c r="W412" t="s">
        <v>2060</v>
      </c>
      <c r="X412" t="s">
        <v>2061</v>
      </c>
    </row>
    <row r="413" spans="1:24" x14ac:dyDescent="0.25">
      <c r="A413" t="s">
        <v>42</v>
      </c>
      <c r="B413" t="s">
        <v>2089</v>
      </c>
      <c r="C413" t="s">
        <v>405</v>
      </c>
      <c r="D413" t="s">
        <v>403</v>
      </c>
      <c r="E413" t="s">
        <v>1130</v>
      </c>
      <c r="F413">
        <v>3528</v>
      </c>
      <c r="G413" t="s">
        <v>2054</v>
      </c>
      <c r="H413" t="s">
        <v>2090</v>
      </c>
      <c r="I413" t="s">
        <v>2064</v>
      </c>
      <c r="J413" t="s">
        <v>2057</v>
      </c>
      <c r="K413" t="s">
        <v>1132</v>
      </c>
      <c r="L413" t="s">
        <v>1133</v>
      </c>
      <c r="M413" t="s">
        <v>1028</v>
      </c>
      <c r="N413" t="s">
        <v>1134</v>
      </c>
      <c r="O413" t="s">
        <v>1127</v>
      </c>
      <c r="P413" t="s">
        <v>1136</v>
      </c>
      <c r="Q413" t="b">
        <v>0</v>
      </c>
      <c r="R413" t="b">
        <v>1</v>
      </c>
      <c r="S413" t="s">
        <v>1287</v>
      </c>
      <c r="T413" t="s">
        <v>2058</v>
      </c>
      <c r="U413" t="s">
        <v>2059</v>
      </c>
      <c r="V413" t="s">
        <v>1289</v>
      </c>
      <c r="W413" t="s">
        <v>2060</v>
      </c>
      <c r="X413" t="s">
        <v>2061</v>
      </c>
    </row>
    <row r="414" spans="1:24" x14ac:dyDescent="0.25">
      <c r="A414" t="s">
        <v>42</v>
      </c>
      <c r="B414" t="s">
        <v>2091</v>
      </c>
      <c r="C414" t="s">
        <v>403</v>
      </c>
      <c r="D414" t="s">
        <v>352</v>
      </c>
      <c r="E414" t="s">
        <v>990</v>
      </c>
      <c r="F414">
        <v>0</v>
      </c>
      <c r="G414" t="s">
        <v>982</v>
      </c>
      <c r="H414" t="s">
        <v>992</v>
      </c>
      <c r="I414" t="s">
        <v>992</v>
      </c>
      <c r="J414" t="s">
        <v>2057</v>
      </c>
      <c r="K414" t="s">
        <v>992</v>
      </c>
      <c r="L414" t="s">
        <v>992</v>
      </c>
      <c r="M414" t="s">
        <v>992</v>
      </c>
      <c r="N414" t="s">
        <v>992</v>
      </c>
      <c r="O414" t="s">
        <v>992</v>
      </c>
      <c r="P414" t="s">
        <v>992</v>
      </c>
      <c r="Q414" t="b">
        <v>0</v>
      </c>
      <c r="R414" t="b">
        <v>1</v>
      </c>
      <c r="S414" t="s">
        <v>1287</v>
      </c>
      <c r="T414" t="s">
        <v>1288</v>
      </c>
      <c r="U414" t="s">
        <v>994</v>
      </c>
      <c r="V414" t="s">
        <v>1289</v>
      </c>
      <c r="W414" t="s">
        <v>1290</v>
      </c>
      <c r="X414" t="s">
        <v>1291</v>
      </c>
    </row>
    <row r="415" spans="1:24" x14ac:dyDescent="0.25">
      <c r="A415" t="s">
        <v>42</v>
      </c>
      <c r="B415" t="s">
        <v>2092</v>
      </c>
      <c r="C415" t="s">
        <v>403</v>
      </c>
      <c r="D415" t="s">
        <v>352</v>
      </c>
      <c r="E415" t="s">
        <v>999</v>
      </c>
      <c r="F415">
        <v>5405</v>
      </c>
      <c r="G415" t="s">
        <v>982</v>
      </c>
      <c r="H415" t="s">
        <v>992</v>
      </c>
      <c r="I415" t="s">
        <v>992</v>
      </c>
      <c r="J415" t="s">
        <v>2057</v>
      </c>
      <c r="K415" t="s">
        <v>992</v>
      </c>
      <c r="L415" t="s">
        <v>992</v>
      </c>
      <c r="M415" t="s">
        <v>992</v>
      </c>
      <c r="N415" t="s">
        <v>992</v>
      </c>
      <c r="O415" t="s">
        <v>992</v>
      </c>
      <c r="P415" t="s">
        <v>992</v>
      </c>
      <c r="Q415" t="b">
        <v>0</v>
      </c>
      <c r="R415" t="b">
        <v>1</v>
      </c>
      <c r="S415" t="s">
        <v>1287</v>
      </c>
      <c r="T415" t="s">
        <v>1288</v>
      </c>
      <c r="U415" t="s">
        <v>994</v>
      </c>
      <c r="V415" t="s">
        <v>1289</v>
      </c>
      <c r="W415" t="s">
        <v>1290</v>
      </c>
      <c r="X415" t="s">
        <v>1291</v>
      </c>
    </row>
    <row r="416" spans="1:24" x14ac:dyDescent="0.25">
      <c r="A416" t="s">
        <v>42</v>
      </c>
      <c r="B416" t="s">
        <v>2093</v>
      </c>
      <c r="C416" t="s">
        <v>403</v>
      </c>
      <c r="D416" t="s">
        <v>352</v>
      </c>
      <c r="E416" t="s">
        <v>1001</v>
      </c>
      <c r="F416">
        <v>5517</v>
      </c>
      <c r="G416" t="s">
        <v>982</v>
      </c>
      <c r="H416" t="s">
        <v>992</v>
      </c>
      <c r="I416" t="s">
        <v>992</v>
      </c>
      <c r="J416" t="s">
        <v>2057</v>
      </c>
      <c r="K416" t="s">
        <v>992</v>
      </c>
      <c r="L416" t="s">
        <v>992</v>
      </c>
      <c r="M416" t="s">
        <v>992</v>
      </c>
      <c r="N416" t="s">
        <v>992</v>
      </c>
      <c r="O416" t="s">
        <v>992</v>
      </c>
      <c r="P416" t="s">
        <v>992</v>
      </c>
      <c r="Q416" t="b">
        <v>0</v>
      </c>
      <c r="R416" t="b">
        <v>1</v>
      </c>
      <c r="S416" t="s">
        <v>1287</v>
      </c>
      <c r="T416" t="s">
        <v>1288</v>
      </c>
      <c r="U416" t="s">
        <v>994</v>
      </c>
      <c r="V416" t="s">
        <v>1289</v>
      </c>
      <c r="W416" t="s">
        <v>1290</v>
      </c>
      <c r="X416" t="s">
        <v>1291</v>
      </c>
    </row>
    <row r="417" spans="1:24" x14ac:dyDescent="0.25">
      <c r="A417" t="s">
        <v>42</v>
      </c>
      <c r="B417" t="s">
        <v>2094</v>
      </c>
      <c r="C417" t="s">
        <v>403</v>
      </c>
      <c r="D417" t="s">
        <v>352</v>
      </c>
      <c r="E417" t="s">
        <v>1003</v>
      </c>
      <c r="F417">
        <v>5156</v>
      </c>
      <c r="G417" t="s">
        <v>982</v>
      </c>
      <c r="H417" t="s">
        <v>992</v>
      </c>
      <c r="I417" t="s">
        <v>992</v>
      </c>
      <c r="J417" t="s">
        <v>2057</v>
      </c>
      <c r="K417" t="s">
        <v>992</v>
      </c>
      <c r="L417" t="s">
        <v>992</v>
      </c>
      <c r="M417" t="s">
        <v>992</v>
      </c>
      <c r="N417" t="s">
        <v>992</v>
      </c>
      <c r="O417" t="s">
        <v>992</v>
      </c>
      <c r="P417" t="s">
        <v>992</v>
      </c>
      <c r="Q417" t="b">
        <v>0</v>
      </c>
      <c r="R417" t="b">
        <v>1</v>
      </c>
      <c r="S417" t="s">
        <v>1287</v>
      </c>
      <c r="T417" t="s">
        <v>1288</v>
      </c>
      <c r="U417" t="s">
        <v>994</v>
      </c>
      <c r="V417" t="s">
        <v>1289</v>
      </c>
      <c r="W417" t="s">
        <v>1290</v>
      </c>
      <c r="X417" t="s">
        <v>1291</v>
      </c>
    </row>
    <row r="418" spans="1:24" x14ac:dyDescent="0.25">
      <c r="A418" t="s">
        <v>42</v>
      </c>
      <c r="B418" t="s">
        <v>2095</v>
      </c>
      <c r="C418" t="s">
        <v>403</v>
      </c>
      <c r="D418" t="s">
        <v>352</v>
      </c>
      <c r="E418" t="s">
        <v>1005</v>
      </c>
      <c r="F418">
        <v>3452</v>
      </c>
      <c r="G418" t="s">
        <v>982</v>
      </c>
      <c r="H418" t="s">
        <v>992</v>
      </c>
      <c r="I418" t="s">
        <v>992</v>
      </c>
      <c r="J418" t="s">
        <v>2057</v>
      </c>
      <c r="K418" t="s">
        <v>992</v>
      </c>
      <c r="L418" t="s">
        <v>992</v>
      </c>
      <c r="M418" t="s">
        <v>992</v>
      </c>
      <c r="N418" t="s">
        <v>992</v>
      </c>
      <c r="O418" t="s">
        <v>992</v>
      </c>
      <c r="P418" t="s">
        <v>992</v>
      </c>
      <c r="Q418" t="b">
        <v>0</v>
      </c>
      <c r="R418" t="b">
        <v>1</v>
      </c>
      <c r="S418" t="s">
        <v>1287</v>
      </c>
      <c r="T418" t="s">
        <v>1288</v>
      </c>
      <c r="U418" t="s">
        <v>994</v>
      </c>
      <c r="V418" t="s">
        <v>1289</v>
      </c>
      <c r="W418" t="s">
        <v>1290</v>
      </c>
      <c r="X418" t="s">
        <v>1291</v>
      </c>
    </row>
    <row r="419" spans="1:24" x14ac:dyDescent="0.25">
      <c r="A419" t="s">
        <v>42</v>
      </c>
      <c r="B419" t="s">
        <v>2096</v>
      </c>
      <c r="C419" t="s">
        <v>403</v>
      </c>
      <c r="D419" t="s">
        <v>352</v>
      </c>
      <c r="E419" t="s">
        <v>1007</v>
      </c>
      <c r="F419">
        <v>3095</v>
      </c>
      <c r="G419" t="s">
        <v>982</v>
      </c>
      <c r="H419" t="s">
        <v>992</v>
      </c>
      <c r="I419" t="s">
        <v>992</v>
      </c>
      <c r="J419" t="s">
        <v>2057</v>
      </c>
      <c r="K419" t="s">
        <v>992</v>
      </c>
      <c r="L419" t="s">
        <v>992</v>
      </c>
      <c r="M419" t="s">
        <v>992</v>
      </c>
      <c r="N419" t="s">
        <v>992</v>
      </c>
      <c r="O419" t="s">
        <v>992</v>
      </c>
      <c r="P419" t="s">
        <v>992</v>
      </c>
      <c r="Q419" t="b">
        <v>0</v>
      </c>
      <c r="R419" t="b">
        <v>1</v>
      </c>
      <c r="S419" t="s">
        <v>1287</v>
      </c>
      <c r="T419" t="s">
        <v>1288</v>
      </c>
      <c r="U419" t="s">
        <v>994</v>
      </c>
      <c r="V419" t="s">
        <v>1289</v>
      </c>
      <c r="W419" t="s">
        <v>1290</v>
      </c>
      <c r="X419" t="s">
        <v>1291</v>
      </c>
    </row>
    <row r="420" spans="1:24" x14ac:dyDescent="0.25">
      <c r="A420" t="s">
        <v>42</v>
      </c>
      <c r="B420" t="s">
        <v>2097</v>
      </c>
      <c r="C420" t="s">
        <v>403</v>
      </c>
      <c r="D420" t="s">
        <v>352</v>
      </c>
      <c r="E420" t="s">
        <v>1009</v>
      </c>
      <c r="F420">
        <v>2439</v>
      </c>
      <c r="G420" t="s">
        <v>982</v>
      </c>
      <c r="H420" t="s">
        <v>992</v>
      </c>
      <c r="I420" t="s">
        <v>992</v>
      </c>
      <c r="J420" t="s">
        <v>2057</v>
      </c>
      <c r="K420" t="s">
        <v>992</v>
      </c>
      <c r="L420" t="s">
        <v>992</v>
      </c>
      <c r="M420" t="s">
        <v>992</v>
      </c>
      <c r="N420" t="s">
        <v>992</v>
      </c>
      <c r="O420" t="s">
        <v>992</v>
      </c>
      <c r="P420" t="s">
        <v>992</v>
      </c>
      <c r="Q420" t="b">
        <v>0</v>
      </c>
      <c r="R420" t="b">
        <v>1</v>
      </c>
      <c r="S420" t="s">
        <v>1287</v>
      </c>
      <c r="T420" t="s">
        <v>1288</v>
      </c>
      <c r="U420" t="s">
        <v>994</v>
      </c>
      <c r="V420" t="s">
        <v>1289</v>
      </c>
      <c r="W420" t="s">
        <v>1290</v>
      </c>
      <c r="X420" t="s">
        <v>1291</v>
      </c>
    </row>
    <row r="421" spans="1:24" x14ac:dyDescent="0.25">
      <c r="A421" t="s">
        <v>42</v>
      </c>
      <c r="B421" t="s">
        <v>2098</v>
      </c>
      <c r="C421" t="s">
        <v>403</v>
      </c>
      <c r="D421" t="s">
        <v>352</v>
      </c>
      <c r="E421" t="s">
        <v>1011</v>
      </c>
      <c r="F421">
        <v>2238</v>
      </c>
      <c r="G421" t="s">
        <v>982</v>
      </c>
      <c r="H421" t="s">
        <v>992</v>
      </c>
      <c r="I421" t="s">
        <v>992</v>
      </c>
      <c r="J421" t="s">
        <v>2057</v>
      </c>
      <c r="K421" t="s">
        <v>992</v>
      </c>
      <c r="L421" t="s">
        <v>992</v>
      </c>
      <c r="M421" t="s">
        <v>992</v>
      </c>
      <c r="N421" t="s">
        <v>992</v>
      </c>
      <c r="O421" t="s">
        <v>992</v>
      </c>
      <c r="P421" t="s">
        <v>992</v>
      </c>
      <c r="Q421" t="b">
        <v>0</v>
      </c>
      <c r="R421" t="b">
        <v>1</v>
      </c>
      <c r="S421" t="s">
        <v>1287</v>
      </c>
      <c r="T421" t="s">
        <v>1288</v>
      </c>
      <c r="U421" t="s">
        <v>994</v>
      </c>
      <c r="V421" t="s">
        <v>1289</v>
      </c>
      <c r="W421" t="s">
        <v>1290</v>
      </c>
      <c r="X421" t="s">
        <v>1291</v>
      </c>
    </row>
    <row r="422" spans="1:24" x14ac:dyDescent="0.25">
      <c r="A422" t="s">
        <v>42</v>
      </c>
      <c r="B422" t="s">
        <v>2099</v>
      </c>
      <c r="C422" t="s">
        <v>403</v>
      </c>
      <c r="D422" t="s">
        <v>352</v>
      </c>
      <c r="E422" t="s">
        <v>1013</v>
      </c>
      <c r="F422">
        <v>1727</v>
      </c>
      <c r="G422" t="s">
        <v>982</v>
      </c>
      <c r="H422" t="s">
        <v>992</v>
      </c>
      <c r="I422" t="s">
        <v>992</v>
      </c>
      <c r="J422" t="s">
        <v>2057</v>
      </c>
      <c r="K422" t="s">
        <v>992</v>
      </c>
      <c r="L422" t="s">
        <v>992</v>
      </c>
      <c r="M422" t="s">
        <v>992</v>
      </c>
      <c r="N422" t="s">
        <v>992</v>
      </c>
      <c r="O422" t="s">
        <v>992</v>
      </c>
      <c r="P422" t="s">
        <v>992</v>
      </c>
      <c r="Q422" t="b">
        <v>0</v>
      </c>
      <c r="R422" t="b">
        <v>1</v>
      </c>
      <c r="S422" t="s">
        <v>1287</v>
      </c>
      <c r="T422" t="s">
        <v>1288</v>
      </c>
      <c r="U422" t="s">
        <v>994</v>
      </c>
      <c r="V422" t="s">
        <v>1289</v>
      </c>
      <c r="W422" t="s">
        <v>1290</v>
      </c>
      <c r="X422" t="s">
        <v>1291</v>
      </c>
    </row>
    <row r="423" spans="1:24" x14ac:dyDescent="0.25">
      <c r="A423" t="s">
        <v>42</v>
      </c>
      <c r="B423" t="s">
        <v>2100</v>
      </c>
      <c r="C423" t="s">
        <v>403</v>
      </c>
      <c r="D423" t="s">
        <v>352</v>
      </c>
      <c r="E423" t="s">
        <v>1015</v>
      </c>
      <c r="F423">
        <v>1722</v>
      </c>
      <c r="G423" t="s">
        <v>982</v>
      </c>
      <c r="H423" t="s">
        <v>992</v>
      </c>
      <c r="I423" t="s">
        <v>992</v>
      </c>
      <c r="J423" t="s">
        <v>2057</v>
      </c>
      <c r="K423" t="s">
        <v>992</v>
      </c>
      <c r="L423" t="s">
        <v>992</v>
      </c>
      <c r="M423" t="s">
        <v>992</v>
      </c>
      <c r="N423" t="s">
        <v>992</v>
      </c>
      <c r="O423" t="s">
        <v>992</v>
      </c>
      <c r="P423" t="s">
        <v>992</v>
      </c>
      <c r="Q423" t="b">
        <v>0</v>
      </c>
      <c r="R423" t="b">
        <v>1</v>
      </c>
      <c r="S423" t="s">
        <v>1287</v>
      </c>
      <c r="T423" t="s">
        <v>1288</v>
      </c>
      <c r="U423" t="s">
        <v>994</v>
      </c>
      <c r="V423" t="s">
        <v>1289</v>
      </c>
      <c r="W423" t="s">
        <v>1290</v>
      </c>
      <c r="X423" t="s">
        <v>1291</v>
      </c>
    </row>
    <row r="424" spans="1:24" x14ac:dyDescent="0.25">
      <c r="A424" t="s">
        <v>42</v>
      </c>
      <c r="B424" t="s">
        <v>2101</v>
      </c>
      <c r="C424" t="s">
        <v>403</v>
      </c>
      <c r="D424" t="s">
        <v>352</v>
      </c>
      <c r="E424" t="s">
        <v>1017</v>
      </c>
      <c r="F424">
        <v>4134</v>
      </c>
      <c r="G424" t="s">
        <v>982</v>
      </c>
      <c r="H424" t="s">
        <v>992</v>
      </c>
      <c r="I424" t="s">
        <v>992</v>
      </c>
      <c r="J424" t="s">
        <v>2057</v>
      </c>
      <c r="K424" t="s">
        <v>992</v>
      </c>
      <c r="L424" t="s">
        <v>992</v>
      </c>
      <c r="M424" t="s">
        <v>992</v>
      </c>
      <c r="N424" t="s">
        <v>992</v>
      </c>
      <c r="O424" t="s">
        <v>992</v>
      </c>
      <c r="P424" t="s">
        <v>992</v>
      </c>
      <c r="Q424" t="b">
        <v>0</v>
      </c>
      <c r="R424" t="b">
        <v>1</v>
      </c>
      <c r="S424" t="s">
        <v>1287</v>
      </c>
      <c r="T424" t="s">
        <v>1288</v>
      </c>
      <c r="U424" t="s">
        <v>994</v>
      </c>
      <c r="V424" t="s">
        <v>1289</v>
      </c>
      <c r="W424" t="s">
        <v>1290</v>
      </c>
      <c r="X424" t="s">
        <v>1291</v>
      </c>
    </row>
    <row r="425" spans="1:24" x14ac:dyDescent="0.25">
      <c r="A425" t="s">
        <v>42</v>
      </c>
      <c r="B425" t="s">
        <v>2102</v>
      </c>
      <c r="C425" t="s">
        <v>403</v>
      </c>
      <c r="D425" t="s">
        <v>352</v>
      </c>
      <c r="E425" t="s">
        <v>1019</v>
      </c>
      <c r="F425">
        <v>3942</v>
      </c>
      <c r="G425" t="s">
        <v>982</v>
      </c>
      <c r="H425" t="s">
        <v>992</v>
      </c>
      <c r="I425" t="s">
        <v>992</v>
      </c>
      <c r="J425" t="s">
        <v>2057</v>
      </c>
      <c r="K425" t="s">
        <v>992</v>
      </c>
      <c r="L425" t="s">
        <v>992</v>
      </c>
      <c r="M425" t="s">
        <v>992</v>
      </c>
      <c r="N425" t="s">
        <v>992</v>
      </c>
      <c r="O425" t="s">
        <v>992</v>
      </c>
      <c r="P425" t="s">
        <v>992</v>
      </c>
      <c r="Q425" t="b">
        <v>0</v>
      </c>
      <c r="R425" t="b">
        <v>1</v>
      </c>
      <c r="S425" t="s">
        <v>1287</v>
      </c>
      <c r="T425" t="s">
        <v>1288</v>
      </c>
      <c r="U425" t="s">
        <v>994</v>
      </c>
      <c r="V425" t="s">
        <v>1289</v>
      </c>
      <c r="W425" t="s">
        <v>1290</v>
      </c>
      <c r="X425" t="s">
        <v>1291</v>
      </c>
    </row>
    <row r="426" spans="1:24" x14ac:dyDescent="0.25">
      <c r="A426" t="s">
        <v>42</v>
      </c>
      <c r="B426" t="s">
        <v>2103</v>
      </c>
      <c r="C426" t="s">
        <v>403</v>
      </c>
      <c r="D426" t="s">
        <v>352</v>
      </c>
      <c r="E426" t="s">
        <v>1021</v>
      </c>
      <c r="F426">
        <v>1117</v>
      </c>
      <c r="G426" t="s">
        <v>982</v>
      </c>
      <c r="H426" t="s">
        <v>992</v>
      </c>
      <c r="I426" t="s">
        <v>992</v>
      </c>
      <c r="J426" t="s">
        <v>2057</v>
      </c>
      <c r="K426" t="s">
        <v>992</v>
      </c>
      <c r="L426" t="s">
        <v>992</v>
      </c>
      <c r="M426" t="s">
        <v>992</v>
      </c>
      <c r="N426" t="s">
        <v>992</v>
      </c>
      <c r="O426" t="s">
        <v>992</v>
      </c>
      <c r="P426" t="s">
        <v>992</v>
      </c>
      <c r="Q426" t="b">
        <v>0</v>
      </c>
      <c r="R426" t="b">
        <v>1</v>
      </c>
      <c r="S426" t="s">
        <v>1287</v>
      </c>
      <c r="T426" t="s">
        <v>1288</v>
      </c>
      <c r="U426" t="s">
        <v>994</v>
      </c>
      <c r="V426" t="s">
        <v>1289</v>
      </c>
      <c r="W426" t="s">
        <v>1290</v>
      </c>
      <c r="X426" t="s">
        <v>1291</v>
      </c>
    </row>
    <row r="427" spans="1:24" x14ac:dyDescent="0.25">
      <c r="A427" t="s">
        <v>42</v>
      </c>
      <c r="B427" t="s">
        <v>2104</v>
      </c>
      <c r="C427" t="s">
        <v>403</v>
      </c>
      <c r="D427" t="s">
        <v>352</v>
      </c>
      <c r="E427" t="s">
        <v>1130</v>
      </c>
      <c r="F427">
        <v>98</v>
      </c>
      <c r="G427" t="s">
        <v>982</v>
      </c>
      <c r="H427" t="s">
        <v>992</v>
      </c>
      <c r="I427" t="s">
        <v>992</v>
      </c>
      <c r="J427" t="s">
        <v>2057</v>
      </c>
      <c r="K427" t="s">
        <v>992</v>
      </c>
      <c r="L427" t="s">
        <v>992</v>
      </c>
      <c r="M427" t="s">
        <v>992</v>
      </c>
      <c r="N427" t="s">
        <v>992</v>
      </c>
      <c r="O427" t="s">
        <v>992</v>
      </c>
      <c r="P427" t="s">
        <v>992</v>
      </c>
      <c r="Q427" t="b">
        <v>0</v>
      </c>
      <c r="R427" t="b">
        <v>1</v>
      </c>
      <c r="S427" t="s">
        <v>1287</v>
      </c>
      <c r="T427" t="s">
        <v>1288</v>
      </c>
      <c r="U427" t="s">
        <v>994</v>
      </c>
      <c r="V427" t="s">
        <v>1289</v>
      </c>
      <c r="W427" t="s">
        <v>1290</v>
      </c>
      <c r="X427" t="s">
        <v>1291</v>
      </c>
    </row>
    <row r="428" spans="1:24" x14ac:dyDescent="0.25">
      <c r="A428" t="s">
        <v>42</v>
      </c>
      <c r="B428" t="s">
        <v>2105</v>
      </c>
      <c r="C428" t="s">
        <v>408</v>
      </c>
      <c r="D428" t="s">
        <v>352</v>
      </c>
      <c r="E428" t="s">
        <v>990</v>
      </c>
      <c r="F428">
        <v>-3768</v>
      </c>
      <c r="G428" t="s">
        <v>1023</v>
      </c>
      <c r="H428" t="s">
        <v>2106</v>
      </c>
      <c r="I428" t="s">
        <v>2107</v>
      </c>
      <c r="J428" t="s">
        <v>2057</v>
      </c>
      <c r="K428" t="s">
        <v>1026</v>
      </c>
      <c r="L428" t="s">
        <v>1027</v>
      </c>
      <c r="M428" t="s">
        <v>1028</v>
      </c>
      <c r="N428" t="s">
        <v>1029</v>
      </c>
      <c r="O428" t="s">
        <v>1030</v>
      </c>
      <c r="P428" t="s">
        <v>1031</v>
      </c>
      <c r="Q428" t="b">
        <v>1</v>
      </c>
      <c r="R428" t="b">
        <v>0</v>
      </c>
      <c r="S428" t="s">
        <v>1032</v>
      </c>
      <c r="T428" t="s">
        <v>992</v>
      </c>
      <c r="U428" t="s">
        <v>1033</v>
      </c>
      <c r="V428" t="s">
        <v>995</v>
      </c>
      <c r="W428" t="s">
        <v>1034</v>
      </c>
      <c r="X428" t="s">
        <v>2108</v>
      </c>
    </row>
    <row r="429" spans="1:24" x14ac:dyDescent="0.25">
      <c r="A429" t="s">
        <v>42</v>
      </c>
      <c r="B429" t="s">
        <v>2109</v>
      </c>
      <c r="C429" t="s">
        <v>408</v>
      </c>
      <c r="D429" t="s">
        <v>352</v>
      </c>
      <c r="E429" t="s">
        <v>999</v>
      </c>
      <c r="F429">
        <v>-3650</v>
      </c>
      <c r="G429" t="s">
        <v>1085</v>
      </c>
      <c r="H429" t="s">
        <v>2110</v>
      </c>
      <c r="I429" t="s">
        <v>2111</v>
      </c>
      <c r="J429" t="s">
        <v>2057</v>
      </c>
      <c r="K429" t="s">
        <v>1038</v>
      </c>
      <c r="L429" t="s">
        <v>1039</v>
      </c>
      <c r="M429" t="s">
        <v>1028</v>
      </c>
      <c r="N429" t="s">
        <v>1040</v>
      </c>
      <c r="O429" t="s">
        <v>1030</v>
      </c>
      <c r="P429" t="s">
        <v>1042</v>
      </c>
      <c r="Q429" t="b">
        <v>1</v>
      </c>
      <c r="R429" t="b">
        <v>0</v>
      </c>
      <c r="S429" t="s">
        <v>1032</v>
      </c>
      <c r="T429" t="s">
        <v>992</v>
      </c>
      <c r="U429" t="s">
        <v>1033</v>
      </c>
      <c r="V429" t="s">
        <v>1061</v>
      </c>
      <c r="W429" t="s">
        <v>1034</v>
      </c>
      <c r="X429" t="s">
        <v>2112</v>
      </c>
    </row>
    <row r="430" spans="1:24" x14ac:dyDescent="0.25">
      <c r="A430" t="s">
        <v>42</v>
      </c>
      <c r="B430" t="s">
        <v>2113</v>
      </c>
      <c r="C430" t="s">
        <v>408</v>
      </c>
      <c r="D430" t="s">
        <v>352</v>
      </c>
      <c r="E430" t="s">
        <v>1001</v>
      </c>
      <c r="F430">
        <v>-3849</v>
      </c>
      <c r="G430" t="s">
        <v>1085</v>
      </c>
      <c r="H430" t="s">
        <v>2114</v>
      </c>
      <c r="I430" t="s">
        <v>2115</v>
      </c>
      <c r="J430" t="s">
        <v>2057</v>
      </c>
      <c r="K430" t="s">
        <v>1045</v>
      </c>
      <c r="L430" t="s">
        <v>1046</v>
      </c>
      <c r="M430" t="s">
        <v>1028</v>
      </c>
      <c r="N430" t="s">
        <v>1047</v>
      </c>
      <c r="O430" t="s">
        <v>1030</v>
      </c>
      <c r="P430" t="s">
        <v>1049</v>
      </c>
      <c r="Q430" t="b">
        <v>1</v>
      </c>
      <c r="R430" t="b">
        <v>0</v>
      </c>
      <c r="S430" t="s">
        <v>1032</v>
      </c>
      <c r="T430" t="s">
        <v>992</v>
      </c>
      <c r="U430" t="s">
        <v>1033</v>
      </c>
      <c r="V430" t="s">
        <v>1061</v>
      </c>
      <c r="W430" t="s">
        <v>1034</v>
      </c>
      <c r="X430" t="s">
        <v>2116</v>
      </c>
    </row>
    <row r="431" spans="1:24" x14ac:dyDescent="0.25">
      <c r="A431" t="s">
        <v>42</v>
      </c>
      <c r="B431" t="s">
        <v>2117</v>
      </c>
      <c r="C431" t="s">
        <v>408</v>
      </c>
      <c r="D431" t="s">
        <v>352</v>
      </c>
      <c r="E431" t="s">
        <v>1003</v>
      </c>
      <c r="F431">
        <v>-3758</v>
      </c>
      <c r="G431" t="s">
        <v>1085</v>
      </c>
      <c r="H431" t="s">
        <v>2118</v>
      </c>
      <c r="I431" t="s">
        <v>2119</v>
      </c>
      <c r="J431" t="s">
        <v>2057</v>
      </c>
      <c r="K431" t="s">
        <v>1054</v>
      </c>
      <c r="L431" t="s">
        <v>1055</v>
      </c>
      <c r="M431" t="s">
        <v>1056</v>
      </c>
      <c r="N431" t="s">
        <v>1057</v>
      </c>
      <c r="O431" t="s">
        <v>1030</v>
      </c>
      <c r="P431" t="s">
        <v>1058</v>
      </c>
      <c r="Q431" t="b">
        <v>1</v>
      </c>
      <c r="R431" t="b">
        <v>0</v>
      </c>
      <c r="S431" t="s">
        <v>1032</v>
      </c>
      <c r="T431" t="s">
        <v>992</v>
      </c>
      <c r="U431" t="s">
        <v>1033</v>
      </c>
      <c r="V431" t="s">
        <v>1061</v>
      </c>
      <c r="W431" t="s">
        <v>1034</v>
      </c>
      <c r="X431" t="s">
        <v>2120</v>
      </c>
    </row>
    <row r="432" spans="1:24" x14ac:dyDescent="0.25">
      <c r="A432" t="s">
        <v>42</v>
      </c>
      <c r="B432" t="s">
        <v>2121</v>
      </c>
      <c r="C432" t="s">
        <v>408</v>
      </c>
      <c r="D432" t="s">
        <v>352</v>
      </c>
      <c r="E432" t="s">
        <v>1005</v>
      </c>
      <c r="F432">
        <v>-3825</v>
      </c>
      <c r="G432" t="s">
        <v>1023</v>
      </c>
      <c r="H432" t="s">
        <v>2122</v>
      </c>
      <c r="I432" t="s">
        <v>2107</v>
      </c>
      <c r="J432" t="s">
        <v>2057</v>
      </c>
      <c r="K432" t="s">
        <v>1065</v>
      </c>
      <c r="L432" t="s">
        <v>1066</v>
      </c>
      <c r="M432" t="s">
        <v>1028</v>
      </c>
      <c r="N432" t="s">
        <v>1067</v>
      </c>
      <c r="O432" t="s">
        <v>1068</v>
      </c>
      <c r="P432" t="s">
        <v>1069</v>
      </c>
      <c r="Q432" t="b">
        <v>1</v>
      </c>
      <c r="R432" t="b">
        <v>0</v>
      </c>
      <c r="S432" t="s">
        <v>1032</v>
      </c>
      <c r="T432" t="s">
        <v>992</v>
      </c>
      <c r="U432" t="s">
        <v>1033</v>
      </c>
      <c r="V432" t="s">
        <v>995</v>
      </c>
      <c r="W432" t="s">
        <v>1034</v>
      </c>
      <c r="X432" t="s">
        <v>2108</v>
      </c>
    </row>
    <row r="433" spans="1:24" x14ac:dyDescent="0.25">
      <c r="A433" t="s">
        <v>42</v>
      </c>
      <c r="B433" t="s">
        <v>2123</v>
      </c>
      <c r="C433" t="s">
        <v>408</v>
      </c>
      <c r="D433" t="s">
        <v>352</v>
      </c>
      <c r="E433" t="s">
        <v>1007</v>
      </c>
      <c r="F433">
        <v>-3710</v>
      </c>
      <c r="G433" t="s">
        <v>1085</v>
      </c>
      <c r="H433" t="s">
        <v>2124</v>
      </c>
      <c r="I433" t="s">
        <v>2111</v>
      </c>
      <c r="J433" t="s">
        <v>2057</v>
      </c>
      <c r="K433" t="s">
        <v>1072</v>
      </c>
      <c r="L433" t="s">
        <v>1073</v>
      </c>
      <c r="M433" t="s">
        <v>1028</v>
      </c>
      <c r="N433" t="s">
        <v>1074</v>
      </c>
      <c r="O433" t="s">
        <v>1068</v>
      </c>
      <c r="P433" t="s">
        <v>1076</v>
      </c>
      <c r="Q433" t="b">
        <v>1</v>
      </c>
      <c r="R433" t="b">
        <v>0</v>
      </c>
      <c r="S433" t="s">
        <v>1032</v>
      </c>
      <c r="T433" t="s">
        <v>992</v>
      </c>
      <c r="U433" t="s">
        <v>1033</v>
      </c>
      <c r="V433" t="s">
        <v>1061</v>
      </c>
      <c r="W433" t="s">
        <v>1034</v>
      </c>
      <c r="X433" t="s">
        <v>2125</v>
      </c>
    </row>
    <row r="434" spans="1:24" x14ac:dyDescent="0.25">
      <c r="A434" t="s">
        <v>42</v>
      </c>
      <c r="B434" t="s">
        <v>2126</v>
      </c>
      <c r="C434" t="s">
        <v>408</v>
      </c>
      <c r="D434" t="s">
        <v>352</v>
      </c>
      <c r="E434" t="s">
        <v>1009</v>
      </c>
      <c r="F434">
        <v>-3895</v>
      </c>
      <c r="G434" t="s">
        <v>1085</v>
      </c>
      <c r="H434" t="s">
        <v>2127</v>
      </c>
      <c r="I434" t="s">
        <v>2115</v>
      </c>
      <c r="J434" t="s">
        <v>2057</v>
      </c>
      <c r="K434" t="s">
        <v>1079</v>
      </c>
      <c r="L434" t="s">
        <v>1080</v>
      </c>
      <c r="M434" t="s">
        <v>1028</v>
      </c>
      <c r="N434" t="s">
        <v>1081</v>
      </c>
      <c r="O434" t="s">
        <v>1068</v>
      </c>
      <c r="P434" t="s">
        <v>1083</v>
      </c>
      <c r="Q434" t="b">
        <v>1</v>
      </c>
      <c r="R434" t="b">
        <v>0</v>
      </c>
      <c r="S434" t="s">
        <v>1032</v>
      </c>
      <c r="T434" t="s">
        <v>992</v>
      </c>
      <c r="U434" t="s">
        <v>1033</v>
      </c>
      <c r="V434" t="s">
        <v>1061</v>
      </c>
      <c r="W434" t="s">
        <v>1034</v>
      </c>
      <c r="X434" t="s">
        <v>2128</v>
      </c>
    </row>
    <row r="435" spans="1:24" x14ac:dyDescent="0.25">
      <c r="A435" t="s">
        <v>42</v>
      </c>
      <c r="B435" t="s">
        <v>2129</v>
      </c>
      <c r="C435" t="s">
        <v>408</v>
      </c>
      <c r="D435" t="s">
        <v>352</v>
      </c>
      <c r="E435" t="s">
        <v>1011</v>
      </c>
      <c r="F435">
        <v>-3804</v>
      </c>
      <c r="G435" t="s">
        <v>1085</v>
      </c>
      <c r="H435" t="s">
        <v>2130</v>
      </c>
      <c r="I435" t="s">
        <v>2119</v>
      </c>
      <c r="J435" t="s">
        <v>2057</v>
      </c>
      <c r="K435" t="s">
        <v>1087</v>
      </c>
      <c r="L435" t="s">
        <v>1088</v>
      </c>
      <c r="M435" t="s">
        <v>1056</v>
      </c>
      <c r="N435" t="s">
        <v>1089</v>
      </c>
      <c r="O435" t="s">
        <v>1068</v>
      </c>
      <c r="P435" t="s">
        <v>1090</v>
      </c>
      <c r="Q435" t="b">
        <v>1</v>
      </c>
      <c r="R435" t="b">
        <v>0</v>
      </c>
      <c r="S435" t="s">
        <v>1032</v>
      </c>
      <c r="T435" t="s">
        <v>992</v>
      </c>
      <c r="U435" t="s">
        <v>1033</v>
      </c>
      <c r="V435" t="s">
        <v>1061</v>
      </c>
      <c r="W435" t="s">
        <v>1034</v>
      </c>
      <c r="X435" t="s">
        <v>2131</v>
      </c>
    </row>
    <row r="436" spans="1:24" x14ac:dyDescent="0.25">
      <c r="A436" t="s">
        <v>42</v>
      </c>
      <c r="B436" t="s">
        <v>2132</v>
      </c>
      <c r="C436" t="s">
        <v>408</v>
      </c>
      <c r="D436" t="s">
        <v>352</v>
      </c>
      <c r="E436" t="s">
        <v>1013</v>
      </c>
      <c r="F436">
        <v>-3856</v>
      </c>
      <c r="G436" t="s">
        <v>1023</v>
      </c>
      <c r="H436" t="s">
        <v>2133</v>
      </c>
      <c r="I436" t="s">
        <v>2107</v>
      </c>
      <c r="J436" t="s">
        <v>2057</v>
      </c>
      <c r="K436" t="s">
        <v>1094</v>
      </c>
      <c r="L436" t="s">
        <v>1095</v>
      </c>
      <c r="M436" t="s">
        <v>1028</v>
      </c>
      <c r="N436" t="s">
        <v>1096</v>
      </c>
      <c r="O436" t="s">
        <v>1097</v>
      </c>
      <c r="P436" t="s">
        <v>1098</v>
      </c>
      <c r="Q436" t="b">
        <v>1</v>
      </c>
      <c r="R436" t="b">
        <v>0</v>
      </c>
      <c r="S436" t="s">
        <v>1032</v>
      </c>
      <c r="T436" t="s">
        <v>992</v>
      </c>
      <c r="U436" t="s">
        <v>1033</v>
      </c>
      <c r="V436" t="s">
        <v>995</v>
      </c>
      <c r="W436" t="s">
        <v>1034</v>
      </c>
      <c r="X436" t="s">
        <v>2108</v>
      </c>
    </row>
    <row r="437" spans="1:24" x14ac:dyDescent="0.25">
      <c r="A437" t="s">
        <v>42</v>
      </c>
      <c r="B437" t="s">
        <v>2134</v>
      </c>
      <c r="C437" t="s">
        <v>408</v>
      </c>
      <c r="D437" t="s">
        <v>352</v>
      </c>
      <c r="E437" t="s">
        <v>1015</v>
      </c>
      <c r="F437">
        <v>-3758</v>
      </c>
      <c r="G437" t="s">
        <v>1085</v>
      </c>
      <c r="H437" t="s">
        <v>2118</v>
      </c>
      <c r="I437" t="s">
        <v>2111</v>
      </c>
      <c r="J437" t="s">
        <v>2057</v>
      </c>
      <c r="K437" t="s">
        <v>1103</v>
      </c>
      <c r="L437" t="s">
        <v>1104</v>
      </c>
      <c r="M437" t="s">
        <v>1028</v>
      </c>
      <c r="N437" t="s">
        <v>1105</v>
      </c>
      <c r="O437" t="s">
        <v>1097</v>
      </c>
      <c r="P437" t="s">
        <v>1107</v>
      </c>
      <c r="Q437" t="b">
        <v>1</v>
      </c>
      <c r="R437" t="b">
        <v>0</v>
      </c>
      <c r="S437" t="s">
        <v>1032</v>
      </c>
      <c r="T437" t="s">
        <v>992</v>
      </c>
      <c r="U437" t="s">
        <v>1033</v>
      </c>
      <c r="V437" t="s">
        <v>1061</v>
      </c>
      <c r="W437" t="s">
        <v>1034</v>
      </c>
      <c r="X437" t="s">
        <v>2135</v>
      </c>
    </row>
    <row r="438" spans="1:24" x14ac:dyDescent="0.25">
      <c r="A438" t="s">
        <v>42</v>
      </c>
      <c r="B438" t="s">
        <v>2136</v>
      </c>
      <c r="C438" t="s">
        <v>408</v>
      </c>
      <c r="D438" t="s">
        <v>352</v>
      </c>
      <c r="E438" t="s">
        <v>1017</v>
      </c>
      <c r="F438">
        <v>-3945</v>
      </c>
      <c r="G438" t="s">
        <v>1085</v>
      </c>
      <c r="H438" t="s">
        <v>2137</v>
      </c>
      <c r="I438" t="s">
        <v>2115</v>
      </c>
      <c r="J438" t="s">
        <v>2057</v>
      </c>
      <c r="K438" t="s">
        <v>1110</v>
      </c>
      <c r="L438" t="s">
        <v>1111</v>
      </c>
      <c r="M438" t="s">
        <v>1028</v>
      </c>
      <c r="N438" t="s">
        <v>1112</v>
      </c>
      <c r="O438" t="s">
        <v>1097</v>
      </c>
      <c r="P438" t="s">
        <v>1114</v>
      </c>
      <c r="Q438" t="b">
        <v>1</v>
      </c>
      <c r="R438" t="b">
        <v>0</v>
      </c>
      <c r="S438" t="s">
        <v>1032</v>
      </c>
      <c r="T438" t="s">
        <v>992</v>
      </c>
      <c r="U438" t="s">
        <v>1033</v>
      </c>
      <c r="V438" t="s">
        <v>1061</v>
      </c>
      <c r="W438" t="s">
        <v>1034</v>
      </c>
      <c r="X438" t="s">
        <v>2138</v>
      </c>
    </row>
    <row r="439" spans="1:24" x14ac:dyDescent="0.25">
      <c r="A439" t="s">
        <v>42</v>
      </c>
      <c r="B439" t="s">
        <v>2139</v>
      </c>
      <c r="C439" t="s">
        <v>408</v>
      </c>
      <c r="D439" t="s">
        <v>352</v>
      </c>
      <c r="E439" t="s">
        <v>1019</v>
      </c>
      <c r="F439">
        <v>-3862</v>
      </c>
      <c r="G439" t="s">
        <v>1085</v>
      </c>
      <c r="H439" t="s">
        <v>2140</v>
      </c>
      <c r="I439" t="s">
        <v>2119</v>
      </c>
      <c r="J439" t="s">
        <v>2057</v>
      </c>
      <c r="K439" t="s">
        <v>1117</v>
      </c>
      <c r="L439" t="s">
        <v>1118</v>
      </c>
      <c r="M439" t="s">
        <v>1056</v>
      </c>
      <c r="N439" t="s">
        <v>1119</v>
      </c>
      <c r="O439" t="s">
        <v>1097</v>
      </c>
      <c r="P439" t="s">
        <v>1120</v>
      </c>
      <c r="Q439" t="b">
        <v>1</v>
      </c>
      <c r="R439" t="b">
        <v>0</v>
      </c>
      <c r="S439" t="s">
        <v>1032</v>
      </c>
      <c r="T439" t="s">
        <v>992</v>
      </c>
      <c r="U439" t="s">
        <v>1033</v>
      </c>
      <c r="V439" t="s">
        <v>1061</v>
      </c>
      <c r="W439" t="s">
        <v>1034</v>
      </c>
      <c r="X439" t="s">
        <v>2141</v>
      </c>
    </row>
    <row r="440" spans="1:24" x14ac:dyDescent="0.25">
      <c r="A440" t="s">
        <v>42</v>
      </c>
      <c r="B440" t="s">
        <v>2142</v>
      </c>
      <c r="C440" t="s">
        <v>408</v>
      </c>
      <c r="D440" t="s">
        <v>352</v>
      </c>
      <c r="E440" t="s">
        <v>1021</v>
      </c>
      <c r="F440">
        <v>-3921</v>
      </c>
      <c r="G440" t="s">
        <v>1023</v>
      </c>
      <c r="H440" t="s">
        <v>2143</v>
      </c>
      <c r="I440" t="s">
        <v>2107</v>
      </c>
      <c r="J440" t="s">
        <v>2057</v>
      </c>
      <c r="K440" t="s">
        <v>1124</v>
      </c>
      <c r="L440" t="s">
        <v>1125</v>
      </c>
      <c r="M440" t="s">
        <v>1028</v>
      </c>
      <c r="N440" t="s">
        <v>1126</v>
      </c>
      <c r="O440" t="s">
        <v>1127</v>
      </c>
      <c r="P440" t="s">
        <v>1128</v>
      </c>
      <c r="Q440" t="b">
        <v>1</v>
      </c>
      <c r="R440" t="b">
        <v>0</v>
      </c>
      <c r="S440" t="s">
        <v>1032</v>
      </c>
      <c r="T440" t="s">
        <v>992</v>
      </c>
      <c r="U440" t="s">
        <v>1033</v>
      </c>
      <c r="V440" t="s">
        <v>995</v>
      </c>
      <c r="W440" t="s">
        <v>1034</v>
      </c>
      <c r="X440" t="s">
        <v>2108</v>
      </c>
    </row>
    <row r="441" spans="1:24" x14ac:dyDescent="0.25">
      <c r="A441" t="s">
        <v>42</v>
      </c>
      <c r="B441" t="s">
        <v>2144</v>
      </c>
      <c r="C441" t="s">
        <v>408</v>
      </c>
      <c r="D441" t="s">
        <v>352</v>
      </c>
      <c r="E441" t="s">
        <v>1130</v>
      </c>
      <c r="F441">
        <v>-3822</v>
      </c>
      <c r="G441" t="s">
        <v>1051</v>
      </c>
      <c r="H441" t="s">
        <v>2145</v>
      </c>
      <c r="I441" t="s">
        <v>2111</v>
      </c>
      <c r="J441" t="s">
        <v>2057</v>
      </c>
      <c r="K441" t="s">
        <v>1132</v>
      </c>
      <c r="L441" t="s">
        <v>1133</v>
      </c>
      <c r="M441" t="s">
        <v>1028</v>
      </c>
      <c r="N441" t="s">
        <v>1134</v>
      </c>
      <c r="O441" t="s">
        <v>1127</v>
      </c>
      <c r="P441" t="s">
        <v>1136</v>
      </c>
      <c r="Q441" t="b">
        <v>1</v>
      </c>
      <c r="R441" t="b">
        <v>1</v>
      </c>
      <c r="S441" t="s">
        <v>2146</v>
      </c>
      <c r="T441" t="s">
        <v>992</v>
      </c>
      <c r="U441" t="s">
        <v>1060</v>
      </c>
      <c r="V441" t="s">
        <v>1061</v>
      </c>
      <c r="W441" t="s">
        <v>1034</v>
      </c>
      <c r="X441" t="s">
        <v>1062</v>
      </c>
    </row>
    <row r="442" spans="1:24" x14ac:dyDescent="0.25">
      <c r="A442" t="s">
        <v>42</v>
      </c>
      <c r="B442" t="s">
        <v>2147</v>
      </c>
      <c r="C442" t="s">
        <v>403</v>
      </c>
      <c r="D442" t="s">
        <v>410</v>
      </c>
      <c r="E442" t="s">
        <v>990</v>
      </c>
      <c r="F442">
        <v>0</v>
      </c>
      <c r="G442" t="s">
        <v>982</v>
      </c>
      <c r="H442" t="s">
        <v>992</v>
      </c>
      <c r="I442" t="s">
        <v>992</v>
      </c>
      <c r="J442" t="s">
        <v>2057</v>
      </c>
      <c r="K442" t="s">
        <v>992</v>
      </c>
      <c r="L442" t="s">
        <v>992</v>
      </c>
      <c r="M442" t="s">
        <v>992</v>
      </c>
      <c r="N442" t="s">
        <v>992</v>
      </c>
      <c r="O442" t="s">
        <v>992</v>
      </c>
      <c r="P442" t="s">
        <v>992</v>
      </c>
      <c r="Q442" t="b">
        <v>0</v>
      </c>
      <c r="R442" t="b">
        <v>1</v>
      </c>
      <c r="S442" t="s">
        <v>1287</v>
      </c>
      <c r="T442" t="s">
        <v>1288</v>
      </c>
      <c r="U442" t="s">
        <v>994</v>
      </c>
      <c r="V442" t="s">
        <v>1289</v>
      </c>
      <c r="W442" t="s">
        <v>1290</v>
      </c>
      <c r="X442" t="s">
        <v>1291</v>
      </c>
    </row>
    <row r="443" spans="1:24" x14ac:dyDescent="0.25">
      <c r="A443" t="s">
        <v>42</v>
      </c>
      <c r="B443" t="s">
        <v>2148</v>
      </c>
      <c r="C443" t="s">
        <v>403</v>
      </c>
      <c r="D443" t="s">
        <v>410</v>
      </c>
      <c r="E443" t="s">
        <v>999</v>
      </c>
      <c r="F443">
        <v>-71</v>
      </c>
      <c r="G443" t="s">
        <v>982</v>
      </c>
      <c r="H443" t="s">
        <v>992</v>
      </c>
      <c r="I443" t="s">
        <v>992</v>
      </c>
      <c r="J443" t="s">
        <v>2057</v>
      </c>
      <c r="K443" t="s">
        <v>992</v>
      </c>
      <c r="L443" t="s">
        <v>992</v>
      </c>
      <c r="M443" t="s">
        <v>992</v>
      </c>
      <c r="N443" t="s">
        <v>992</v>
      </c>
      <c r="O443" t="s">
        <v>992</v>
      </c>
      <c r="P443" t="s">
        <v>992</v>
      </c>
      <c r="Q443" t="b">
        <v>0</v>
      </c>
      <c r="R443" t="b">
        <v>1</v>
      </c>
      <c r="S443" t="s">
        <v>1287</v>
      </c>
      <c r="T443" t="s">
        <v>1288</v>
      </c>
      <c r="U443" t="s">
        <v>994</v>
      </c>
      <c r="V443" t="s">
        <v>1289</v>
      </c>
      <c r="W443" t="s">
        <v>1290</v>
      </c>
      <c r="X443" t="s">
        <v>1291</v>
      </c>
    </row>
    <row r="444" spans="1:24" x14ac:dyDescent="0.25">
      <c r="A444" t="s">
        <v>42</v>
      </c>
      <c r="B444" t="s">
        <v>2149</v>
      </c>
      <c r="C444" t="s">
        <v>403</v>
      </c>
      <c r="D444" t="s">
        <v>410</v>
      </c>
      <c r="E444" t="s">
        <v>1001</v>
      </c>
      <c r="F444">
        <v>-142</v>
      </c>
      <c r="G444" t="s">
        <v>982</v>
      </c>
      <c r="H444" t="s">
        <v>992</v>
      </c>
      <c r="I444" t="s">
        <v>992</v>
      </c>
      <c r="J444" t="s">
        <v>2057</v>
      </c>
      <c r="K444" t="s">
        <v>992</v>
      </c>
      <c r="L444" t="s">
        <v>992</v>
      </c>
      <c r="M444" t="s">
        <v>992</v>
      </c>
      <c r="N444" t="s">
        <v>992</v>
      </c>
      <c r="O444" t="s">
        <v>992</v>
      </c>
      <c r="P444" t="s">
        <v>992</v>
      </c>
      <c r="Q444" t="b">
        <v>0</v>
      </c>
      <c r="R444" t="b">
        <v>1</v>
      </c>
      <c r="S444" t="s">
        <v>1287</v>
      </c>
      <c r="T444" t="s">
        <v>1288</v>
      </c>
      <c r="U444" t="s">
        <v>994</v>
      </c>
      <c r="V444" t="s">
        <v>1289</v>
      </c>
      <c r="W444" t="s">
        <v>1290</v>
      </c>
      <c r="X444" t="s">
        <v>1291</v>
      </c>
    </row>
    <row r="445" spans="1:24" x14ac:dyDescent="0.25">
      <c r="A445" t="s">
        <v>42</v>
      </c>
      <c r="B445" t="s">
        <v>2150</v>
      </c>
      <c r="C445" t="s">
        <v>403</v>
      </c>
      <c r="D445" t="s">
        <v>410</v>
      </c>
      <c r="E445" t="s">
        <v>1003</v>
      </c>
      <c r="F445">
        <v>-165</v>
      </c>
      <c r="G445" t="s">
        <v>982</v>
      </c>
      <c r="H445" t="s">
        <v>992</v>
      </c>
      <c r="I445" t="s">
        <v>992</v>
      </c>
      <c r="J445" t="s">
        <v>2057</v>
      </c>
      <c r="K445" t="s">
        <v>992</v>
      </c>
      <c r="L445" t="s">
        <v>992</v>
      </c>
      <c r="M445" t="s">
        <v>992</v>
      </c>
      <c r="N445" t="s">
        <v>992</v>
      </c>
      <c r="O445" t="s">
        <v>992</v>
      </c>
      <c r="P445" t="s">
        <v>992</v>
      </c>
      <c r="Q445" t="b">
        <v>0</v>
      </c>
      <c r="R445" t="b">
        <v>1</v>
      </c>
      <c r="S445" t="s">
        <v>1287</v>
      </c>
      <c r="T445" t="s">
        <v>1288</v>
      </c>
      <c r="U445" t="s">
        <v>994</v>
      </c>
      <c r="V445" t="s">
        <v>1289</v>
      </c>
      <c r="W445" t="s">
        <v>1290</v>
      </c>
      <c r="X445" t="s">
        <v>1291</v>
      </c>
    </row>
    <row r="446" spans="1:24" x14ac:dyDescent="0.25">
      <c r="A446" t="s">
        <v>42</v>
      </c>
      <c r="B446" t="s">
        <v>2151</v>
      </c>
      <c r="C446" t="s">
        <v>403</v>
      </c>
      <c r="D446" t="s">
        <v>410</v>
      </c>
      <c r="E446" t="s">
        <v>1005</v>
      </c>
      <c r="F446">
        <v>-209</v>
      </c>
      <c r="G446" t="s">
        <v>982</v>
      </c>
      <c r="H446" t="s">
        <v>992</v>
      </c>
      <c r="I446" t="s">
        <v>992</v>
      </c>
      <c r="J446" t="s">
        <v>2057</v>
      </c>
      <c r="K446" t="s">
        <v>992</v>
      </c>
      <c r="L446" t="s">
        <v>992</v>
      </c>
      <c r="M446" t="s">
        <v>992</v>
      </c>
      <c r="N446" t="s">
        <v>992</v>
      </c>
      <c r="O446" t="s">
        <v>992</v>
      </c>
      <c r="P446" t="s">
        <v>992</v>
      </c>
      <c r="Q446" t="b">
        <v>0</v>
      </c>
      <c r="R446" t="b">
        <v>1</v>
      </c>
      <c r="S446" t="s">
        <v>1287</v>
      </c>
      <c r="T446" t="s">
        <v>1288</v>
      </c>
      <c r="U446" t="s">
        <v>994</v>
      </c>
      <c r="V446" t="s">
        <v>1289</v>
      </c>
      <c r="W446" t="s">
        <v>1290</v>
      </c>
      <c r="X446" t="s">
        <v>1291</v>
      </c>
    </row>
    <row r="447" spans="1:24" x14ac:dyDescent="0.25">
      <c r="A447" t="s">
        <v>42</v>
      </c>
      <c r="B447" t="s">
        <v>2152</v>
      </c>
      <c r="C447" t="s">
        <v>403</v>
      </c>
      <c r="D447" t="s">
        <v>410</v>
      </c>
      <c r="E447" t="s">
        <v>1007</v>
      </c>
      <c r="F447">
        <v>-256</v>
      </c>
      <c r="G447" t="s">
        <v>982</v>
      </c>
      <c r="H447" t="s">
        <v>992</v>
      </c>
      <c r="I447" t="s">
        <v>992</v>
      </c>
      <c r="J447" t="s">
        <v>2057</v>
      </c>
      <c r="K447" t="s">
        <v>992</v>
      </c>
      <c r="L447" t="s">
        <v>992</v>
      </c>
      <c r="M447" t="s">
        <v>992</v>
      </c>
      <c r="N447" t="s">
        <v>992</v>
      </c>
      <c r="O447" t="s">
        <v>992</v>
      </c>
      <c r="P447" t="s">
        <v>992</v>
      </c>
      <c r="Q447" t="b">
        <v>0</v>
      </c>
      <c r="R447" t="b">
        <v>1</v>
      </c>
      <c r="S447" t="s">
        <v>1287</v>
      </c>
      <c r="T447" t="s">
        <v>1288</v>
      </c>
      <c r="U447" t="s">
        <v>994</v>
      </c>
      <c r="V447" t="s">
        <v>1289</v>
      </c>
      <c r="W447" t="s">
        <v>1290</v>
      </c>
      <c r="X447" t="s">
        <v>1291</v>
      </c>
    </row>
    <row r="448" spans="1:24" x14ac:dyDescent="0.25">
      <c r="A448" t="s">
        <v>42</v>
      </c>
      <c r="B448" t="s">
        <v>2153</v>
      </c>
      <c r="C448" t="s">
        <v>403</v>
      </c>
      <c r="D448" t="s">
        <v>410</v>
      </c>
      <c r="E448" t="s">
        <v>1009</v>
      </c>
      <c r="F448">
        <v>-187</v>
      </c>
      <c r="G448" t="s">
        <v>982</v>
      </c>
      <c r="H448" t="s">
        <v>992</v>
      </c>
      <c r="I448" t="s">
        <v>992</v>
      </c>
      <c r="J448" t="s">
        <v>2057</v>
      </c>
      <c r="K448" t="s">
        <v>992</v>
      </c>
      <c r="L448" t="s">
        <v>992</v>
      </c>
      <c r="M448" t="s">
        <v>992</v>
      </c>
      <c r="N448" t="s">
        <v>992</v>
      </c>
      <c r="O448" t="s">
        <v>992</v>
      </c>
      <c r="P448" t="s">
        <v>992</v>
      </c>
      <c r="Q448" t="b">
        <v>0</v>
      </c>
      <c r="R448" t="b">
        <v>1</v>
      </c>
      <c r="S448" t="s">
        <v>1287</v>
      </c>
      <c r="T448" t="s">
        <v>1288</v>
      </c>
      <c r="U448" t="s">
        <v>994</v>
      </c>
      <c r="V448" t="s">
        <v>1289</v>
      </c>
      <c r="W448" t="s">
        <v>1290</v>
      </c>
      <c r="X448" t="s">
        <v>1291</v>
      </c>
    </row>
    <row r="449" spans="1:24" x14ac:dyDescent="0.25">
      <c r="A449" t="s">
        <v>42</v>
      </c>
      <c r="B449" t="s">
        <v>2154</v>
      </c>
      <c r="C449" t="s">
        <v>403</v>
      </c>
      <c r="D449" t="s">
        <v>410</v>
      </c>
      <c r="E449" t="s">
        <v>1011</v>
      </c>
      <c r="F449">
        <v>-164</v>
      </c>
      <c r="G449" t="s">
        <v>982</v>
      </c>
      <c r="H449" t="s">
        <v>992</v>
      </c>
      <c r="I449" t="s">
        <v>992</v>
      </c>
      <c r="J449" t="s">
        <v>2057</v>
      </c>
      <c r="K449" t="s">
        <v>992</v>
      </c>
      <c r="L449" t="s">
        <v>992</v>
      </c>
      <c r="M449" t="s">
        <v>992</v>
      </c>
      <c r="N449" t="s">
        <v>992</v>
      </c>
      <c r="O449" t="s">
        <v>992</v>
      </c>
      <c r="P449" t="s">
        <v>992</v>
      </c>
      <c r="Q449" t="b">
        <v>0</v>
      </c>
      <c r="R449" t="b">
        <v>1</v>
      </c>
      <c r="S449" t="s">
        <v>1287</v>
      </c>
      <c r="T449" t="s">
        <v>1288</v>
      </c>
      <c r="U449" t="s">
        <v>994</v>
      </c>
      <c r="V449" t="s">
        <v>1289</v>
      </c>
      <c r="W449" t="s">
        <v>1290</v>
      </c>
      <c r="X449" t="s">
        <v>1291</v>
      </c>
    </row>
    <row r="450" spans="1:24" x14ac:dyDescent="0.25">
      <c r="A450" t="s">
        <v>42</v>
      </c>
      <c r="B450" t="s">
        <v>2155</v>
      </c>
      <c r="C450" t="s">
        <v>403</v>
      </c>
      <c r="D450" t="s">
        <v>410</v>
      </c>
      <c r="E450" t="s">
        <v>1013</v>
      </c>
      <c r="F450">
        <v>-136</v>
      </c>
      <c r="G450" t="s">
        <v>982</v>
      </c>
      <c r="H450" t="s">
        <v>992</v>
      </c>
      <c r="I450" t="s">
        <v>992</v>
      </c>
      <c r="J450" t="s">
        <v>2057</v>
      </c>
      <c r="K450" t="s">
        <v>992</v>
      </c>
      <c r="L450" t="s">
        <v>992</v>
      </c>
      <c r="M450" t="s">
        <v>992</v>
      </c>
      <c r="N450" t="s">
        <v>992</v>
      </c>
      <c r="O450" t="s">
        <v>992</v>
      </c>
      <c r="P450" t="s">
        <v>992</v>
      </c>
      <c r="Q450" t="b">
        <v>0</v>
      </c>
      <c r="R450" t="b">
        <v>1</v>
      </c>
      <c r="S450" t="s">
        <v>1287</v>
      </c>
      <c r="T450" t="s">
        <v>1288</v>
      </c>
      <c r="U450" t="s">
        <v>994</v>
      </c>
      <c r="V450" t="s">
        <v>1289</v>
      </c>
      <c r="W450" t="s">
        <v>1290</v>
      </c>
      <c r="X450" t="s">
        <v>1291</v>
      </c>
    </row>
    <row r="451" spans="1:24" x14ac:dyDescent="0.25">
      <c r="A451" t="s">
        <v>42</v>
      </c>
      <c r="B451" t="s">
        <v>2156</v>
      </c>
      <c r="C451" t="s">
        <v>403</v>
      </c>
      <c r="D451" t="s">
        <v>410</v>
      </c>
      <c r="E451" t="s">
        <v>1015</v>
      </c>
      <c r="F451">
        <v>-393</v>
      </c>
      <c r="G451" t="s">
        <v>982</v>
      </c>
      <c r="H451" t="s">
        <v>992</v>
      </c>
      <c r="I451" t="s">
        <v>992</v>
      </c>
      <c r="J451" t="s">
        <v>2057</v>
      </c>
      <c r="K451" t="s">
        <v>992</v>
      </c>
      <c r="L451" t="s">
        <v>992</v>
      </c>
      <c r="M451" t="s">
        <v>992</v>
      </c>
      <c r="N451" t="s">
        <v>992</v>
      </c>
      <c r="O451" t="s">
        <v>992</v>
      </c>
      <c r="P451" t="s">
        <v>992</v>
      </c>
      <c r="Q451" t="b">
        <v>0</v>
      </c>
      <c r="R451" t="b">
        <v>1</v>
      </c>
      <c r="S451" t="s">
        <v>1287</v>
      </c>
      <c r="T451" t="s">
        <v>1288</v>
      </c>
      <c r="U451" t="s">
        <v>994</v>
      </c>
      <c r="V451" t="s">
        <v>1289</v>
      </c>
      <c r="W451" t="s">
        <v>1290</v>
      </c>
      <c r="X451" t="s">
        <v>1291</v>
      </c>
    </row>
    <row r="452" spans="1:24" x14ac:dyDescent="0.25">
      <c r="A452" t="s">
        <v>42</v>
      </c>
      <c r="B452" t="s">
        <v>2157</v>
      </c>
      <c r="C452" t="s">
        <v>403</v>
      </c>
      <c r="D452" t="s">
        <v>410</v>
      </c>
      <c r="E452" t="s">
        <v>1017</v>
      </c>
      <c r="F452">
        <v>-285</v>
      </c>
      <c r="G452" t="s">
        <v>982</v>
      </c>
      <c r="H452" t="s">
        <v>992</v>
      </c>
      <c r="I452" t="s">
        <v>992</v>
      </c>
      <c r="J452" t="s">
        <v>2057</v>
      </c>
      <c r="K452" t="s">
        <v>992</v>
      </c>
      <c r="L452" t="s">
        <v>992</v>
      </c>
      <c r="M452" t="s">
        <v>992</v>
      </c>
      <c r="N452" t="s">
        <v>992</v>
      </c>
      <c r="O452" t="s">
        <v>992</v>
      </c>
      <c r="P452" t="s">
        <v>992</v>
      </c>
      <c r="Q452" t="b">
        <v>0</v>
      </c>
      <c r="R452" t="b">
        <v>1</v>
      </c>
      <c r="S452" t="s">
        <v>1287</v>
      </c>
      <c r="T452" t="s">
        <v>1288</v>
      </c>
      <c r="U452" t="s">
        <v>994</v>
      </c>
      <c r="V452" t="s">
        <v>1289</v>
      </c>
      <c r="W452" t="s">
        <v>1290</v>
      </c>
      <c r="X452" t="s">
        <v>1291</v>
      </c>
    </row>
    <row r="453" spans="1:24" x14ac:dyDescent="0.25">
      <c r="A453" t="s">
        <v>42</v>
      </c>
      <c r="B453" t="s">
        <v>2158</v>
      </c>
      <c r="C453" t="s">
        <v>403</v>
      </c>
      <c r="D453" t="s">
        <v>410</v>
      </c>
      <c r="E453" t="s">
        <v>1019</v>
      </c>
      <c r="F453">
        <v>-245</v>
      </c>
      <c r="G453" t="s">
        <v>982</v>
      </c>
      <c r="H453" t="s">
        <v>992</v>
      </c>
      <c r="I453" t="s">
        <v>992</v>
      </c>
      <c r="J453" t="s">
        <v>2057</v>
      </c>
      <c r="K453" t="s">
        <v>992</v>
      </c>
      <c r="L453" t="s">
        <v>992</v>
      </c>
      <c r="M453" t="s">
        <v>992</v>
      </c>
      <c r="N453" t="s">
        <v>992</v>
      </c>
      <c r="O453" t="s">
        <v>992</v>
      </c>
      <c r="P453" t="s">
        <v>992</v>
      </c>
      <c r="Q453" t="b">
        <v>0</v>
      </c>
      <c r="R453" t="b">
        <v>1</v>
      </c>
      <c r="S453" t="s">
        <v>1287</v>
      </c>
      <c r="T453" t="s">
        <v>1288</v>
      </c>
      <c r="U453" t="s">
        <v>994</v>
      </c>
      <c r="V453" t="s">
        <v>1289</v>
      </c>
      <c r="W453" t="s">
        <v>1290</v>
      </c>
      <c r="X453" t="s">
        <v>1291</v>
      </c>
    </row>
    <row r="454" spans="1:24" x14ac:dyDescent="0.25">
      <c r="A454" t="s">
        <v>42</v>
      </c>
      <c r="B454" t="s">
        <v>2159</v>
      </c>
      <c r="C454" t="s">
        <v>403</v>
      </c>
      <c r="D454" t="s">
        <v>410</v>
      </c>
      <c r="E454" t="s">
        <v>1021</v>
      </c>
      <c r="F454">
        <v>-136</v>
      </c>
      <c r="G454" t="s">
        <v>982</v>
      </c>
      <c r="H454" t="s">
        <v>992</v>
      </c>
      <c r="I454" t="s">
        <v>992</v>
      </c>
      <c r="J454" t="s">
        <v>2057</v>
      </c>
      <c r="K454" t="s">
        <v>992</v>
      </c>
      <c r="L454" t="s">
        <v>992</v>
      </c>
      <c r="M454" t="s">
        <v>992</v>
      </c>
      <c r="N454" t="s">
        <v>992</v>
      </c>
      <c r="O454" t="s">
        <v>992</v>
      </c>
      <c r="P454" t="s">
        <v>992</v>
      </c>
      <c r="Q454" t="b">
        <v>0</v>
      </c>
      <c r="R454" t="b">
        <v>1</v>
      </c>
      <c r="S454" t="s">
        <v>1287</v>
      </c>
      <c r="T454" t="s">
        <v>1288</v>
      </c>
      <c r="U454" t="s">
        <v>994</v>
      </c>
      <c r="V454" t="s">
        <v>1289</v>
      </c>
      <c r="W454" t="s">
        <v>1290</v>
      </c>
      <c r="X454" t="s">
        <v>1291</v>
      </c>
    </row>
    <row r="455" spans="1:24" x14ac:dyDescent="0.25">
      <c r="A455" t="s">
        <v>42</v>
      </c>
      <c r="B455" t="s">
        <v>2160</v>
      </c>
      <c r="C455" t="s">
        <v>403</v>
      </c>
      <c r="D455" t="s">
        <v>410</v>
      </c>
      <c r="E455" t="s">
        <v>1130</v>
      </c>
      <c r="F455">
        <v>-11</v>
      </c>
      <c r="G455" t="s">
        <v>982</v>
      </c>
      <c r="H455" t="s">
        <v>992</v>
      </c>
      <c r="I455" t="s">
        <v>992</v>
      </c>
      <c r="J455" t="s">
        <v>2057</v>
      </c>
      <c r="K455" t="s">
        <v>992</v>
      </c>
      <c r="L455" t="s">
        <v>992</v>
      </c>
      <c r="M455" t="s">
        <v>992</v>
      </c>
      <c r="N455" t="s">
        <v>992</v>
      </c>
      <c r="O455" t="s">
        <v>992</v>
      </c>
      <c r="P455" t="s">
        <v>992</v>
      </c>
      <c r="Q455" t="b">
        <v>0</v>
      </c>
      <c r="R455" t="b">
        <v>1</v>
      </c>
      <c r="S455" t="s">
        <v>1287</v>
      </c>
      <c r="T455" t="s">
        <v>1288</v>
      </c>
      <c r="U455" t="s">
        <v>994</v>
      </c>
      <c r="V455" t="s">
        <v>1289</v>
      </c>
      <c r="W455" t="s">
        <v>1290</v>
      </c>
      <c r="X455" t="s">
        <v>1291</v>
      </c>
    </row>
    <row r="456" spans="1:24" x14ac:dyDescent="0.25">
      <c r="A456" t="s">
        <v>42</v>
      </c>
      <c r="B456" t="s">
        <v>2161</v>
      </c>
      <c r="C456" t="s">
        <v>403</v>
      </c>
      <c r="D456" t="s">
        <v>434</v>
      </c>
      <c r="E456" t="s">
        <v>990</v>
      </c>
      <c r="F456">
        <v>0</v>
      </c>
      <c r="G456" t="s">
        <v>982</v>
      </c>
      <c r="H456" t="s">
        <v>992</v>
      </c>
      <c r="I456" t="s">
        <v>992</v>
      </c>
      <c r="J456" t="s">
        <v>2057</v>
      </c>
      <c r="K456" t="s">
        <v>992</v>
      </c>
      <c r="L456" t="s">
        <v>992</v>
      </c>
      <c r="M456" t="s">
        <v>992</v>
      </c>
      <c r="N456" t="s">
        <v>992</v>
      </c>
      <c r="O456" t="s">
        <v>992</v>
      </c>
      <c r="P456" t="s">
        <v>992</v>
      </c>
      <c r="Q456" t="b">
        <v>0</v>
      </c>
      <c r="R456" t="b">
        <v>1</v>
      </c>
      <c r="S456" t="s">
        <v>1287</v>
      </c>
      <c r="T456" t="s">
        <v>1288</v>
      </c>
      <c r="U456" t="s">
        <v>994</v>
      </c>
      <c r="V456" t="s">
        <v>1289</v>
      </c>
      <c r="W456" t="s">
        <v>1290</v>
      </c>
      <c r="X456" t="s">
        <v>1291</v>
      </c>
    </row>
    <row r="457" spans="1:24" x14ac:dyDescent="0.25">
      <c r="A457" t="s">
        <v>42</v>
      </c>
      <c r="B457" t="s">
        <v>2162</v>
      </c>
      <c r="C457" t="s">
        <v>403</v>
      </c>
      <c r="D457" t="s">
        <v>434</v>
      </c>
      <c r="E457" t="s">
        <v>999</v>
      </c>
      <c r="F457">
        <v>0</v>
      </c>
      <c r="G457" t="s">
        <v>982</v>
      </c>
      <c r="H457" t="s">
        <v>992</v>
      </c>
      <c r="I457" t="s">
        <v>992</v>
      </c>
      <c r="J457" t="s">
        <v>2057</v>
      </c>
      <c r="K457" t="s">
        <v>992</v>
      </c>
      <c r="L457" t="s">
        <v>992</v>
      </c>
      <c r="M457" t="s">
        <v>992</v>
      </c>
      <c r="N457" t="s">
        <v>992</v>
      </c>
      <c r="O457" t="s">
        <v>992</v>
      </c>
      <c r="P457" t="s">
        <v>992</v>
      </c>
      <c r="Q457" t="b">
        <v>0</v>
      </c>
      <c r="R457" t="b">
        <v>1</v>
      </c>
      <c r="S457" t="s">
        <v>1287</v>
      </c>
      <c r="T457" t="s">
        <v>1288</v>
      </c>
      <c r="U457" t="s">
        <v>994</v>
      </c>
      <c r="V457" t="s">
        <v>1289</v>
      </c>
      <c r="W457" t="s">
        <v>1290</v>
      </c>
      <c r="X457" t="s">
        <v>1291</v>
      </c>
    </row>
    <row r="458" spans="1:24" x14ac:dyDescent="0.25">
      <c r="A458" t="s">
        <v>42</v>
      </c>
      <c r="B458" t="s">
        <v>2163</v>
      </c>
      <c r="C458" t="s">
        <v>403</v>
      </c>
      <c r="D458" t="s">
        <v>434</v>
      </c>
      <c r="E458" t="s">
        <v>1001</v>
      </c>
      <c r="F458">
        <v>0</v>
      </c>
      <c r="G458" t="s">
        <v>982</v>
      </c>
      <c r="H458" t="s">
        <v>992</v>
      </c>
      <c r="I458" t="s">
        <v>992</v>
      </c>
      <c r="J458" t="s">
        <v>2057</v>
      </c>
      <c r="K458" t="s">
        <v>992</v>
      </c>
      <c r="L458" t="s">
        <v>992</v>
      </c>
      <c r="M458" t="s">
        <v>992</v>
      </c>
      <c r="N458" t="s">
        <v>992</v>
      </c>
      <c r="O458" t="s">
        <v>992</v>
      </c>
      <c r="P458" t="s">
        <v>992</v>
      </c>
      <c r="Q458" t="b">
        <v>0</v>
      </c>
      <c r="R458" t="b">
        <v>1</v>
      </c>
      <c r="S458" t="s">
        <v>1287</v>
      </c>
      <c r="T458" t="s">
        <v>1288</v>
      </c>
      <c r="U458" t="s">
        <v>994</v>
      </c>
      <c r="V458" t="s">
        <v>1289</v>
      </c>
      <c r="W458" t="s">
        <v>1290</v>
      </c>
      <c r="X458" t="s">
        <v>1291</v>
      </c>
    </row>
    <row r="459" spans="1:24" x14ac:dyDescent="0.25">
      <c r="A459" t="s">
        <v>42</v>
      </c>
      <c r="B459" t="s">
        <v>2164</v>
      </c>
      <c r="C459" t="s">
        <v>403</v>
      </c>
      <c r="D459" t="s">
        <v>434</v>
      </c>
      <c r="E459" t="s">
        <v>1003</v>
      </c>
      <c r="F459">
        <v>0</v>
      </c>
      <c r="G459" t="s">
        <v>982</v>
      </c>
      <c r="H459" t="s">
        <v>992</v>
      </c>
      <c r="I459" t="s">
        <v>992</v>
      </c>
      <c r="J459" t="s">
        <v>2057</v>
      </c>
      <c r="K459" t="s">
        <v>992</v>
      </c>
      <c r="L459" t="s">
        <v>992</v>
      </c>
      <c r="M459" t="s">
        <v>992</v>
      </c>
      <c r="N459" t="s">
        <v>992</v>
      </c>
      <c r="O459" t="s">
        <v>992</v>
      </c>
      <c r="P459" t="s">
        <v>992</v>
      </c>
      <c r="Q459" t="b">
        <v>0</v>
      </c>
      <c r="R459" t="b">
        <v>1</v>
      </c>
      <c r="S459" t="s">
        <v>1287</v>
      </c>
      <c r="T459" t="s">
        <v>1288</v>
      </c>
      <c r="U459" t="s">
        <v>994</v>
      </c>
      <c r="V459" t="s">
        <v>1289</v>
      </c>
      <c r="W459" t="s">
        <v>1290</v>
      </c>
      <c r="X459" t="s">
        <v>1291</v>
      </c>
    </row>
    <row r="460" spans="1:24" x14ac:dyDescent="0.25">
      <c r="A460" t="s">
        <v>42</v>
      </c>
      <c r="B460" t="s">
        <v>2165</v>
      </c>
      <c r="C460" t="s">
        <v>403</v>
      </c>
      <c r="D460" t="s">
        <v>434</v>
      </c>
      <c r="E460" t="s">
        <v>1005</v>
      </c>
      <c r="F460">
        <v>0</v>
      </c>
      <c r="G460" t="s">
        <v>982</v>
      </c>
      <c r="H460" t="s">
        <v>992</v>
      </c>
      <c r="I460" t="s">
        <v>992</v>
      </c>
      <c r="J460" t="s">
        <v>2057</v>
      </c>
      <c r="K460" t="s">
        <v>992</v>
      </c>
      <c r="L460" t="s">
        <v>992</v>
      </c>
      <c r="M460" t="s">
        <v>992</v>
      </c>
      <c r="N460" t="s">
        <v>992</v>
      </c>
      <c r="O460" t="s">
        <v>992</v>
      </c>
      <c r="P460" t="s">
        <v>992</v>
      </c>
      <c r="Q460" t="b">
        <v>0</v>
      </c>
      <c r="R460" t="b">
        <v>1</v>
      </c>
      <c r="S460" t="s">
        <v>1287</v>
      </c>
      <c r="T460" t="s">
        <v>1288</v>
      </c>
      <c r="U460" t="s">
        <v>994</v>
      </c>
      <c r="V460" t="s">
        <v>1289</v>
      </c>
      <c r="W460" t="s">
        <v>1290</v>
      </c>
      <c r="X460" t="s">
        <v>1291</v>
      </c>
    </row>
    <row r="461" spans="1:24" x14ac:dyDescent="0.25">
      <c r="A461" t="s">
        <v>42</v>
      </c>
      <c r="B461" t="s">
        <v>2166</v>
      </c>
      <c r="C461" t="s">
        <v>403</v>
      </c>
      <c r="D461" t="s">
        <v>434</v>
      </c>
      <c r="E461" t="s">
        <v>1007</v>
      </c>
      <c r="F461">
        <v>0</v>
      </c>
      <c r="G461" t="s">
        <v>982</v>
      </c>
      <c r="H461" t="s">
        <v>992</v>
      </c>
      <c r="I461" t="s">
        <v>992</v>
      </c>
      <c r="J461" t="s">
        <v>2057</v>
      </c>
      <c r="K461" t="s">
        <v>992</v>
      </c>
      <c r="L461" t="s">
        <v>992</v>
      </c>
      <c r="M461" t="s">
        <v>992</v>
      </c>
      <c r="N461" t="s">
        <v>992</v>
      </c>
      <c r="O461" t="s">
        <v>992</v>
      </c>
      <c r="P461" t="s">
        <v>992</v>
      </c>
      <c r="Q461" t="b">
        <v>0</v>
      </c>
      <c r="R461" t="b">
        <v>1</v>
      </c>
      <c r="S461" t="s">
        <v>1287</v>
      </c>
      <c r="T461" t="s">
        <v>1288</v>
      </c>
      <c r="U461" t="s">
        <v>994</v>
      </c>
      <c r="V461" t="s">
        <v>1289</v>
      </c>
      <c r="W461" t="s">
        <v>1290</v>
      </c>
      <c r="X461" t="s">
        <v>1291</v>
      </c>
    </row>
    <row r="462" spans="1:24" x14ac:dyDescent="0.25">
      <c r="A462" t="s">
        <v>42</v>
      </c>
      <c r="B462" t="s">
        <v>2167</v>
      </c>
      <c r="C462" t="s">
        <v>403</v>
      </c>
      <c r="D462" t="s">
        <v>434</v>
      </c>
      <c r="E462" t="s">
        <v>1009</v>
      </c>
      <c r="F462">
        <v>0</v>
      </c>
      <c r="G462" t="s">
        <v>982</v>
      </c>
      <c r="H462" t="s">
        <v>992</v>
      </c>
      <c r="I462" t="s">
        <v>992</v>
      </c>
      <c r="J462" t="s">
        <v>2057</v>
      </c>
      <c r="K462" t="s">
        <v>992</v>
      </c>
      <c r="L462" t="s">
        <v>992</v>
      </c>
      <c r="M462" t="s">
        <v>992</v>
      </c>
      <c r="N462" t="s">
        <v>992</v>
      </c>
      <c r="O462" t="s">
        <v>992</v>
      </c>
      <c r="P462" t="s">
        <v>992</v>
      </c>
      <c r="Q462" t="b">
        <v>0</v>
      </c>
      <c r="R462" t="b">
        <v>1</v>
      </c>
      <c r="S462" t="s">
        <v>1287</v>
      </c>
      <c r="T462" t="s">
        <v>1288</v>
      </c>
      <c r="U462" t="s">
        <v>994</v>
      </c>
      <c r="V462" t="s">
        <v>1289</v>
      </c>
      <c r="W462" t="s">
        <v>1290</v>
      </c>
      <c r="X462" t="s">
        <v>1291</v>
      </c>
    </row>
    <row r="463" spans="1:24" x14ac:dyDescent="0.25">
      <c r="A463" t="s">
        <v>42</v>
      </c>
      <c r="B463" t="s">
        <v>2168</v>
      </c>
      <c r="C463" t="s">
        <v>403</v>
      </c>
      <c r="D463" t="s">
        <v>434</v>
      </c>
      <c r="E463" t="s">
        <v>1011</v>
      </c>
      <c r="F463">
        <v>0</v>
      </c>
      <c r="G463" t="s">
        <v>982</v>
      </c>
      <c r="H463" t="s">
        <v>992</v>
      </c>
      <c r="I463" t="s">
        <v>992</v>
      </c>
      <c r="J463" t="s">
        <v>2057</v>
      </c>
      <c r="K463" t="s">
        <v>992</v>
      </c>
      <c r="L463" t="s">
        <v>992</v>
      </c>
      <c r="M463" t="s">
        <v>992</v>
      </c>
      <c r="N463" t="s">
        <v>992</v>
      </c>
      <c r="O463" t="s">
        <v>992</v>
      </c>
      <c r="P463" t="s">
        <v>992</v>
      </c>
      <c r="Q463" t="b">
        <v>0</v>
      </c>
      <c r="R463" t="b">
        <v>1</v>
      </c>
      <c r="S463" t="s">
        <v>1287</v>
      </c>
      <c r="T463" t="s">
        <v>1288</v>
      </c>
      <c r="U463" t="s">
        <v>994</v>
      </c>
      <c r="V463" t="s">
        <v>1289</v>
      </c>
      <c r="W463" t="s">
        <v>1290</v>
      </c>
      <c r="X463" t="s">
        <v>1291</v>
      </c>
    </row>
    <row r="464" spans="1:24" x14ac:dyDescent="0.25">
      <c r="A464" t="s">
        <v>42</v>
      </c>
      <c r="B464" t="s">
        <v>2169</v>
      </c>
      <c r="C464" t="s">
        <v>403</v>
      </c>
      <c r="D464" t="s">
        <v>434</v>
      </c>
      <c r="E464" t="s">
        <v>1013</v>
      </c>
      <c r="F464">
        <v>0</v>
      </c>
      <c r="G464" t="s">
        <v>982</v>
      </c>
      <c r="H464" t="s">
        <v>992</v>
      </c>
      <c r="I464" t="s">
        <v>992</v>
      </c>
      <c r="J464" t="s">
        <v>2057</v>
      </c>
      <c r="K464" t="s">
        <v>992</v>
      </c>
      <c r="L464" t="s">
        <v>992</v>
      </c>
      <c r="M464" t="s">
        <v>992</v>
      </c>
      <c r="N464" t="s">
        <v>992</v>
      </c>
      <c r="O464" t="s">
        <v>992</v>
      </c>
      <c r="P464" t="s">
        <v>992</v>
      </c>
      <c r="Q464" t="b">
        <v>0</v>
      </c>
      <c r="R464" t="b">
        <v>1</v>
      </c>
      <c r="S464" t="s">
        <v>1287</v>
      </c>
      <c r="T464" t="s">
        <v>1288</v>
      </c>
      <c r="U464" t="s">
        <v>994</v>
      </c>
      <c r="V464" t="s">
        <v>1289</v>
      </c>
      <c r="W464" t="s">
        <v>1290</v>
      </c>
      <c r="X464" t="s">
        <v>1291</v>
      </c>
    </row>
    <row r="465" spans="1:24" x14ac:dyDescent="0.25">
      <c r="A465" t="s">
        <v>42</v>
      </c>
      <c r="B465" t="s">
        <v>2170</v>
      </c>
      <c r="C465" t="s">
        <v>403</v>
      </c>
      <c r="D465" t="s">
        <v>434</v>
      </c>
      <c r="E465" t="s">
        <v>1015</v>
      </c>
      <c r="F465">
        <v>0</v>
      </c>
      <c r="G465" t="s">
        <v>982</v>
      </c>
      <c r="H465" t="s">
        <v>992</v>
      </c>
      <c r="I465" t="s">
        <v>992</v>
      </c>
      <c r="J465" t="s">
        <v>2057</v>
      </c>
      <c r="K465" t="s">
        <v>992</v>
      </c>
      <c r="L465" t="s">
        <v>992</v>
      </c>
      <c r="M465" t="s">
        <v>992</v>
      </c>
      <c r="N465" t="s">
        <v>992</v>
      </c>
      <c r="O465" t="s">
        <v>992</v>
      </c>
      <c r="P465" t="s">
        <v>992</v>
      </c>
      <c r="Q465" t="b">
        <v>0</v>
      </c>
      <c r="R465" t="b">
        <v>1</v>
      </c>
      <c r="S465" t="s">
        <v>1287</v>
      </c>
      <c r="T465" t="s">
        <v>1288</v>
      </c>
      <c r="U465" t="s">
        <v>994</v>
      </c>
      <c r="V465" t="s">
        <v>1289</v>
      </c>
      <c r="W465" t="s">
        <v>1290</v>
      </c>
      <c r="X465" t="s">
        <v>1291</v>
      </c>
    </row>
    <row r="466" spans="1:24" x14ac:dyDescent="0.25">
      <c r="A466" t="s">
        <v>42</v>
      </c>
      <c r="B466" t="s">
        <v>2171</v>
      </c>
      <c r="C466" t="s">
        <v>403</v>
      </c>
      <c r="D466" t="s">
        <v>434</v>
      </c>
      <c r="E466" t="s">
        <v>1017</v>
      </c>
      <c r="F466">
        <v>0</v>
      </c>
      <c r="G466" t="s">
        <v>982</v>
      </c>
      <c r="H466" t="s">
        <v>992</v>
      </c>
      <c r="I466" t="s">
        <v>992</v>
      </c>
      <c r="J466" t="s">
        <v>2057</v>
      </c>
      <c r="K466" t="s">
        <v>992</v>
      </c>
      <c r="L466" t="s">
        <v>992</v>
      </c>
      <c r="M466" t="s">
        <v>992</v>
      </c>
      <c r="N466" t="s">
        <v>992</v>
      </c>
      <c r="O466" t="s">
        <v>992</v>
      </c>
      <c r="P466" t="s">
        <v>992</v>
      </c>
      <c r="Q466" t="b">
        <v>0</v>
      </c>
      <c r="R466" t="b">
        <v>1</v>
      </c>
      <c r="S466" t="s">
        <v>1287</v>
      </c>
      <c r="T466" t="s">
        <v>1288</v>
      </c>
      <c r="U466" t="s">
        <v>994</v>
      </c>
      <c r="V466" t="s">
        <v>1289</v>
      </c>
      <c r="W466" t="s">
        <v>1290</v>
      </c>
      <c r="X466" t="s">
        <v>1291</v>
      </c>
    </row>
    <row r="467" spans="1:24" x14ac:dyDescent="0.25">
      <c r="A467" t="s">
        <v>42</v>
      </c>
      <c r="B467" t="s">
        <v>2172</v>
      </c>
      <c r="C467" t="s">
        <v>403</v>
      </c>
      <c r="D467" t="s">
        <v>434</v>
      </c>
      <c r="E467" t="s">
        <v>1019</v>
      </c>
      <c r="F467">
        <v>0</v>
      </c>
      <c r="G467" t="s">
        <v>982</v>
      </c>
      <c r="H467" t="s">
        <v>992</v>
      </c>
      <c r="I467" t="s">
        <v>992</v>
      </c>
      <c r="J467" t="s">
        <v>2057</v>
      </c>
      <c r="K467" t="s">
        <v>992</v>
      </c>
      <c r="L467" t="s">
        <v>992</v>
      </c>
      <c r="M467" t="s">
        <v>992</v>
      </c>
      <c r="N467" t="s">
        <v>992</v>
      </c>
      <c r="O467" t="s">
        <v>992</v>
      </c>
      <c r="P467" t="s">
        <v>992</v>
      </c>
      <c r="Q467" t="b">
        <v>0</v>
      </c>
      <c r="R467" t="b">
        <v>1</v>
      </c>
      <c r="S467" t="s">
        <v>1287</v>
      </c>
      <c r="T467" t="s">
        <v>1288</v>
      </c>
      <c r="U467" t="s">
        <v>994</v>
      </c>
      <c r="V467" t="s">
        <v>1289</v>
      </c>
      <c r="W467" t="s">
        <v>1290</v>
      </c>
      <c r="X467" t="s">
        <v>1291</v>
      </c>
    </row>
    <row r="468" spans="1:24" x14ac:dyDescent="0.25">
      <c r="A468" t="s">
        <v>42</v>
      </c>
      <c r="B468" t="s">
        <v>2173</v>
      </c>
      <c r="C468" t="s">
        <v>403</v>
      </c>
      <c r="D468" t="s">
        <v>434</v>
      </c>
      <c r="E468" t="s">
        <v>1021</v>
      </c>
      <c r="F468">
        <v>0</v>
      </c>
      <c r="G468" t="s">
        <v>982</v>
      </c>
      <c r="H468" t="s">
        <v>992</v>
      </c>
      <c r="I468" t="s">
        <v>992</v>
      </c>
      <c r="J468" t="s">
        <v>2057</v>
      </c>
      <c r="K468" t="s">
        <v>992</v>
      </c>
      <c r="L468" t="s">
        <v>992</v>
      </c>
      <c r="M468" t="s">
        <v>992</v>
      </c>
      <c r="N468" t="s">
        <v>992</v>
      </c>
      <c r="O468" t="s">
        <v>992</v>
      </c>
      <c r="P468" t="s">
        <v>992</v>
      </c>
      <c r="Q468" t="b">
        <v>0</v>
      </c>
      <c r="R468" t="b">
        <v>1</v>
      </c>
      <c r="S468" t="s">
        <v>1287</v>
      </c>
      <c r="T468" t="s">
        <v>1288</v>
      </c>
      <c r="U468" t="s">
        <v>994</v>
      </c>
      <c r="V468" t="s">
        <v>1289</v>
      </c>
      <c r="W468" t="s">
        <v>1290</v>
      </c>
      <c r="X468" t="s">
        <v>1291</v>
      </c>
    </row>
    <row r="469" spans="1:24" x14ac:dyDescent="0.25">
      <c r="A469" t="s">
        <v>42</v>
      </c>
      <c r="B469" t="s">
        <v>2174</v>
      </c>
      <c r="C469" t="s">
        <v>403</v>
      </c>
      <c r="D469" t="s">
        <v>434</v>
      </c>
      <c r="E469" t="s">
        <v>1130</v>
      </c>
      <c r="F469">
        <v>0</v>
      </c>
      <c r="G469" t="s">
        <v>982</v>
      </c>
      <c r="H469" t="s">
        <v>992</v>
      </c>
      <c r="I469" t="s">
        <v>992</v>
      </c>
      <c r="J469" t="s">
        <v>2057</v>
      </c>
      <c r="K469" t="s">
        <v>992</v>
      </c>
      <c r="L469" t="s">
        <v>992</v>
      </c>
      <c r="M469" t="s">
        <v>992</v>
      </c>
      <c r="N469" t="s">
        <v>992</v>
      </c>
      <c r="O469" t="s">
        <v>992</v>
      </c>
      <c r="P469" t="s">
        <v>992</v>
      </c>
      <c r="Q469" t="b">
        <v>0</v>
      </c>
      <c r="R469" t="b">
        <v>1</v>
      </c>
      <c r="S469" t="s">
        <v>1287</v>
      </c>
      <c r="T469" t="s">
        <v>1288</v>
      </c>
      <c r="U469" t="s">
        <v>994</v>
      </c>
      <c r="V469" t="s">
        <v>1289</v>
      </c>
      <c r="W469" t="s">
        <v>1290</v>
      </c>
      <c r="X469" t="s">
        <v>1291</v>
      </c>
    </row>
    <row r="470" spans="1:24" x14ac:dyDescent="0.25">
      <c r="A470" t="s">
        <v>42</v>
      </c>
      <c r="B470" t="s">
        <v>2175</v>
      </c>
      <c r="C470" t="s">
        <v>403</v>
      </c>
      <c r="D470" t="s">
        <v>436</v>
      </c>
      <c r="E470" t="s">
        <v>990</v>
      </c>
      <c r="F470">
        <v>0</v>
      </c>
      <c r="G470" t="s">
        <v>982</v>
      </c>
      <c r="H470" t="s">
        <v>992</v>
      </c>
      <c r="I470" t="s">
        <v>992</v>
      </c>
      <c r="J470" t="s">
        <v>2057</v>
      </c>
      <c r="K470" t="s">
        <v>992</v>
      </c>
      <c r="L470" t="s">
        <v>992</v>
      </c>
      <c r="M470" t="s">
        <v>992</v>
      </c>
      <c r="N470" t="s">
        <v>992</v>
      </c>
      <c r="O470" t="s">
        <v>992</v>
      </c>
      <c r="P470" t="s">
        <v>992</v>
      </c>
      <c r="Q470" t="b">
        <v>0</v>
      </c>
      <c r="R470" t="b">
        <v>1</v>
      </c>
      <c r="S470" t="s">
        <v>1287</v>
      </c>
      <c r="T470" t="s">
        <v>1288</v>
      </c>
      <c r="U470" t="s">
        <v>994</v>
      </c>
      <c r="V470" t="s">
        <v>1289</v>
      </c>
      <c r="W470" t="s">
        <v>1290</v>
      </c>
      <c r="X470" t="s">
        <v>1291</v>
      </c>
    </row>
    <row r="471" spans="1:24" x14ac:dyDescent="0.25">
      <c r="A471" t="s">
        <v>42</v>
      </c>
      <c r="B471" t="s">
        <v>2176</v>
      </c>
      <c r="C471" t="s">
        <v>403</v>
      </c>
      <c r="D471" t="s">
        <v>436</v>
      </c>
      <c r="E471" t="s">
        <v>999</v>
      </c>
      <c r="F471">
        <v>15844</v>
      </c>
      <c r="G471" t="s">
        <v>982</v>
      </c>
      <c r="H471" t="s">
        <v>992</v>
      </c>
      <c r="I471" t="s">
        <v>992</v>
      </c>
      <c r="J471" t="s">
        <v>2057</v>
      </c>
      <c r="K471" t="s">
        <v>992</v>
      </c>
      <c r="L471" t="s">
        <v>992</v>
      </c>
      <c r="M471" t="s">
        <v>992</v>
      </c>
      <c r="N471" t="s">
        <v>992</v>
      </c>
      <c r="O471" t="s">
        <v>992</v>
      </c>
      <c r="P471" t="s">
        <v>992</v>
      </c>
      <c r="Q471" t="b">
        <v>0</v>
      </c>
      <c r="R471" t="b">
        <v>1</v>
      </c>
      <c r="S471" t="s">
        <v>1287</v>
      </c>
      <c r="T471" t="s">
        <v>1288</v>
      </c>
      <c r="U471" t="s">
        <v>994</v>
      </c>
      <c r="V471" t="s">
        <v>1289</v>
      </c>
      <c r="W471" t="s">
        <v>1290</v>
      </c>
      <c r="X471" t="s">
        <v>1291</v>
      </c>
    </row>
    <row r="472" spans="1:24" x14ac:dyDescent="0.25">
      <c r="A472" t="s">
        <v>42</v>
      </c>
      <c r="B472" t="s">
        <v>2177</v>
      </c>
      <c r="C472" t="s">
        <v>403</v>
      </c>
      <c r="D472" t="s">
        <v>436</v>
      </c>
      <c r="E472" t="s">
        <v>1001</v>
      </c>
      <c r="F472">
        <v>15831</v>
      </c>
      <c r="G472" t="s">
        <v>982</v>
      </c>
      <c r="H472" t="s">
        <v>992</v>
      </c>
      <c r="I472" t="s">
        <v>992</v>
      </c>
      <c r="J472" t="s">
        <v>2057</v>
      </c>
      <c r="K472" t="s">
        <v>992</v>
      </c>
      <c r="L472" t="s">
        <v>992</v>
      </c>
      <c r="M472" t="s">
        <v>992</v>
      </c>
      <c r="N472" t="s">
        <v>992</v>
      </c>
      <c r="O472" t="s">
        <v>992</v>
      </c>
      <c r="P472" t="s">
        <v>992</v>
      </c>
      <c r="Q472" t="b">
        <v>0</v>
      </c>
      <c r="R472" t="b">
        <v>1</v>
      </c>
      <c r="S472" t="s">
        <v>1287</v>
      </c>
      <c r="T472" t="s">
        <v>1288</v>
      </c>
      <c r="U472" t="s">
        <v>994</v>
      </c>
      <c r="V472" t="s">
        <v>1289</v>
      </c>
      <c r="W472" t="s">
        <v>1290</v>
      </c>
      <c r="X472" t="s">
        <v>1291</v>
      </c>
    </row>
    <row r="473" spans="1:24" x14ac:dyDescent="0.25">
      <c r="A473" t="s">
        <v>42</v>
      </c>
      <c r="B473" t="s">
        <v>2178</v>
      </c>
      <c r="C473" t="s">
        <v>403</v>
      </c>
      <c r="D473" t="s">
        <v>436</v>
      </c>
      <c r="E473" t="s">
        <v>1003</v>
      </c>
      <c r="F473">
        <v>15577</v>
      </c>
      <c r="G473" t="s">
        <v>982</v>
      </c>
      <c r="H473" t="s">
        <v>992</v>
      </c>
      <c r="I473" t="s">
        <v>992</v>
      </c>
      <c r="J473" t="s">
        <v>2057</v>
      </c>
      <c r="K473" t="s">
        <v>992</v>
      </c>
      <c r="L473" t="s">
        <v>992</v>
      </c>
      <c r="M473" t="s">
        <v>992</v>
      </c>
      <c r="N473" t="s">
        <v>992</v>
      </c>
      <c r="O473" t="s">
        <v>992</v>
      </c>
      <c r="P473" t="s">
        <v>992</v>
      </c>
      <c r="Q473" t="b">
        <v>0</v>
      </c>
      <c r="R473" t="b">
        <v>1</v>
      </c>
      <c r="S473" t="s">
        <v>1287</v>
      </c>
      <c r="T473" t="s">
        <v>1288</v>
      </c>
      <c r="U473" t="s">
        <v>994</v>
      </c>
      <c r="V473" t="s">
        <v>1289</v>
      </c>
      <c r="W473" t="s">
        <v>1290</v>
      </c>
      <c r="X473" t="s">
        <v>1291</v>
      </c>
    </row>
    <row r="474" spans="1:24" x14ac:dyDescent="0.25">
      <c r="A474" t="s">
        <v>42</v>
      </c>
      <c r="B474" t="s">
        <v>2179</v>
      </c>
      <c r="C474" t="s">
        <v>403</v>
      </c>
      <c r="D474" t="s">
        <v>436</v>
      </c>
      <c r="E474" t="s">
        <v>1005</v>
      </c>
      <c r="F474">
        <v>15501</v>
      </c>
      <c r="G474" t="s">
        <v>982</v>
      </c>
      <c r="H474" t="s">
        <v>992</v>
      </c>
      <c r="I474" t="s">
        <v>992</v>
      </c>
      <c r="J474" t="s">
        <v>2057</v>
      </c>
      <c r="K474" t="s">
        <v>992</v>
      </c>
      <c r="L474" t="s">
        <v>992</v>
      </c>
      <c r="M474" t="s">
        <v>992</v>
      </c>
      <c r="N474" t="s">
        <v>992</v>
      </c>
      <c r="O474" t="s">
        <v>992</v>
      </c>
      <c r="P474" t="s">
        <v>992</v>
      </c>
      <c r="Q474" t="b">
        <v>0</v>
      </c>
      <c r="R474" t="b">
        <v>1</v>
      </c>
      <c r="S474" t="s">
        <v>1287</v>
      </c>
      <c r="T474" t="s">
        <v>1288</v>
      </c>
      <c r="U474" t="s">
        <v>994</v>
      </c>
      <c r="V474" t="s">
        <v>1289</v>
      </c>
      <c r="W474" t="s">
        <v>1290</v>
      </c>
      <c r="X474" t="s">
        <v>1291</v>
      </c>
    </row>
    <row r="475" spans="1:24" x14ac:dyDescent="0.25">
      <c r="A475" t="s">
        <v>42</v>
      </c>
      <c r="B475" t="s">
        <v>2180</v>
      </c>
      <c r="C475" t="s">
        <v>403</v>
      </c>
      <c r="D475" t="s">
        <v>436</v>
      </c>
      <c r="E475" t="s">
        <v>1007</v>
      </c>
      <c r="F475">
        <v>17550</v>
      </c>
      <c r="G475" t="s">
        <v>982</v>
      </c>
      <c r="H475" t="s">
        <v>992</v>
      </c>
      <c r="I475" t="s">
        <v>992</v>
      </c>
      <c r="J475" t="s">
        <v>2057</v>
      </c>
      <c r="K475" t="s">
        <v>992</v>
      </c>
      <c r="L475" t="s">
        <v>992</v>
      </c>
      <c r="M475" t="s">
        <v>992</v>
      </c>
      <c r="N475" t="s">
        <v>992</v>
      </c>
      <c r="O475" t="s">
        <v>992</v>
      </c>
      <c r="P475" t="s">
        <v>992</v>
      </c>
      <c r="Q475" t="b">
        <v>0</v>
      </c>
      <c r="R475" t="b">
        <v>1</v>
      </c>
      <c r="S475" t="s">
        <v>1287</v>
      </c>
      <c r="T475" t="s">
        <v>1288</v>
      </c>
      <c r="U475" t="s">
        <v>994</v>
      </c>
      <c r="V475" t="s">
        <v>1289</v>
      </c>
      <c r="W475" t="s">
        <v>1290</v>
      </c>
      <c r="X475" t="s">
        <v>1291</v>
      </c>
    </row>
    <row r="476" spans="1:24" x14ac:dyDescent="0.25">
      <c r="A476" t="s">
        <v>42</v>
      </c>
      <c r="B476" t="s">
        <v>2181</v>
      </c>
      <c r="C476" t="s">
        <v>403</v>
      </c>
      <c r="D476" t="s">
        <v>436</v>
      </c>
      <c r="E476" t="s">
        <v>1009</v>
      </c>
      <c r="F476">
        <v>17547</v>
      </c>
      <c r="G476" t="s">
        <v>982</v>
      </c>
      <c r="H476" t="s">
        <v>992</v>
      </c>
      <c r="I476" t="s">
        <v>992</v>
      </c>
      <c r="J476" t="s">
        <v>2057</v>
      </c>
      <c r="K476" t="s">
        <v>992</v>
      </c>
      <c r="L476" t="s">
        <v>992</v>
      </c>
      <c r="M476" t="s">
        <v>992</v>
      </c>
      <c r="N476" t="s">
        <v>992</v>
      </c>
      <c r="O476" t="s">
        <v>992</v>
      </c>
      <c r="P476" t="s">
        <v>992</v>
      </c>
      <c r="Q476" t="b">
        <v>0</v>
      </c>
      <c r="R476" t="b">
        <v>1</v>
      </c>
      <c r="S476" t="s">
        <v>1287</v>
      </c>
      <c r="T476" t="s">
        <v>1288</v>
      </c>
      <c r="U476" t="s">
        <v>994</v>
      </c>
      <c r="V476" t="s">
        <v>1289</v>
      </c>
      <c r="W476" t="s">
        <v>1290</v>
      </c>
      <c r="X476" t="s">
        <v>1291</v>
      </c>
    </row>
    <row r="477" spans="1:24" x14ac:dyDescent="0.25">
      <c r="A477" t="s">
        <v>42</v>
      </c>
      <c r="B477" t="s">
        <v>2182</v>
      </c>
      <c r="C477" t="s">
        <v>403</v>
      </c>
      <c r="D477" t="s">
        <v>436</v>
      </c>
      <c r="E477" t="s">
        <v>1011</v>
      </c>
      <c r="F477">
        <v>17209</v>
      </c>
      <c r="G477" t="s">
        <v>982</v>
      </c>
      <c r="H477" t="s">
        <v>992</v>
      </c>
      <c r="I477" t="s">
        <v>992</v>
      </c>
      <c r="J477" t="s">
        <v>2057</v>
      </c>
      <c r="K477" t="s">
        <v>992</v>
      </c>
      <c r="L477" t="s">
        <v>992</v>
      </c>
      <c r="M477" t="s">
        <v>992</v>
      </c>
      <c r="N477" t="s">
        <v>992</v>
      </c>
      <c r="O477" t="s">
        <v>992</v>
      </c>
      <c r="P477" t="s">
        <v>992</v>
      </c>
      <c r="Q477" t="b">
        <v>0</v>
      </c>
      <c r="R477" t="b">
        <v>1</v>
      </c>
      <c r="S477" t="s">
        <v>1287</v>
      </c>
      <c r="T477" t="s">
        <v>1288</v>
      </c>
      <c r="U477" t="s">
        <v>994</v>
      </c>
      <c r="V477" t="s">
        <v>1289</v>
      </c>
      <c r="W477" t="s">
        <v>1290</v>
      </c>
      <c r="X477" t="s">
        <v>1291</v>
      </c>
    </row>
    <row r="478" spans="1:24" x14ac:dyDescent="0.25">
      <c r="A478" t="s">
        <v>42</v>
      </c>
      <c r="B478" t="s">
        <v>2183</v>
      </c>
      <c r="C478" t="s">
        <v>403</v>
      </c>
      <c r="D478" t="s">
        <v>436</v>
      </c>
      <c r="E478" t="s">
        <v>1013</v>
      </c>
      <c r="F478">
        <v>17365</v>
      </c>
      <c r="G478" t="s">
        <v>982</v>
      </c>
      <c r="H478" t="s">
        <v>992</v>
      </c>
      <c r="I478" t="s">
        <v>992</v>
      </c>
      <c r="J478" t="s">
        <v>2057</v>
      </c>
      <c r="K478" t="s">
        <v>992</v>
      </c>
      <c r="L478" t="s">
        <v>992</v>
      </c>
      <c r="M478" t="s">
        <v>992</v>
      </c>
      <c r="N478" t="s">
        <v>992</v>
      </c>
      <c r="O478" t="s">
        <v>992</v>
      </c>
      <c r="P478" t="s">
        <v>992</v>
      </c>
      <c r="Q478" t="b">
        <v>0</v>
      </c>
      <c r="R478" t="b">
        <v>1</v>
      </c>
      <c r="S478" t="s">
        <v>1287</v>
      </c>
      <c r="T478" t="s">
        <v>1288</v>
      </c>
      <c r="U478" t="s">
        <v>994</v>
      </c>
      <c r="V478" t="s">
        <v>1289</v>
      </c>
      <c r="W478" t="s">
        <v>1290</v>
      </c>
      <c r="X478" t="s">
        <v>1291</v>
      </c>
    </row>
    <row r="479" spans="1:24" x14ac:dyDescent="0.25">
      <c r="A479" t="s">
        <v>42</v>
      </c>
      <c r="B479" t="s">
        <v>2184</v>
      </c>
      <c r="C479" t="s">
        <v>403</v>
      </c>
      <c r="D479" t="s">
        <v>436</v>
      </c>
      <c r="E479" t="s">
        <v>1015</v>
      </c>
      <c r="F479">
        <v>20804</v>
      </c>
      <c r="G479" t="s">
        <v>982</v>
      </c>
      <c r="H479" t="s">
        <v>992</v>
      </c>
      <c r="I479" t="s">
        <v>992</v>
      </c>
      <c r="J479" t="s">
        <v>2057</v>
      </c>
      <c r="K479" t="s">
        <v>992</v>
      </c>
      <c r="L479" t="s">
        <v>992</v>
      </c>
      <c r="M479" t="s">
        <v>992</v>
      </c>
      <c r="N479" t="s">
        <v>992</v>
      </c>
      <c r="O479" t="s">
        <v>992</v>
      </c>
      <c r="P479" t="s">
        <v>992</v>
      </c>
      <c r="Q479" t="b">
        <v>0</v>
      </c>
      <c r="R479" t="b">
        <v>1</v>
      </c>
      <c r="S479" t="s">
        <v>1287</v>
      </c>
      <c r="T479" t="s">
        <v>1288</v>
      </c>
      <c r="U479" t="s">
        <v>994</v>
      </c>
      <c r="V479" t="s">
        <v>1289</v>
      </c>
      <c r="W479" t="s">
        <v>1290</v>
      </c>
      <c r="X479" t="s">
        <v>1291</v>
      </c>
    </row>
    <row r="480" spans="1:24" x14ac:dyDescent="0.25">
      <c r="A480" t="s">
        <v>42</v>
      </c>
      <c r="B480" t="s">
        <v>2185</v>
      </c>
      <c r="C480" t="s">
        <v>403</v>
      </c>
      <c r="D480" t="s">
        <v>436</v>
      </c>
      <c r="E480" t="s">
        <v>1017</v>
      </c>
      <c r="F480">
        <v>20806</v>
      </c>
      <c r="G480" t="s">
        <v>982</v>
      </c>
      <c r="H480" t="s">
        <v>992</v>
      </c>
      <c r="I480" t="s">
        <v>992</v>
      </c>
      <c r="J480" t="s">
        <v>2057</v>
      </c>
      <c r="K480" t="s">
        <v>992</v>
      </c>
      <c r="L480" t="s">
        <v>992</v>
      </c>
      <c r="M480" t="s">
        <v>992</v>
      </c>
      <c r="N480" t="s">
        <v>992</v>
      </c>
      <c r="O480" t="s">
        <v>992</v>
      </c>
      <c r="P480" t="s">
        <v>992</v>
      </c>
      <c r="Q480" t="b">
        <v>0</v>
      </c>
      <c r="R480" t="b">
        <v>1</v>
      </c>
      <c r="S480" t="s">
        <v>1287</v>
      </c>
      <c r="T480" t="s">
        <v>1288</v>
      </c>
      <c r="U480" t="s">
        <v>994</v>
      </c>
      <c r="V480" t="s">
        <v>1289</v>
      </c>
      <c r="W480" t="s">
        <v>1290</v>
      </c>
      <c r="X480" t="s">
        <v>1291</v>
      </c>
    </row>
    <row r="481" spans="1:24" x14ac:dyDescent="0.25">
      <c r="A481" t="s">
        <v>42</v>
      </c>
      <c r="B481" t="s">
        <v>2186</v>
      </c>
      <c r="C481" t="s">
        <v>403</v>
      </c>
      <c r="D481" t="s">
        <v>436</v>
      </c>
      <c r="E481" t="s">
        <v>1019</v>
      </c>
      <c r="F481">
        <v>21794</v>
      </c>
      <c r="G481" t="s">
        <v>982</v>
      </c>
      <c r="H481" t="s">
        <v>992</v>
      </c>
      <c r="I481" t="s">
        <v>992</v>
      </c>
      <c r="J481" t="s">
        <v>2057</v>
      </c>
      <c r="K481" t="s">
        <v>992</v>
      </c>
      <c r="L481" t="s">
        <v>992</v>
      </c>
      <c r="M481" t="s">
        <v>992</v>
      </c>
      <c r="N481" t="s">
        <v>992</v>
      </c>
      <c r="O481" t="s">
        <v>992</v>
      </c>
      <c r="P481" t="s">
        <v>992</v>
      </c>
      <c r="Q481" t="b">
        <v>0</v>
      </c>
      <c r="R481" t="b">
        <v>1</v>
      </c>
      <c r="S481" t="s">
        <v>1287</v>
      </c>
      <c r="T481" t="s">
        <v>1288</v>
      </c>
      <c r="U481" t="s">
        <v>994</v>
      </c>
      <c r="V481" t="s">
        <v>1289</v>
      </c>
      <c r="W481" t="s">
        <v>1290</v>
      </c>
      <c r="X481" t="s">
        <v>1291</v>
      </c>
    </row>
    <row r="482" spans="1:24" x14ac:dyDescent="0.25">
      <c r="A482" t="s">
        <v>42</v>
      </c>
      <c r="B482" t="s">
        <v>2187</v>
      </c>
      <c r="C482" t="s">
        <v>403</v>
      </c>
      <c r="D482" t="s">
        <v>436</v>
      </c>
      <c r="E482" t="s">
        <v>1021</v>
      </c>
      <c r="F482">
        <v>26211</v>
      </c>
      <c r="G482" t="s">
        <v>982</v>
      </c>
      <c r="H482" t="s">
        <v>992</v>
      </c>
      <c r="I482" t="s">
        <v>992</v>
      </c>
      <c r="J482" t="s">
        <v>2057</v>
      </c>
      <c r="K482" t="s">
        <v>992</v>
      </c>
      <c r="L482" t="s">
        <v>992</v>
      </c>
      <c r="M482" t="s">
        <v>992</v>
      </c>
      <c r="N482" t="s">
        <v>992</v>
      </c>
      <c r="O482" t="s">
        <v>992</v>
      </c>
      <c r="P482" t="s">
        <v>992</v>
      </c>
      <c r="Q482" t="b">
        <v>0</v>
      </c>
      <c r="R482" t="b">
        <v>1</v>
      </c>
      <c r="S482" t="s">
        <v>1287</v>
      </c>
      <c r="T482" t="s">
        <v>1288</v>
      </c>
      <c r="U482" t="s">
        <v>994</v>
      </c>
      <c r="V482" t="s">
        <v>1289</v>
      </c>
      <c r="W482" t="s">
        <v>1290</v>
      </c>
      <c r="X482" t="s">
        <v>1291</v>
      </c>
    </row>
    <row r="483" spans="1:24" x14ac:dyDescent="0.25">
      <c r="A483" t="s">
        <v>42</v>
      </c>
      <c r="B483" t="s">
        <v>2188</v>
      </c>
      <c r="C483" t="s">
        <v>403</v>
      </c>
      <c r="D483" t="s">
        <v>436</v>
      </c>
      <c r="E483" t="s">
        <v>1130</v>
      </c>
      <c r="F483">
        <v>23244</v>
      </c>
      <c r="G483" t="s">
        <v>982</v>
      </c>
      <c r="H483" t="s">
        <v>992</v>
      </c>
      <c r="I483" t="s">
        <v>992</v>
      </c>
      <c r="J483" t="s">
        <v>2057</v>
      </c>
      <c r="K483" t="s">
        <v>992</v>
      </c>
      <c r="L483" t="s">
        <v>992</v>
      </c>
      <c r="M483" t="s">
        <v>992</v>
      </c>
      <c r="N483" t="s">
        <v>992</v>
      </c>
      <c r="O483" t="s">
        <v>992</v>
      </c>
      <c r="P483" t="s">
        <v>992</v>
      </c>
      <c r="Q483" t="b">
        <v>0</v>
      </c>
      <c r="R483" t="b">
        <v>1</v>
      </c>
      <c r="S483" t="s">
        <v>1287</v>
      </c>
      <c r="T483" t="s">
        <v>1288</v>
      </c>
      <c r="U483" t="s">
        <v>994</v>
      </c>
      <c r="V483" t="s">
        <v>1289</v>
      </c>
      <c r="W483" t="s">
        <v>1290</v>
      </c>
      <c r="X483" t="s">
        <v>1291</v>
      </c>
    </row>
    <row r="484" spans="1:24" x14ac:dyDescent="0.25">
      <c r="A484" t="s">
        <v>44</v>
      </c>
      <c r="B484" t="s">
        <v>2189</v>
      </c>
      <c r="C484" t="s">
        <v>446</v>
      </c>
      <c r="D484" t="s">
        <v>44</v>
      </c>
      <c r="E484" t="s">
        <v>990</v>
      </c>
      <c r="F484">
        <v>20766</v>
      </c>
      <c r="G484" t="s">
        <v>2190</v>
      </c>
      <c r="H484" t="s">
        <v>2191</v>
      </c>
      <c r="I484" t="s">
        <v>446</v>
      </c>
      <c r="J484" t="s">
        <v>2190</v>
      </c>
      <c r="K484" t="s">
        <v>992</v>
      </c>
      <c r="L484" t="s">
        <v>992</v>
      </c>
      <c r="M484" t="s">
        <v>992</v>
      </c>
      <c r="N484" t="s">
        <v>992</v>
      </c>
      <c r="O484" t="s">
        <v>992</v>
      </c>
      <c r="P484" t="s">
        <v>992</v>
      </c>
      <c r="Q484" t="b">
        <v>1</v>
      </c>
      <c r="R484" t="b">
        <v>0</v>
      </c>
      <c r="S484" t="s">
        <v>1032</v>
      </c>
      <c r="T484" t="s">
        <v>992</v>
      </c>
      <c r="U484" t="s">
        <v>1140</v>
      </c>
      <c r="V484" t="s">
        <v>995</v>
      </c>
      <c r="W484" t="s">
        <v>2192</v>
      </c>
      <c r="X484" t="s">
        <v>2193</v>
      </c>
    </row>
    <row r="485" spans="1:24" x14ac:dyDescent="0.25">
      <c r="A485" t="s">
        <v>44</v>
      </c>
      <c r="B485" t="s">
        <v>2194</v>
      </c>
      <c r="C485" t="s">
        <v>446</v>
      </c>
      <c r="D485" t="s">
        <v>44</v>
      </c>
      <c r="E485" t="s">
        <v>999</v>
      </c>
      <c r="F485">
        <v>20907</v>
      </c>
      <c r="G485" t="s">
        <v>2190</v>
      </c>
      <c r="H485" t="s">
        <v>2195</v>
      </c>
      <c r="I485" t="s">
        <v>446</v>
      </c>
      <c r="J485" t="s">
        <v>2190</v>
      </c>
      <c r="K485" t="s">
        <v>992</v>
      </c>
      <c r="L485" t="s">
        <v>992</v>
      </c>
      <c r="M485" t="s">
        <v>992</v>
      </c>
      <c r="N485" t="s">
        <v>992</v>
      </c>
      <c r="O485" t="s">
        <v>992</v>
      </c>
      <c r="P485" t="s">
        <v>992</v>
      </c>
      <c r="Q485" t="b">
        <v>1</v>
      </c>
      <c r="R485" t="b">
        <v>0</v>
      </c>
      <c r="S485" t="s">
        <v>1032</v>
      </c>
      <c r="T485" t="s">
        <v>992</v>
      </c>
      <c r="U485" t="s">
        <v>1140</v>
      </c>
      <c r="V485" t="s">
        <v>995</v>
      </c>
      <c r="W485" t="s">
        <v>2192</v>
      </c>
      <c r="X485" t="s">
        <v>2193</v>
      </c>
    </row>
    <row r="486" spans="1:24" x14ac:dyDescent="0.25">
      <c r="A486" t="s">
        <v>44</v>
      </c>
      <c r="B486" t="s">
        <v>2196</v>
      </c>
      <c r="C486" t="s">
        <v>446</v>
      </c>
      <c r="D486" t="s">
        <v>44</v>
      </c>
      <c r="E486" t="s">
        <v>1001</v>
      </c>
      <c r="F486">
        <v>21213</v>
      </c>
      <c r="G486" t="s">
        <v>2190</v>
      </c>
      <c r="H486" t="s">
        <v>2197</v>
      </c>
      <c r="I486" t="s">
        <v>446</v>
      </c>
      <c r="J486" t="s">
        <v>2190</v>
      </c>
      <c r="K486" t="s">
        <v>992</v>
      </c>
      <c r="L486" t="s">
        <v>992</v>
      </c>
      <c r="M486" t="s">
        <v>992</v>
      </c>
      <c r="N486" t="s">
        <v>992</v>
      </c>
      <c r="O486" t="s">
        <v>992</v>
      </c>
      <c r="P486" t="s">
        <v>992</v>
      </c>
      <c r="Q486" t="b">
        <v>1</v>
      </c>
      <c r="R486" t="b">
        <v>0</v>
      </c>
      <c r="S486" t="s">
        <v>1032</v>
      </c>
      <c r="T486" t="s">
        <v>992</v>
      </c>
      <c r="U486" t="s">
        <v>1140</v>
      </c>
      <c r="V486" t="s">
        <v>995</v>
      </c>
      <c r="W486" t="s">
        <v>2192</v>
      </c>
      <c r="X486" t="s">
        <v>2193</v>
      </c>
    </row>
    <row r="487" spans="1:24" x14ac:dyDescent="0.25">
      <c r="A487" t="s">
        <v>44</v>
      </c>
      <c r="B487" t="s">
        <v>2198</v>
      </c>
      <c r="C487" t="s">
        <v>446</v>
      </c>
      <c r="D487" t="s">
        <v>44</v>
      </c>
      <c r="E487" t="s">
        <v>1003</v>
      </c>
      <c r="F487">
        <v>22314</v>
      </c>
      <c r="G487" t="s">
        <v>2190</v>
      </c>
      <c r="H487" t="s">
        <v>2199</v>
      </c>
      <c r="I487" t="s">
        <v>446</v>
      </c>
      <c r="J487" t="s">
        <v>2190</v>
      </c>
      <c r="K487" t="s">
        <v>992</v>
      </c>
      <c r="L487" t="s">
        <v>992</v>
      </c>
      <c r="M487" t="s">
        <v>992</v>
      </c>
      <c r="N487" t="s">
        <v>992</v>
      </c>
      <c r="O487" t="s">
        <v>992</v>
      </c>
      <c r="P487" t="s">
        <v>992</v>
      </c>
      <c r="Q487" t="b">
        <v>1</v>
      </c>
      <c r="R487" t="b">
        <v>0</v>
      </c>
      <c r="S487" t="s">
        <v>1032</v>
      </c>
      <c r="T487" t="s">
        <v>992</v>
      </c>
      <c r="U487" t="s">
        <v>1140</v>
      </c>
      <c r="V487" t="s">
        <v>995</v>
      </c>
      <c r="W487" t="s">
        <v>2192</v>
      </c>
      <c r="X487" t="s">
        <v>2193</v>
      </c>
    </row>
    <row r="488" spans="1:24" x14ac:dyDescent="0.25">
      <c r="A488" t="s">
        <v>44</v>
      </c>
      <c r="B488" t="s">
        <v>2200</v>
      </c>
      <c r="C488" t="s">
        <v>446</v>
      </c>
      <c r="D488" t="s">
        <v>44</v>
      </c>
      <c r="E488" t="s">
        <v>1005</v>
      </c>
      <c r="F488">
        <v>23117</v>
      </c>
      <c r="G488" t="s">
        <v>2190</v>
      </c>
      <c r="H488" t="s">
        <v>2201</v>
      </c>
      <c r="I488" t="s">
        <v>446</v>
      </c>
      <c r="J488" t="s">
        <v>2190</v>
      </c>
      <c r="K488" t="s">
        <v>992</v>
      </c>
      <c r="L488" t="s">
        <v>992</v>
      </c>
      <c r="M488" t="s">
        <v>992</v>
      </c>
      <c r="N488" t="s">
        <v>992</v>
      </c>
      <c r="O488" t="s">
        <v>992</v>
      </c>
      <c r="P488" t="s">
        <v>992</v>
      </c>
      <c r="Q488" t="b">
        <v>1</v>
      </c>
      <c r="R488" t="b">
        <v>0</v>
      </c>
      <c r="S488" t="s">
        <v>1032</v>
      </c>
      <c r="T488" t="s">
        <v>992</v>
      </c>
      <c r="U488" t="s">
        <v>1140</v>
      </c>
      <c r="V488" t="s">
        <v>995</v>
      </c>
      <c r="W488" t="s">
        <v>2192</v>
      </c>
      <c r="X488" t="s">
        <v>2193</v>
      </c>
    </row>
    <row r="489" spans="1:24" x14ac:dyDescent="0.25">
      <c r="A489" t="s">
        <v>44</v>
      </c>
      <c r="B489" t="s">
        <v>2202</v>
      </c>
      <c r="C489" t="s">
        <v>446</v>
      </c>
      <c r="D489" t="s">
        <v>44</v>
      </c>
      <c r="E489" t="s">
        <v>1007</v>
      </c>
      <c r="F489">
        <v>23867</v>
      </c>
      <c r="G489" t="s">
        <v>2190</v>
      </c>
      <c r="H489" t="s">
        <v>2203</v>
      </c>
      <c r="I489" t="s">
        <v>446</v>
      </c>
      <c r="J489" t="s">
        <v>2190</v>
      </c>
      <c r="K489" t="s">
        <v>992</v>
      </c>
      <c r="L489" t="s">
        <v>992</v>
      </c>
      <c r="M489" t="s">
        <v>992</v>
      </c>
      <c r="N489" t="s">
        <v>992</v>
      </c>
      <c r="O489" t="s">
        <v>992</v>
      </c>
      <c r="P489" t="s">
        <v>992</v>
      </c>
      <c r="Q489" t="b">
        <v>1</v>
      </c>
      <c r="R489" t="b">
        <v>0</v>
      </c>
      <c r="S489" t="s">
        <v>1032</v>
      </c>
      <c r="T489" t="s">
        <v>992</v>
      </c>
      <c r="U489" t="s">
        <v>1140</v>
      </c>
      <c r="V489" t="s">
        <v>995</v>
      </c>
      <c r="W489" t="s">
        <v>2192</v>
      </c>
      <c r="X489" t="s">
        <v>2193</v>
      </c>
    </row>
    <row r="490" spans="1:24" x14ac:dyDescent="0.25">
      <c r="A490" t="s">
        <v>44</v>
      </c>
      <c r="B490" t="s">
        <v>2204</v>
      </c>
      <c r="C490" t="s">
        <v>446</v>
      </c>
      <c r="D490" t="s">
        <v>44</v>
      </c>
      <c r="E490" t="s">
        <v>1009</v>
      </c>
      <c r="F490">
        <v>24213</v>
      </c>
      <c r="G490" t="s">
        <v>2190</v>
      </c>
      <c r="H490" t="s">
        <v>2205</v>
      </c>
      <c r="I490" t="s">
        <v>446</v>
      </c>
      <c r="J490" t="s">
        <v>2190</v>
      </c>
      <c r="K490" t="s">
        <v>992</v>
      </c>
      <c r="L490" t="s">
        <v>992</v>
      </c>
      <c r="M490" t="s">
        <v>992</v>
      </c>
      <c r="N490" t="s">
        <v>992</v>
      </c>
      <c r="O490" t="s">
        <v>992</v>
      </c>
      <c r="P490" t="s">
        <v>992</v>
      </c>
      <c r="Q490" t="b">
        <v>1</v>
      </c>
      <c r="R490" t="b">
        <v>0</v>
      </c>
      <c r="S490" t="s">
        <v>1032</v>
      </c>
      <c r="T490" t="s">
        <v>992</v>
      </c>
      <c r="U490" t="s">
        <v>1140</v>
      </c>
      <c r="V490" t="s">
        <v>995</v>
      </c>
      <c r="W490" t="s">
        <v>2192</v>
      </c>
      <c r="X490" t="s">
        <v>2193</v>
      </c>
    </row>
    <row r="491" spans="1:24" x14ac:dyDescent="0.25">
      <c r="A491" t="s">
        <v>44</v>
      </c>
      <c r="B491" t="s">
        <v>2206</v>
      </c>
      <c r="C491" t="s">
        <v>446</v>
      </c>
      <c r="D491" t="s">
        <v>44</v>
      </c>
      <c r="E491" t="s">
        <v>1011</v>
      </c>
      <c r="F491">
        <v>24972</v>
      </c>
      <c r="G491" t="s">
        <v>2190</v>
      </c>
      <c r="H491" t="s">
        <v>2207</v>
      </c>
      <c r="I491" t="s">
        <v>446</v>
      </c>
      <c r="J491" t="s">
        <v>2190</v>
      </c>
      <c r="K491" t="s">
        <v>992</v>
      </c>
      <c r="L491" t="s">
        <v>992</v>
      </c>
      <c r="M491" t="s">
        <v>992</v>
      </c>
      <c r="N491" t="s">
        <v>992</v>
      </c>
      <c r="O491" t="s">
        <v>992</v>
      </c>
      <c r="P491" t="s">
        <v>992</v>
      </c>
      <c r="Q491" t="b">
        <v>1</v>
      </c>
      <c r="R491" t="b">
        <v>0</v>
      </c>
      <c r="S491" t="s">
        <v>1032</v>
      </c>
      <c r="T491" t="s">
        <v>992</v>
      </c>
      <c r="U491" t="s">
        <v>1140</v>
      </c>
      <c r="V491" t="s">
        <v>995</v>
      </c>
      <c r="W491" t="s">
        <v>2192</v>
      </c>
      <c r="X491" t="s">
        <v>2193</v>
      </c>
    </row>
    <row r="492" spans="1:24" x14ac:dyDescent="0.25">
      <c r="A492" t="s">
        <v>44</v>
      </c>
      <c r="B492" t="s">
        <v>2208</v>
      </c>
      <c r="C492" t="s">
        <v>446</v>
      </c>
      <c r="D492" t="s">
        <v>44</v>
      </c>
      <c r="E492" t="s">
        <v>1013</v>
      </c>
      <c r="F492">
        <v>26340</v>
      </c>
      <c r="G492" t="s">
        <v>2190</v>
      </c>
      <c r="H492" t="s">
        <v>2209</v>
      </c>
      <c r="I492" t="s">
        <v>446</v>
      </c>
      <c r="J492" t="s">
        <v>2190</v>
      </c>
      <c r="K492" t="s">
        <v>992</v>
      </c>
      <c r="L492" t="s">
        <v>992</v>
      </c>
      <c r="M492" t="s">
        <v>992</v>
      </c>
      <c r="N492" t="s">
        <v>992</v>
      </c>
      <c r="O492" t="s">
        <v>992</v>
      </c>
      <c r="P492" t="s">
        <v>992</v>
      </c>
      <c r="Q492" t="b">
        <v>1</v>
      </c>
      <c r="R492" t="b">
        <v>0</v>
      </c>
      <c r="S492" t="s">
        <v>1032</v>
      </c>
      <c r="T492" t="s">
        <v>992</v>
      </c>
      <c r="U492" t="s">
        <v>1140</v>
      </c>
      <c r="V492" t="s">
        <v>995</v>
      </c>
      <c r="W492" t="s">
        <v>2192</v>
      </c>
      <c r="X492" t="s">
        <v>2193</v>
      </c>
    </row>
    <row r="493" spans="1:24" x14ac:dyDescent="0.25">
      <c r="A493" t="s">
        <v>44</v>
      </c>
      <c r="B493" t="s">
        <v>2210</v>
      </c>
      <c r="C493" t="s">
        <v>446</v>
      </c>
      <c r="D493" t="s">
        <v>44</v>
      </c>
      <c r="E493" t="s">
        <v>1015</v>
      </c>
      <c r="F493">
        <v>26645</v>
      </c>
      <c r="G493" t="s">
        <v>2190</v>
      </c>
      <c r="H493" t="s">
        <v>2211</v>
      </c>
      <c r="I493" t="s">
        <v>446</v>
      </c>
      <c r="J493" t="s">
        <v>2190</v>
      </c>
      <c r="K493" t="s">
        <v>992</v>
      </c>
      <c r="L493" t="s">
        <v>992</v>
      </c>
      <c r="M493" t="s">
        <v>992</v>
      </c>
      <c r="N493" t="s">
        <v>992</v>
      </c>
      <c r="O493" t="s">
        <v>992</v>
      </c>
      <c r="P493" t="s">
        <v>992</v>
      </c>
      <c r="Q493" t="b">
        <v>1</v>
      </c>
      <c r="R493" t="b">
        <v>0</v>
      </c>
      <c r="S493" t="s">
        <v>1032</v>
      </c>
      <c r="T493" t="s">
        <v>992</v>
      </c>
      <c r="U493" t="s">
        <v>1140</v>
      </c>
      <c r="V493" t="s">
        <v>995</v>
      </c>
      <c r="W493" t="s">
        <v>2192</v>
      </c>
      <c r="X493" t="s">
        <v>2193</v>
      </c>
    </row>
    <row r="494" spans="1:24" x14ac:dyDescent="0.25">
      <c r="A494" t="s">
        <v>44</v>
      </c>
      <c r="B494" t="s">
        <v>2212</v>
      </c>
      <c r="C494" t="s">
        <v>446</v>
      </c>
      <c r="D494" t="s">
        <v>44</v>
      </c>
      <c r="E494" t="s">
        <v>1017</v>
      </c>
      <c r="F494">
        <v>27423</v>
      </c>
      <c r="G494" t="s">
        <v>2190</v>
      </c>
      <c r="H494" t="s">
        <v>2213</v>
      </c>
      <c r="I494" t="s">
        <v>446</v>
      </c>
      <c r="J494" t="s">
        <v>2190</v>
      </c>
      <c r="K494" t="s">
        <v>992</v>
      </c>
      <c r="L494" t="s">
        <v>992</v>
      </c>
      <c r="M494" t="s">
        <v>992</v>
      </c>
      <c r="N494" t="s">
        <v>992</v>
      </c>
      <c r="O494" t="s">
        <v>992</v>
      </c>
      <c r="P494" t="s">
        <v>992</v>
      </c>
      <c r="Q494" t="b">
        <v>1</v>
      </c>
      <c r="R494" t="b">
        <v>0</v>
      </c>
      <c r="S494" t="s">
        <v>1032</v>
      </c>
      <c r="T494" t="s">
        <v>992</v>
      </c>
      <c r="U494" t="s">
        <v>1140</v>
      </c>
      <c r="V494" t="s">
        <v>995</v>
      </c>
      <c r="W494" t="s">
        <v>2192</v>
      </c>
      <c r="X494" t="s">
        <v>2193</v>
      </c>
    </row>
    <row r="495" spans="1:24" x14ac:dyDescent="0.25">
      <c r="A495" t="s">
        <v>44</v>
      </c>
      <c r="B495" t="s">
        <v>2214</v>
      </c>
      <c r="C495" t="s">
        <v>446</v>
      </c>
      <c r="D495" t="s">
        <v>44</v>
      </c>
      <c r="E495" t="s">
        <v>1019</v>
      </c>
      <c r="F495">
        <v>28750</v>
      </c>
      <c r="G495" t="s">
        <v>2190</v>
      </c>
      <c r="H495" t="s">
        <v>2215</v>
      </c>
      <c r="I495" t="s">
        <v>446</v>
      </c>
      <c r="J495" t="s">
        <v>2190</v>
      </c>
      <c r="K495" t="s">
        <v>992</v>
      </c>
      <c r="L495" t="s">
        <v>992</v>
      </c>
      <c r="M495" t="s">
        <v>992</v>
      </c>
      <c r="N495" t="s">
        <v>992</v>
      </c>
      <c r="O495" t="s">
        <v>992</v>
      </c>
      <c r="P495" t="s">
        <v>992</v>
      </c>
      <c r="Q495" t="b">
        <v>1</v>
      </c>
      <c r="R495" t="b">
        <v>0</v>
      </c>
      <c r="S495" t="s">
        <v>1032</v>
      </c>
      <c r="T495" t="s">
        <v>992</v>
      </c>
      <c r="U495" t="s">
        <v>1140</v>
      </c>
      <c r="V495" t="s">
        <v>995</v>
      </c>
      <c r="W495" t="s">
        <v>2192</v>
      </c>
      <c r="X495" t="s">
        <v>2193</v>
      </c>
    </row>
    <row r="496" spans="1:24" x14ac:dyDescent="0.25">
      <c r="A496" t="s">
        <v>44</v>
      </c>
      <c r="B496" t="s">
        <v>2216</v>
      </c>
      <c r="C496" t="s">
        <v>446</v>
      </c>
      <c r="D496" t="s">
        <v>44</v>
      </c>
      <c r="E496" t="s">
        <v>1021</v>
      </c>
      <c r="F496">
        <v>30013</v>
      </c>
      <c r="G496" t="s">
        <v>2190</v>
      </c>
      <c r="H496" t="s">
        <v>2217</v>
      </c>
      <c r="I496" t="s">
        <v>446</v>
      </c>
      <c r="J496" t="s">
        <v>2190</v>
      </c>
      <c r="K496" t="s">
        <v>992</v>
      </c>
      <c r="L496" t="s">
        <v>992</v>
      </c>
      <c r="M496" t="s">
        <v>992</v>
      </c>
      <c r="N496" t="s">
        <v>992</v>
      </c>
      <c r="O496" t="s">
        <v>992</v>
      </c>
      <c r="P496" t="s">
        <v>992</v>
      </c>
      <c r="Q496" t="b">
        <v>1</v>
      </c>
      <c r="R496" t="b">
        <v>0</v>
      </c>
      <c r="S496" t="s">
        <v>1032</v>
      </c>
      <c r="T496" t="s">
        <v>992</v>
      </c>
      <c r="U496" t="s">
        <v>1140</v>
      </c>
      <c r="V496" t="s">
        <v>995</v>
      </c>
      <c r="W496" t="s">
        <v>2192</v>
      </c>
      <c r="X496" t="s">
        <v>2193</v>
      </c>
    </row>
    <row r="497" spans="1:24" x14ac:dyDescent="0.25">
      <c r="A497" t="s">
        <v>44</v>
      </c>
      <c r="B497" t="s">
        <v>2218</v>
      </c>
      <c r="C497" t="s">
        <v>446</v>
      </c>
      <c r="D497" t="s">
        <v>44</v>
      </c>
      <c r="E497" t="s">
        <v>1130</v>
      </c>
      <c r="F497">
        <v>30976</v>
      </c>
      <c r="G497" t="s">
        <v>2190</v>
      </c>
      <c r="H497" t="s">
        <v>2219</v>
      </c>
      <c r="I497" t="s">
        <v>446</v>
      </c>
      <c r="J497" t="s">
        <v>2190</v>
      </c>
      <c r="K497" t="s">
        <v>992</v>
      </c>
      <c r="L497" t="s">
        <v>992</v>
      </c>
      <c r="M497" t="s">
        <v>992</v>
      </c>
      <c r="N497" t="s">
        <v>992</v>
      </c>
      <c r="O497" t="s">
        <v>992</v>
      </c>
      <c r="P497" t="s">
        <v>992</v>
      </c>
      <c r="Q497" t="b">
        <v>1</v>
      </c>
      <c r="R497" t="b">
        <v>0</v>
      </c>
      <c r="S497" t="s">
        <v>1032</v>
      </c>
      <c r="T497" t="s">
        <v>992</v>
      </c>
      <c r="U497" t="s">
        <v>1140</v>
      </c>
      <c r="V497" t="s">
        <v>995</v>
      </c>
      <c r="W497" t="s">
        <v>2192</v>
      </c>
      <c r="X497" t="s">
        <v>2193</v>
      </c>
    </row>
    <row r="498" spans="1:24" x14ac:dyDescent="0.25">
      <c r="A498" t="s">
        <v>44</v>
      </c>
      <c r="B498" t="s">
        <v>2220</v>
      </c>
      <c r="C498" t="s">
        <v>447</v>
      </c>
      <c r="D498" t="s">
        <v>44</v>
      </c>
      <c r="E498" t="s">
        <v>990</v>
      </c>
      <c r="F498">
        <v>65775</v>
      </c>
      <c r="G498" t="s">
        <v>2190</v>
      </c>
      <c r="H498" t="s">
        <v>2221</v>
      </c>
      <c r="I498" t="s">
        <v>447</v>
      </c>
      <c r="J498" t="s">
        <v>2190</v>
      </c>
      <c r="K498" t="s">
        <v>992</v>
      </c>
      <c r="L498" t="s">
        <v>992</v>
      </c>
      <c r="M498" t="s">
        <v>992</v>
      </c>
      <c r="N498" t="s">
        <v>992</v>
      </c>
      <c r="O498" t="s">
        <v>992</v>
      </c>
      <c r="P498" t="s">
        <v>992</v>
      </c>
      <c r="Q498" t="b">
        <v>1</v>
      </c>
      <c r="R498" t="b">
        <v>0</v>
      </c>
      <c r="S498" t="s">
        <v>1032</v>
      </c>
      <c r="T498" t="s">
        <v>992</v>
      </c>
      <c r="U498" t="s">
        <v>1140</v>
      </c>
      <c r="V498" t="s">
        <v>995</v>
      </c>
      <c r="W498" t="s">
        <v>2192</v>
      </c>
      <c r="X498" t="s">
        <v>2222</v>
      </c>
    </row>
    <row r="499" spans="1:24" x14ac:dyDescent="0.25">
      <c r="A499" t="s">
        <v>44</v>
      </c>
      <c r="B499" t="s">
        <v>2223</v>
      </c>
      <c r="C499" t="s">
        <v>447</v>
      </c>
      <c r="D499" t="s">
        <v>44</v>
      </c>
      <c r="E499" t="s">
        <v>999</v>
      </c>
      <c r="F499">
        <v>51334</v>
      </c>
      <c r="G499" t="s">
        <v>2190</v>
      </c>
      <c r="H499" t="s">
        <v>2224</v>
      </c>
      <c r="I499" t="s">
        <v>447</v>
      </c>
      <c r="J499" t="s">
        <v>2190</v>
      </c>
      <c r="K499" t="s">
        <v>992</v>
      </c>
      <c r="L499" t="s">
        <v>992</v>
      </c>
      <c r="M499" t="s">
        <v>992</v>
      </c>
      <c r="N499" t="s">
        <v>992</v>
      </c>
      <c r="O499" t="s">
        <v>992</v>
      </c>
      <c r="P499" t="s">
        <v>992</v>
      </c>
      <c r="Q499" t="b">
        <v>1</v>
      </c>
      <c r="R499" t="b">
        <v>0</v>
      </c>
      <c r="S499" t="s">
        <v>1032</v>
      </c>
      <c r="T499" t="s">
        <v>992</v>
      </c>
      <c r="U499" t="s">
        <v>1140</v>
      </c>
      <c r="V499" t="s">
        <v>995</v>
      </c>
      <c r="W499" t="s">
        <v>2192</v>
      </c>
      <c r="X499" t="s">
        <v>2222</v>
      </c>
    </row>
    <row r="500" spans="1:24" x14ac:dyDescent="0.25">
      <c r="A500" t="s">
        <v>44</v>
      </c>
      <c r="B500" t="s">
        <v>2225</v>
      </c>
      <c r="C500" t="s">
        <v>447</v>
      </c>
      <c r="D500" t="s">
        <v>44</v>
      </c>
      <c r="E500" t="s">
        <v>1001</v>
      </c>
      <c r="F500">
        <v>39669</v>
      </c>
      <c r="G500" t="s">
        <v>2190</v>
      </c>
      <c r="H500" t="s">
        <v>2226</v>
      </c>
      <c r="I500" t="s">
        <v>447</v>
      </c>
      <c r="J500" t="s">
        <v>2190</v>
      </c>
      <c r="K500" t="s">
        <v>992</v>
      </c>
      <c r="L500" t="s">
        <v>992</v>
      </c>
      <c r="M500" t="s">
        <v>992</v>
      </c>
      <c r="N500" t="s">
        <v>992</v>
      </c>
      <c r="O500" t="s">
        <v>992</v>
      </c>
      <c r="P500" t="s">
        <v>992</v>
      </c>
      <c r="Q500" t="b">
        <v>1</v>
      </c>
      <c r="R500" t="b">
        <v>0</v>
      </c>
      <c r="S500" t="s">
        <v>1032</v>
      </c>
      <c r="T500" t="s">
        <v>992</v>
      </c>
      <c r="U500" t="s">
        <v>1140</v>
      </c>
      <c r="V500" t="s">
        <v>995</v>
      </c>
      <c r="W500" t="s">
        <v>2192</v>
      </c>
      <c r="X500" t="s">
        <v>2222</v>
      </c>
    </row>
    <row r="501" spans="1:24" x14ac:dyDescent="0.25">
      <c r="A501" t="s">
        <v>44</v>
      </c>
      <c r="B501" t="s">
        <v>2227</v>
      </c>
      <c r="C501" t="s">
        <v>447</v>
      </c>
      <c r="D501" t="s">
        <v>44</v>
      </c>
      <c r="E501" t="s">
        <v>1003</v>
      </c>
      <c r="F501">
        <v>43805</v>
      </c>
      <c r="G501" t="s">
        <v>2190</v>
      </c>
      <c r="H501" t="s">
        <v>2228</v>
      </c>
      <c r="I501" t="s">
        <v>447</v>
      </c>
      <c r="J501" t="s">
        <v>2190</v>
      </c>
      <c r="K501" t="s">
        <v>992</v>
      </c>
      <c r="L501" t="s">
        <v>992</v>
      </c>
      <c r="M501" t="s">
        <v>992</v>
      </c>
      <c r="N501" t="s">
        <v>992</v>
      </c>
      <c r="O501" t="s">
        <v>992</v>
      </c>
      <c r="P501" t="s">
        <v>992</v>
      </c>
      <c r="Q501" t="b">
        <v>1</v>
      </c>
      <c r="R501" t="b">
        <v>0</v>
      </c>
      <c r="S501" t="s">
        <v>1032</v>
      </c>
      <c r="T501" t="s">
        <v>992</v>
      </c>
      <c r="U501" t="s">
        <v>1140</v>
      </c>
      <c r="V501" t="s">
        <v>995</v>
      </c>
      <c r="W501" t="s">
        <v>2192</v>
      </c>
      <c r="X501" t="s">
        <v>2222</v>
      </c>
    </row>
    <row r="502" spans="1:24" x14ac:dyDescent="0.25">
      <c r="A502" t="s">
        <v>44</v>
      </c>
      <c r="B502" t="s">
        <v>2229</v>
      </c>
      <c r="C502" t="s">
        <v>447</v>
      </c>
      <c r="D502" t="s">
        <v>44</v>
      </c>
      <c r="E502" t="s">
        <v>1005</v>
      </c>
      <c r="F502">
        <v>69702</v>
      </c>
      <c r="G502" t="s">
        <v>2190</v>
      </c>
      <c r="H502" t="s">
        <v>2230</v>
      </c>
      <c r="I502" t="s">
        <v>447</v>
      </c>
      <c r="J502" t="s">
        <v>2190</v>
      </c>
      <c r="K502" t="s">
        <v>992</v>
      </c>
      <c r="L502" t="s">
        <v>992</v>
      </c>
      <c r="M502" t="s">
        <v>992</v>
      </c>
      <c r="N502" t="s">
        <v>992</v>
      </c>
      <c r="O502" t="s">
        <v>992</v>
      </c>
      <c r="P502" t="s">
        <v>992</v>
      </c>
      <c r="Q502" t="b">
        <v>1</v>
      </c>
      <c r="R502" t="b">
        <v>0</v>
      </c>
      <c r="S502" t="s">
        <v>1032</v>
      </c>
      <c r="T502" t="s">
        <v>992</v>
      </c>
      <c r="U502" t="s">
        <v>1140</v>
      </c>
      <c r="V502" t="s">
        <v>995</v>
      </c>
      <c r="W502" t="s">
        <v>2192</v>
      </c>
      <c r="X502" t="s">
        <v>2222</v>
      </c>
    </row>
    <row r="503" spans="1:24" x14ac:dyDescent="0.25">
      <c r="A503" t="s">
        <v>44</v>
      </c>
      <c r="B503" t="s">
        <v>2231</v>
      </c>
      <c r="C503" t="s">
        <v>447</v>
      </c>
      <c r="D503" t="s">
        <v>44</v>
      </c>
      <c r="E503" t="s">
        <v>1007</v>
      </c>
      <c r="F503">
        <v>45963</v>
      </c>
      <c r="G503" t="s">
        <v>2190</v>
      </c>
      <c r="H503" t="s">
        <v>2232</v>
      </c>
      <c r="I503" t="s">
        <v>447</v>
      </c>
      <c r="J503" t="s">
        <v>2190</v>
      </c>
      <c r="K503" t="s">
        <v>992</v>
      </c>
      <c r="L503" t="s">
        <v>992</v>
      </c>
      <c r="M503" t="s">
        <v>992</v>
      </c>
      <c r="N503" t="s">
        <v>992</v>
      </c>
      <c r="O503" t="s">
        <v>992</v>
      </c>
      <c r="P503" t="s">
        <v>992</v>
      </c>
      <c r="Q503" t="b">
        <v>1</v>
      </c>
      <c r="R503" t="b">
        <v>0</v>
      </c>
      <c r="S503" t="s">
        <v>1032</v>
      </c>
      <c r="T503" t="s">
        <v>992</v>
      </c>
      <c r="U503" t="s">
        <v>1140</v>
      </c>
      <c r="V503" t="s">
        <v>995</v>
      </c>
      <c r="W503" t="s">
        <v>2192</v>
      </c>
      <c r="X503" t="s">
        <v>2222</v>
      </c>
    </row>
    <row r="504" spans="1:24" x14ac:dyDescent="0.25">
      <c r="A504" t="s">
        <v>44</v>
      </c>
      <c r="B504" t="s">
        <v>2233</v>
      </c>
      <c r="C504" t="s">
        <v>447</v>
      </c>
      <c r="D504" t="s">
        <v>44</v>
      </c>
      <c r="E504" t="s">
        <v>1009</v>
      </c>
      <c r="F504">
        <v>39296</v>
      </c>
      <c r="G504" t="s">
        <v>2190</v>
      </c>
      <c r="H504" t="s">
        <v>2234</v>
      </c>
      <c r="I504" t="s">
        <v>447</v>
      </c>
      <c r="J504" t="s">
        <v>2190</v>
      </c>
      <c r="K504" t="s">
        <v>992</v>
      </c>
      <c r="L504" t="s">
        <v>992</v>
      </c>
      <c r="M504" t="s">
        <v>992</v>
      </c>
      <c r="N504" t="s">
        <v>992</v>
      </c>
      <c r="O504" t="s">
        <v>992</v>
      </c>
      <c r="P504" t="s">
        <v>992</v>
      </c>
      <c r="Q504" t="b">
        <v>1</v>
      </c>
      <c r="R504" t="b">
        <v>0</v>
      </c>
      <c r="S504" t="s">
        <v>1032</v>
      </c>
      <c r="T504" t="s">
        <v>992</v>
      </c>
      <c r="U504" t="s">
        <v>1140</v>
      </c>
      <c r="V504" t="s">
        <v>995</v>
      </c>
      <c r="W504" t="s">
        <v>2192</v>
      </c>
      <c r="X504" t="s">
        <v>2222</v>
      </c>
    </row>
    <row r="505" spans="1:24" x14ac:dyDescent="0.25">
      <c r="A505" t="s">
        <v>44</v>
      </c>
      <c r="B505" t="s">
        <v>2235</v>
      </c>
      <c r="C505" t="s">
        <v>447</v>
      </c>
      <c r="D505" t="s">
        <v>44</v>
      </c>
      <c r="E505" t="s">
        <v>1011</v>
      </c>
      <c r="F505">
        <v>46222</v>
      </c>
      <c r="G505" t="s">
        <v>2190</v>
      </c>
      <c r="H505" t="s">
        <v>2236</v>
      </c>
      <c r="I505" t="s">
        <v>447</v>
      </c>
      <c r="J505" t="s">
        <v>2190</v>
      </c>
      <c r="K505" t="s">
        <v>992</v>
      </c>
      <c r="L505" t="s">
        <v>992</v>
      </c>
      <c r="M505" t="s">
        <v>992</v>
      </c>
      <c r="N505" t="s">
        <v>992</v>
      </c>
      <c r="O505" t="s">
        <v>992</v>
      </c>
      <c r="P505" t="s">
        <v>992</v>
      </c>
      <c r="Q505" t="b">
        <v>1</v>
      </c>
      <c r="R505" t="b">
        <v>0</v>
      </c>
      <c r="S505" t="s">
        <v>1032</v>
      </c>
      <c r="T505" t="s">
        <v>992</v>
      </c>
      <c r="U505" t="s">
        <v>1140</v>
      </c>
      <c r="V505" t="s">
        <v>995</v>
      </c>
      <c r="W505" t="s">
        <v>2192</v>
      </c>
      <c r="X505" t="s">
        <v>2222</v>
      </c>
    </row>
    <row r="506" spans="1:24" x14ac:dyDescent="0.25">
      <c r="A506" t="s">
        <v>44</v>
      </c>
      <c r="B506" t="s">
        <v>2237</v>
      </c>
      <c r="C506" t="s">
        <v>447</v>
      </c>
      <c r="D506" t="s">
        <v>44</v>
      </c>
      <c r="E506" t="s">
        <v>1013</v>
      </c>
      <c r="F506">
        <v>69138</v>
      </c>
      <c r="G506" t="s">
        <v>2190</v>
      </c>
      <c r="H506" t="s">
        <v>2238</v>
      </c>
      <c r="I506" t="s">
        <v>447</v>
      </c>
      <c r="J506" t="s">
        <v>2190</v>
      </c>
      <c r="K506" t="s">
        <v>992</v>
      </c>
      <c r="L506" t="s">
        <v>992</v>
      </c>
      <c r="M506" t="s">
        <v>992</v>
      </c>
      <c r="N506" t="s">
        <v>992</v>
      </c>
      <c r="O506" t="s">
        <v>992</v>
      </c>
      <c r="P506" t="s">
        <v>992</v>
      </c>
      <c r="Q506" t="b">
        <v>1</v>
      </c>
      <c r="R506" t="b">
        <v>0</v>
      </c>
      <c r="S506" t="s">
        <v>1032</v>
      </c>
      <c r="T506" t="s">
        <v>992</v>
      </c>
      <c r="U506" t="s">
        <v>1140</v>
      </c>
      <c r="V506" t="s">
        <v>995</v>
      </c>
      <c r="W506" t="s">
        <v>2192</v>
      </c>
      <c r="X506" t="s">
        <v>2222</v>
      </c>
    </row>
    <row r="507" spans="1:24" x14ac:dyDescent="0.25">
      <c r="A507" t="s">
        <v>44</v>
      </c>
      <c r="B507" t="s">
        <v>2239</v>
      </c>
      <c r="C507" t="s">
        <v>447</v>
      </c>
      <c r="D507" t="s">
        <v>44</v>
      </c>
      <c r="E507" t="s">
        <v>1015</v>
      </c>
      <c r="F507">
        <v>46841</v>
      </c>
      <c r="G507" t="s">
        <v>2190</v>
      </c>
      <c r="H507" t="s">
        <v>2240</v>
      </c>
      <c r="I507" t="s">
        <v>447</v>
      </c>
      <c r="J507" t="s">
        <v>2190</v>
      </c>
      <c r="K507" t="s">
        <v>992</v>
      </c>
      <c r="L507" t="s">
        <v>992</v>
      </c>
      <c r="M507" t="s">
        <v>992</v>
      </c>
      <c r="N507" t="s">
        <v>992</v>
      </c>
      <c r="O507" t="s">
        <v>992</v>
      </c>
      <c r="P507" t="s">
        <v>992</v>
      </c>
      <c r="Q507" t="b">
        <v>1</v>
      </c>
      <c r="R507" t="b">
        <v>0</v>
      </c>
      <c r="S507" t="s">
        <v>1032</v>
      </c>
      <c r="T507" t="s">
        <v>992</v>
      </c>
      <c r="U507" t="s">
        <v>1140</v>
      </c>
      <c r="V507" t="s">
        <v>995</v>
      </c>
      <c r="W507" t="s">
        <v>2192</v>
      </c>
      <c r="X507" t="s">
        <v>2222</v>
      </c>
    </row>
    <row r="508" spans="1:24" x14ac:dyDescent="0.25">
      <c r="A508" t="s">
        <v>44</v>
      </c>
      <c r="B508" t="s">
        <v>2241</v>
      </c>
      <c r="C508" t="s">
        <v>447</v>
      </c>
      <c r="D508" t="s">
        <v>44</v>
      </c>
      <c r="E508" t="s">
        <v>1017</v>
      </c>
      <c r="F508">
        <v>44582</v>
      </c>
      <c r="G508" t="s">
        <v>2190</v>
      </c>
      <c r="H508" t="s">
        <v>2242</v>
      </c>
      <c r="I508" t="s">
        <v>447</v>
      </c>
      <c r="J508" t="s">
        <v>2190</v>
      </c>
      <c r="K508" t="s">
        <v>992</v>
      </c>
      <c r="L508" t="s">
        <v>992</v>
      </c>
      <c r="M508" t="s">
        <v>992</v>
      </c>
      <c r="N508" t="s">
        <v>992</v>
      </c>
      <c r="O508" t="s">
        <v>992</v>
      </c>
      <c r="P508" t="s">
        <v>992</v>
      </c>
      <c r="Q508" t="b">
        <v>1</v>
      </c>
      <c r="R508" t="b">
        <v>0</v>
      </c>
      <c r="S508" t="s">
        <v>1032</v>
      </c>
      <c r="T508" t="s">
        <v>992</v>
      </c>
      <c r="U508" t="s">
        <v>1140</v>
      </c>
      <c r="V508" t="s">
        <v>995</v>
      </c>
      <c r="W508" t="s">
        <v>2192</v>
      </c>
      <c r="X508" t="s">
        <v>2222</v>
      </c>
    </row>
    <row r="509" spans="1:24" x14ac:dyDescent="0.25">
      <c r="A509" t="s">
        <v>44</v>
      </c>
      <c r="B509" t="s">
        <v>2243</v>
      </c>
      <c r="C509" t="s">
        <v>447</v>
      </c>
      <c r="D509" t="s">
        <v>44</v>
      </c>
      <c r="E509" t="s">
        <v>1019</v>
      </c>
      <c r="F509">
        <v>49025</v>
      </c>
      <c r="G509" t="s">
        <v>2190</v>
      </c>
      <c r="H509" t="s">
        <v>2244</v>
      </c>
      <c r="I509" t="s">
        <v>447</v>
      </c>
      <c r="J509" t="s">
        <v>2190</v>
      </c>
      <c r="K509" t="s">
        <v>992</v>
      </c>
      <c r="L509" t="s">
        <v>992</v>
      </c>
      <c r="M509" t="s">
        <v>992</v>
      </c>
      <c r="N509" t="s">
        <v>992</v>
      </c>
      <c r="O509" t="s">
        <v>992</v>
      </c>
      <c r="P509" t="s">
        <v>992</v>
      </c>
      <c r="Q509" t="b">
        <v>1</v>
      </c>
      <c r="R509" t="b">
        <v>0</v>
      </c>
      <c r="S509" t="s">
        <v>1032</v>
      </c>
      <c r="T509" t="s">
        <v>992</v>
      </c>
      <c r="U509" t="s">
        <v>1140</v>
      </c>
      <c r="V509" t="s">
        <v>995</v>
      </c>
      <c r="W509" t="s">
        <v>2192</v>
      </c>
      <c r="X509" t="s">
        <v>2222</v>
      </c>
    </row>
    <row r="510" spans="1:24" x14ac:dyDescent="0.25">
      <c r="A510" t="s">
        <v>44</v>
      </c>
      <c r="B510" t="s">
        <v>2245</v>
      </c>
      <c r="C510" t="s">
        <v>447</v>
      </c>
      <c r="D510" t="s">
        <v>44</v>
      </c>
      <c r="E510" t="s">
        <v>1021</v>
      </c>
      <c r="F510">
        <v>85269</v>
      </c>
      <c r="G510" t="s">
        <v>2190</v>
      </c>
      <c r="H510" t="s">
        <v>2246</v>
      </c>
      <c r="I510" t="s">
        <v>447</v>
      </c>
      <c r="J510" t="s">
        <v>2190</v>
      </c>
      <c r="K510" t="s">
        <v>992</v>
      </c>
      <c r="L510" t="s">
        <v>992</v>
      </c>
      <c r="M510" t="s">
        <v>992</v>
      </c>
      <c r="N510" t="s">
        <v>992</v>
      </c>
      <c r="O510" t="s">
        <v>992</v>
      </c>
      <c r="P510" t="s">
        <v>992</v>
      </c>
      <c r="Q510" t="b">
        <v>1</v>
      </c>
      <c r="R510" t="b">
        <v>0</v>
      </c>
      <c r="S510" t="s">
        <v>1032</v>
      </c>
      <c r="T510" t="s">
        <v>992</v>
      </c>
      <c r="U510" t="s">
        <v>1140</v>
      </c>
      <c r="V510" t="s">
        <v>995</v>
      </c>
      <c r="W510" t="s">
        <v>2192</v>
      </c>
      <c r="X510" t="s">
        <v>2222</v>
      </c>
    </row>
    <row r="511" spans="1:24" x14ac:dyDescent="0.25">
      <c r="A511" t="s">
        <v>44</v>
      </c>
      <c r="B511" t="s">
        <v>2247</v>
      </c>
      <c r="C511" t="s">
        <v>447</v>
      </c>
      <c r="D511" t="s">
        <v>44</v>
      </c>
      <c r="E511" t="s">
        <v>1130</v>
      </c>
      <c r="F511">
        <v>56994</v>
      </c>
      <c r="G511" t="s">
        <v>2190</v>
      </c>
      <c r="H511" t="s">
        <v>2248</v>
      </c>
      <c r="I511" t="s">
        <v>447</v>
      </c>
      <c r="J511" t="s">
        <v>2190</v>
      </c>
      <c r="K511" t="s">
        <v>992</v>
      </c>
      <c r="L511" t="s">
        <v>992</v>
      </c>
      <c r="M511" t="s">
        <v>992</v>
      </c>
      <c r="N511" t="s">
        <v>992</v>
      </c>
      <c r="O511" t="s">
        <v>992</v>
      </c>
      <c r="P511" t="s">
        <v>992</v>
      </c>
      <c r="Q511" t="b">
        <v>1</v>
      </c>
      <c r="R511" t="b">
        <v>0</v>
      </c>
      <c r="S511" t="s">
        <v>1032</v>
      </c>
      <c r="T511" t="s">
        <v>992</v>
      </c>
      <c r="U511" t="s">
        <v>1140</v>
      </c>
      <c r="V511" t="s">
        <v>995</v>
      </c>
      <c r="W511" t="s">
        <v>2192</v>
      </c>
      <c r="X511" t="s">
        <v>2222</v>
      </c>
    </row>
    <row r="512" spans="1:24" x14ac:dyDescent="0.25">
      <c r="A512" t="s">
        <v>44</v>
      </c>
      <c r="B512" t="s">
        <v>2249</v>
      </c>
      <c r="C512" t="s">
        <v>448</v>
      </c>
      <c r="D512" t="s">
        <v>44</v>
      </c>
      <c r="E512" t="s">
        <v>990</v>
      </c>
      <c r="F512">
        <v>7735</v>
      </c>
      <c r="G512" t="s">
        <v>2190</v>
      </c>
      <c r="H512" t="s">
        <v>2250</v>
      </c>
      <c r="I512" t="s">
        <v>448</v>
      </c>
      <c r="J512" t="s">
        <v>2190</v>
      </c>
      <c r="K512" t="s">
        <v>992</v>
      </c>
      <c r="L512" t="s">
        <v>992</v>
      </c>
      <c r="M512" t="s">
        <v>992</v>
      </c>
      <c r="N512" t="s">
        <v>992</v>
      </c>
      <c r="O512" t="s">
        <v>992</v>
      </c>
      <c r="P512" t="s">
        <v>992</v>
      </c>
      <c r="Q512" t="b">
        <v>1</v>
      </c>
      <c r="R512" t="b">
        <v>0</v>
      </c>
      <c r="S512" t="s">
        <v>1032</v>
      </c>
      <c r="T512" t="s">
        <v>992</v>
      </c>
      <c r="U512" t="s">
        <v>1140</v>
      </c>
      <c r="V512" t="s">
        <v>995</v>
      </c>
      <c r="W512" t="s">
        <v>2192</v>
      </c>
      <c r="X512" t="s">
        <v>2251</v>
      </c>
    </row>
    <row r="513" spans="1:24" x14ac:dyDescent="0.25">
      <c r="A513" t="s">
        <v>44</v>
      </c>
      <c r="B513" t="s">
        <v>2252</v>
      </c>
      <c r="C513" t="s">
        <v>448</v>
      </c>
      <c r="D513" t="s">
        <v>44</v>
      </c>
      <c r="E513" t="s">
        <v>999</v>
      </c>
      <c r="F513">
        <v>7168</v>
      </c>
      <c r="G513" t="s">
        <v>2190</v>
      </c>
      <c r="H513" t="s">
        <v>2253</v>
      </c>
      <c r="I513" t="s">
        <v>448</v>
      </c>
      <c r="J513" t="s">
        <v>2190</v>
      </c>
      <c r="K513" t="s">
        <v>992</v>
      </c>
      <c r="L513" t="s">
        <v>992</v>
      </c>
      <c r="M513" t="s">
        <v>992</v>
      </c>
      <c r="N513" t="s">
        <v>992</v>
      </c>
      <c r="O513" t="s">
        <v>992</v>
      </c>
      <c r="P513" t="s">
        <v>992</v>
      </c>
      <c r="Q513" t="b">
        <v>1</v>
      </c>
      <c r="R513" t="b">
        <v>0</v>
      </c>
      <c r="S513" t="s">
        <v>1032</v>
      </c>
      <c r="T513" t="s">
        <v>992</v>
      </c>
      <c r="U513" t="s">
        <v>1140</v>
      </c>
      <c r="V513" t="s">
        <v>995</v>
      </c>
      <c r="W513" t="s">
        <v>2192</v>
      </c>
      <c r="X513" t="s">
        <v>2251</v>
      </c>
    </row>
    <row r="514" spans="1:24" x14ac:dyDescent="0.25">
      <c r="A514" t="s">
        <v>44</v>
      </c>
      <c r="B514" t="s">
        <v>2254</v>
      </c>
      <c r="C514" t="s">
        <v>448</v>
      </c>
      <c r="D514" t="s">
        <v>44</v>
      </c>
      <c r="E514" t="s">
        <v>1001</v>
      </c>
      <c r="F514">
        <v>6840</v>
      </c>
      <c r="G514" t="s">
        <v>2190</v>
      </c>
      <c r="H514" t="s">
        <v>2255</v>
      </c>
      <c r="I514" t="s">
        <v>448</v>
      </c>
      <c r="J514" t="s">
        <v>2190</v>
      </c>
      <c r="K514" t="s">
        <v>992</v>
      </c>
      <c r="L514" t="s">
        <v>992</v>
      </c>
      <c r="M514" t="s">
        <v>992</v>
      </c>
      <c r="N514" t="s">
        <v>992</v>
      </c>
      <c r="O514" t="s">
        <v>992</v>
      </c>
      <c r="P514" t="s">
        <v>992</v>
      </c>
      <c r="Q514" t="b">
        <v>1</v>
      </c>
      <c r="R514" t="b">
        <v>0</v>
      </c>
      <c r="S514" t="s">
        <v>1032</v>
      </c>
      <c r="T514" t="s">
        <v>992</v>
      </c>
      <c r="U514" t="s">
        <v>1140</v>
      </c>
      <c r="V514" t="s">
        <v>995</v>
      </c>
      <c r="W514" t="s">
        <v>2192</v>
      </c>
      <c r="X514" t="s">
        <v>2251</v>
      </c>
    </row>
    <row r="515" spans="1:24" x14ac:dyDescent="0.25">
      <c r="A515" t="s">
        <v>44</v>
      </c>
      <c r="B515" t="s">
        <v>2256</v>
      </c>
      <c r="C515" t="s">
        <v>448</v>
      </c>
      <c r="D515" t="s">
        <v>44</v>
      </c>
      <c r="E515" t="s">
        <v>1003</v>
      </c>
      <c r="F515">
        <v>7614</v>
      </c>
      <c r="G515" t="s">
        <v>2190</v>
      </c>
      <c r="H515" t="s">
        <v>2257</v>
      </c>
      <c r="I515" t="s">
        <v>448</v>
      </c>
      <c r="J515" t="s">
        <v>2190</v>
      </c>
      <c r="K515" t="s">
        <v>992</v>
      </c>
      <c r="L515" t="s">
        <v>992</v>
      </c>
      <c r="M515" t="s">
        <v>992</v>
      </c>
      <c r="N515" t="s">
        <v>992</v>
      </c>
      <c r="O515" t="s">
        <v>992</v>
      </c>
      <c r="P515" t="s">
        <v>992</v>
      </c>
      <c r="Q515" t="b">
        <v>1</v>
      </c>
      <c r="R515" t="b">
        <v>0</v>
      </c>
      <c r="S515" t="s">
        <v>1032</v>
      </c>
      <c r="T515" t="s">
        <v>992</v>
      </c>
      <c r="U515" t="s">
        <v>1140</v>
      </c>
      <c r="V515" t="s">
        <v>995</v>
      </c>
      <c r="W515" t="s">
        <v>2192</v>
      </c>
      <c r="X515" t="s">
        <v>2251</v>
      </c>
    </row>
    <row r="516" spans="1:24" x14ac:dyDescent="0.25">
      <c r="A516" t="s">
        <v>44</v>
      </c>
      <c r="B516" t="s">
        <v>2258</v>
      </c>
      <c r="C516" t="s">
        <v>448</v>
      </c>
      <c r="D516" t="s">
        <v>44</v>
      </c>
      <c r="E516" t="s">
        <v>1005</v>
      </c>
      <c r="F516">
        <v>7780</v>
      </c>
      <c r="G516" t="s">
        <v>2190</v>
      </c>
      <c r="H516" t="s">
        <v>2259</v>
      </c>
      <c r="I516" t="s">
        <v>448</v>
      </c>
      <c r="J516" t="s">
        <v>2190</v>
      </c>
      <c r="K516" t="s">
        <v>992</v>
      </c>
      <c r="L516" t="s">
        <v>992</v>
      </c>
      <c r="M516" t="s">
        <v>992</v>
      </c>
      <c r="N516" t="s">
        <v>992</v>
      </c>
      <c r="O516" t="s">
        <v>992</v>
      </c>
      <c r="P516" t="s">
        <v>992</v>
      </c>
      <c r="Q516" t="b">
        <v>1</v>
      </c>
      <c r="R516" t="b">
        <v>0</v>
      </c>
      <c r="S516" t="s">
        <v>1032</v>
      </c>
      <c r="T516" t="s">
        <v>992</v>
      </c>
      <c r="U516" t="s">
        <v>1140</v>
      </c>
      <c r="V516" t="s">
        <v>995</v>
      </c>
      <c r="W516" t="s">
        <v>2192</v>
      </c>
      <c r="X516" t="s">
        <v>2251</v>
      </c>
    </row>
    <row r="517" spans="1:24" x14ac:dyDescent="0.25">
      <c r="A517" t="s">
        <v>44</v>
      </c>
      <c r="B517" t="s">
        <v>2260</v>
      </c>
      <c r="C517" t="s">
        <v>448</v>
      </c>
      <c r="D517" t="s">
        <v>44</v>
      </c>
      <c r="E517" t="s">
        <v>1007</v>
      </c>
      <c r="F517">
        <v>7451</v>
      </c>
      <c r="G517" t="s">
        <v>2190</v>
      </c>
      <c r="H517" t="s">
        <v>2261</v>
      </c>
      <c r="I517" t="s">
        <v>448</v>
      </c>
      <c r="J517" t="s">
        <v>2190</v>
      </c>
      <c r="K517" t="s">
        <v>992</v>
      </c>
      <c r="L517" t="s">
        <v>992</v>
      </c>
      <c r="M517" t="s">
        <v>992</v>
      </c>
      <c r="N517" t="s">
        <v>992</v>
      </c>
      <c r="O517" t="s">
        <v>992</v>
      </c>
      <c r="P517" t="s">
        <v>992</v>
      </c>
      <c r="Q517" t="b">
        <v>1</v>
      </c>
      <c r="R517" t="b">
        <v>0</v>
      </c>
      <c r="S517" t="s">
        <v>1032</v>
      </c>
      <c r="T517" t="s">
        <v>992</v>
      </c>
      <c r="U517" t="s">
        <v>1140</v>
      </c>
      <c r="V517" t="s">
        <v>995</v>
      </c>
      <c r="W517" t="s">
        <v>2192</v>
      </c>
      <c r="X517" t="s">
        <v>2251</v>
      </c>
    </row>
    <row r="518" spans="1:24" x14ac:dyDescent="0.25">
      <c r="A518" t="s">
        <v>44</v>
      </c>
      <c r="B518" t="s">
        <v>2262</v>
      </c>
      <c r="C518" t="s">
        <v>448</v>
      </c>
      <c r="D518" t="s">
        <v>44</v>
      </c>
      <c r="E518" t="s">
        <v>1009</v>
      </c>
      <c r="F518">
        <v>7009</v>
      </c>
      <c r="G518" t="s">
        <v>2190</v>
      </c>
      <c r="H518" t="s">
        <v>2263</v>
      </c>
      <c r="I518" t="s">
        <v>448</v>
      </c>
      <c r="J518" t="s">
        <v>2190</v>
      </c>
      <c r="K518" t="s">
        <v>992</v>
      </c>
      <c r="L518" t="s">
        <v>992</v>
      </c>
      <c r="M518" t="s">
        <v>992</v>
      </c>
      <c r="N518" t="s">
        <v>992</v>
      </c>
      <c r="O518" t="s">
        <v>992</v>
      </c>
      <c r="P518" t="s">
        <v>992</v>
      </c>
      <c r="Q518" t="b">
        <v>1</v>
      </c>
      <c r="R518" t="b">
        <v>0</v>
      </c>
      <c r="S518" t="s">
        <v>1032</v>
      </c>
      <c r="T518" t="s">
        <v>992</v>
      </c>
      <c r="U518" t="s">
        <v>1140</v>
      </c>
      <c r="V518" t="s">
        <v>995</v>
      </c>
      <c r="W518" t="s">
        <v>2192</v>
      </c>
      <c r="X518" t="s">
        <v>2251</v>
      </c>
    </row>
    <row r="519" spans="1:24" x14ac:dyDescent="0.25">
      <c r="A519" t="s">
        <v>44</v>
      </c>
      <c r="B519" t="s">
        <v>2264</v>
      </c>
      <c r="C519" t="s">
        <v>448</v>
      </c>
      <c r="D519" t="s">
        <v>44</v>
      </c>
      <c r="E519" t="s">
        <v>1011</v>
      </c>
      <c r="F519">
        <v>7744</v>
      </c>
      <c r="G519" t="s">
        <v>2190</v>
      </c>
      <c r="H519" t="s">
        <v>2265</v>
      </c>
      <c r="I519" t="s">
        <v>448</v>
      </c>
      <c r="J519" t="s">
        <v>2190</v>
      </c>
      <c r="K519" t="s">
        <v>992</v>
      </c>
      <c r="L519" t="s">
        <v>992</v>
      </c>
      <c r="M519" t="s">
        <v>992</v>
      </c>
      <c r="N519" t="s">
        <v>992</v>
      </c>
      <c r="O519" t="s">
        <v>992</v>
      </c>
      <c r="P519" t="s">
        <v>992</v>
      </c>
      <c r="Q519" t="b">
        <v>1</v>
      </c>
      <c r="R519" t="b">
        <v>0</v>
      </c>
      <c r="S519" t="s">
        <v>1032</v>
      </c>
      <c r="T519" t="s">
        <v>992</v>
      </c>
      <c r="U519" t="s">
        <v>1140</v>
      </c>
      <c r="V519" t="s">
        <v>995</v>
      </c>
      <c r="W519" t="s">
        <v>2192</v>
      </c>
      <c r="X519" t="s">
        <v>2251</v>
      </c>
    </row>
    <row r="520" spans="1:24" x14ac:dyDescent="0.25">
      <c r="A520" t="s">
        <v>44</v>
      </c>
      <c r="B520" t="s">
        <v>2266</v>
      </c>
      <c r="C520" t="s">
        <v>448</v>
      </c>
      <c r="D520" t="s">
        <v>44</v>
      </c>
      <c r="E520" t="s">
        <v>1013</v>
      </c>
      <c r="F520">
        <v>8987</v>
      </c>
      <c r="G520" t="s">
        <v>2190</v>
      </c>
      <c r="H520" t="s">
        <v>2267</v>
      </c>
      <c r="I520" t="s">
        <v>448</v>
      </c>
      <c r="J520" t="s">
        <v>2190</v>
      </c>
      <c r="K520" t="s">
        <v>992</v>
      </c>
      <c r="L520" t="s">
        <v>992</v>
      </c>
      <c r="M520" t="s">
        <v>992</v>
      </c>
      <c r="N520" t="s">
        <v>992</v>
      </c>
      <c r="O520" t="s">
        <v>992</v>
      </c>
      <c r="P520" t="s">
        <v>992</v>
      </c>
      <c r="Q520" t="b">
        <v>1</v>
      </c>
      <c r="R520" t="b">
        <v>0</v>
      </c>
      <c r="S520" t="s">
        <v>1032</v>
      </c>
      <c r="T520" t="s">
        <v>992</v>
      </c>
      <c r="U520" t="s">
        <v>1140</v>
      </c>
      <c r="V520" t="s">
        <v>995</v>
      </c>
      <c r="W520" t="s">
        <v>2192</v>
      </c>
      <c r="X520" t="s">
        <v>2251</v>
      </c>
    </row>
    <row r="521" spans="1:24" x14ac:dyDescent="0.25">
      <c r="A521" t="s">
        <v>44</v>
      </c>
      <c r="B521" t="s">
        <v>2268</v>
      </c>
      <c r="C521" t="s">
        <v>448</v>
      </c>
      <c r="D521" t="s">
        <v>44</v>
      </c>
      <c r="E521" t="s">
        <v>1015</v>
      </c>
      <c r="F521">
        <v>7949</v>
      </c>
      <c r="G521" t="s">
        <v>2190</v>
      </c>
      <c r="H521" t="s">
        <v>2269</v>
      </c>
      <c r="I521" t="s">
        <v>448</v>
      </c>
      <c r="J521" t="s">
        <v>2190</v>
      </c>
      <c r="K521" t="s">
        <v>992</v>
      </c>
      <c r="L521" t="s">
        <v>992</v>
      </c>
      <c r="M521" t="s">
        <v>992</v>
      </c>
      <c r="N521" t="s">
        <v>992</v>
      </c>
      <c r="O521" t="s">
        <v>992</v>
      </c>
      <c r="P521" t="s">
        <v>992</v>
      </c>
      <c r="Q521" t="b">
        <v>1</v>
      </c>
      <c r="R521" t="b">
        <v>0</v>
      </c>
      <c r="S521" t="s">
        <v>1032</v>
      </c>
      <c r="T521" t="s">
        <v>992</v>
      </c>
      <c r="U521" t="s">
        <v>1140</v>
      </c>
      <c r="V521" t="s">
        <v>995</v>
      </c>
      <c r="W521" t="s">
        <v>2192</v>
      </c>
      <c r="X521" t="s">
        <v>2251</v>
      </c>
    </row>
    <row r="522" spans="1:24" x14ac:dyDescent="0.25">
      <c r="A522" t="s">
        <v>44</v>
      </c>
      <c r="B522" t="s">
        <v>2270</v>
      </c>
      <c r="C522" t="s">
        <v>448</v>
      </c>
      <c r="D522" t="s">
        <v>44</v>
      </c>
      <c r="E522" t="s">
        <v>1017</v>
      </c>
      <c r="F522">
        <v>8046</v>
      </c>
      <c r="G522" t="s">
        <v>2190</v>
      </c>
      <c r="H522" t="s">
        <v>2271</v>
      </c>
      <c r="I522" t="s">
        <v>448</v>
      </c>
      <c r="J522" t="s">
        <v>2190</v>
      </c>
      <c r="K522" t="s">
        <v>992</v>
      </c>
      <c r="L522" t="s">
        <v>992</v>
      </c>
      <c r="M522" t="s">
        <v>992</v>
      </c>
      <c r="N522" t="s">
        <v>992</v>
      </c>
      <c r="O522" t="s">
        <v>992</v>
      </c>
      <c r="P522" t="s">
        <v>992</v>
      </c>
      <c r="Q522" t="b">
        <v>1</v>
      </c>
      <c r="R522" t="b">
        <v>0</v>
      </c>
      <c r="S522" t="s">
        <v>1032</v>
      </c>
      <c r="T522" t="s">
        <v>992</v>
      </c>
      <c r="U522" t="s">
        <v>1140</v>
      </c>
      <c r="V522" t="s">
        <v>995</v>
      </c>
      <c r="W522" t="s">
        <v>2192</v>
      </c>
      <c r="X522" t="s">
        <v>2251</v>
      </c>
    </row>
    <row r="523" spans="1:24" x14ac:dyDescent="0.25">
      <c r="A523" t="s">
        <v>44</v>
      </c>
      <c r="B523" t="s">
        <v>2272</v>
      </c>
      <c r="C523" t="s">
        <v>448</v>
      </c>
      <c r="D523" t="s">
        <v>44</v>
      </c>
      <c r="E523" t="s">
        <v>1019</v>
      </c>
      <c r="F523">
        <v>8726</v>
      </c>
      <c r="G523" t="s">
        <v>2190</v>
      </c>
      <c r="H523" t="s">
        <v>2273</v>
      </c>
      <c r="I523" t="s">
        <v>448</v>
      </c>
      <c r="J523" t="s">
        <v>2190</v>
      </c>
      <c r="K523" t="s">
        <v>992</v>
      </c>
      <c r="L523" t="s">
        <v>992</v>
      </c>
      <c r="M523" t="s">
        <v>992</v>
      </c>
      <c r="N523" t="s">
        <v>992</v>
      </c>
      <c r="O523" t="s">
        <v>992</v>
      </c>
      <c r="P523" t="s">
        <v>992</v>
      </c>
      <c r="Q523" t="b">
        <v>1</v>
      </c>
      <c r="R523" t="b">
        <v>0</v>
      </c>
      <c r="S523" t="s">
        <v>1032</v>
      </c>
      <c r="T523" t="s">
        <v>992</v>
      </c>
      <c r="U523" t="s">
        <v>1140</v>
      </c>
      <c r="V523" t="s">
        <v>995</v>
      </c>
      <c r="W523" t="s">
        <v>2192</v>
      </c>
      <c r="X523" t="s">
        <v>2251</v>
      </c>
    </row>
    <row r="524" spans="1:24" x14ac:dyDescent="0.25">
      <c r="A524" t="s">
        <v>44</v>
      </c>
      <c r="B524" t="s">
        <v>2274</v>
      </c>
      <c r="C524" t="s">
        <v>448</v>
      </c>
      <c r="D524" t="s">
        <v>44</v>
      </c>
      <c r="E524" t="s">
        <v>1021</v>
      </c>
      <c r="F524">
        <v>8386</v>
      </c>
      <c r="G524" t="s">
        <v>2190</v>
      </c>
      <c r="H524" t="s">
        <v>2275</v>
      </c>
      <c r="I524" t="s">
        <v>448</v>
      </c>
      <c r="J524" t="s">
        <v>2190</v>
      </c>
      <c r="K524" t="s">
        <v>992</v>
      </c>
      <c r="L524" t="s">
        <v>992</v>
      </c>
      <c r="M524" t="s">
        <v>992</v>
      </c>
      <c r="N524" t="s">
        <v>992</v>
      </c>
      <c r="O524" t="s">
        <v>992</v>
      </c>
      <c r="P524" t="s">
        <v>992</v>
      </c>
      <c r="Q524" t="b">
        <v>1</v>
      </c>
      <c r="R524" t="b">
        <v>0</v>
      </c>
      <c r="S524" t="s">
        <v>1032</v>
      </c>
      <c r="T524" t="s">
        <v>992</v>
      </c>
      <c r="U524" t="s">
        <v>1140</v>
      </c>
      <c r="V524" t="s">
        <v>995</v>
      </c>
      <c r="W524" t="s">
        <v>2192</v>
      </c>
      <c r="X524" t="s">
        <v>2251</v>
      </c>
    </row>
    <row r="525" spans="1:24" x14ac:dyDescent="0.25">
      <c r="A525" t="s">
        <v>44</v>
      </c>
      <c r="B525" t="s">
        <v>2276</v>
      </c>
      <c r="C525" t="s">
        <v>448</v>
      </c>
      <c r="D525" t="s">
        <v>44</v>
      </c>
      <c r="E525" t="s">
        <v>1130</v>
      </c>
      <c r="F525">
        <v>8399</v>
      </c>
      <c r="G525" t="s">
        <v>2190</v>
      </c>
      <c r="H525" t="s">
        <v>2277</v>
      </c>
      <c r="I525" t="s">
        <v>448</v>
      </c>
      <c r="J525" t="s">
        <v>2190</v>
      </c>
      <c r="K525" t="s">
        <v>992</v>
      </c>
      <c r="L525" t="s">
        <v>992</v>
      </c>
      <c r="M525" t="s">
        <v>992</v>
      </c>
      <c r="N525" t="s">
        <v>992</v>
      </c>
      <c r="O525" t="s">
        <v>992</v>
      </c>
      <c r="P525" t="s">
        <v>992</v>
      </c>
      <c r="Q525" t="b">
        <v>1</v>
      </c>
      <c r="R525" t="b">
        <v>0</v>
      </c>
      <c r="S525" t="s">
        <v>1032</v>
      </c>
      <c r="T525" t="s">
        <v>992</v>
      </c>
      <c r="U525" t="s">
        <v>1140</v>
      </c>
      <c r="V525" t="s">
        <v>995</v>
      </c>
      <c r="W525" t="s">
        <v>2192</v>
      </c>
      <c r="X525" t="s">
        <v>2251</v>
      </c>
    </row>
    <row r="526" spans="1:24" x14ac:dyDescent="0.25">
      <c r="A526" t="s">
        <v>44</v>
      </c>
      <c r="B526" t="s">
        <v>2278</v>
      </c>
      <c r="C526" t="s">
        <v>2279</v>
      </c>
      <c r="D526" t="s">
        <v>44</v>
      </c>
      <c r="E526" t="s">
        <v>990</v>
      </c>
      <c r="F526">
        <v>9396</v>
      </c>
      <c r="G526" t="s">
        <v>2190</v>
      </c>
      <c r="H526" t="s">
        <v>2280</v>
      </c>
      <c r="I526" t="s">
        <v>2279</v>
      </c>
      <c r="J526" t="s">
        <v>2190</v>
      </c>
      <c r="K526" t="s">
        <v>992</v>
      </c>
      <c r="L526" t="s">
        <v>992</v>
      </c>
      <c r="M526" t="s">
        <v>992</v>
      </c>
      <c r="N526" t="s">
        <v>992</v>
      </c>
      <c r="O526" t="s">
        <v>992</v>
      </c>
      <c r="P526" t="s">
        <v>992</v>
      </c>
      <c r="Q526" t="b">
        <v>1</v>
      </c>
      <c r="R526" t="b">
        <v>0</v>
      </c>
      <c r="S526" t="s">
        <v>1032</v>
      </c>
      <c r="T526" t="s">
        <v>992</v>
      </c>
      <c r="U526" t="s">
        <v>1140</v>
      </c>
      <c r="V526" t="s">
        <v>995</v>
      </c>
      <c r="W526" t="s">
        <v>2192</v>
      </c>
      <c r="X526" t="s">
        <v>2281</v>
      </c>
    </row>
    <row r="527" spans="1:24" x14ac:dyDescent="0.25">
      <c r="A527" t="s">
        <v>44</v>
      </c>
      <c r="B527" t="s">
        <v>2282</v>
      </c>
      <c r="C527" t="s">
        <v>2279</v>
      </c>
      <c r="D527" t="s">
        <v>44</v>
      </c>
      <c r="E527" t="s">
        <v>999</v>
      </c>
      <c r="F527">
        <v>6670</v>
      </c>
      <c r="G527" t="s">
        <v>2190</v>
      </c>
      <c r="H527" t="s">
        <v>2283</v>
      </c>
      <c r="I527" t="s">
        <v>2279</v>
      </c>
      <c r="J527" t="s">
        <v>2190</v>
      </c>
      <c r="K527" t="s">
        <v>992</v>
      </c>
      <c r="L527" t="s">
        <v>992</v>
      </c>
      <c r="M527" t="s">
        <v>992</v>
      </c>
      <c r="N527" t="s">
        <v>992</v>
      </c>
      <c r="O527" t="s">
        <v>992</v>
      </c>
      <c r="P527" t="s">
        <v>992</v>
      </c>
      <c r="Q527" t="b">
        <v>1</v>
      </c>
      <c r="R527" t="b">
        <v>0</v>
      </c>
      <c r="S527" t="s">
        <v>1032</v>
      </c>
      <c r="T527" t="s">
        <v>992</v>
      </c>
      <c r="U527" t="s">
        <v>1140</v>
      </c>
      <c r="V527" t="s">
        <v>995</v>
      </c>
      <c r="W527" t="s">
        <v>2192</v>
      </c>
      <c r="X527" t="s">
        <v>2281</v>
      </c>
    </row>
    <row r="528" spans="1:24" x14ac:dyDescent="0.25">
      <c r="A528" t="s">
        <v>44</v>
      </c>
      <c r="B528" t="s">
        <v>2284</v>
      </c>
      <c r="C528" t="s">
        <v>2279</v>
      </c>
      <c r="D528" t="s">
        <v>44</v>
      </c>
      <c r="E528" t="s">
        <v>1001</v>
      </c>
      <c r="F528">
        <v>5791</v>
      </c>
      <c r="G528" t="s">
        <v>2190</v>
      </c>
      <c r="H528" t="s">
        <v>2285</v>
      </c>
      <c r="I528" t="s">
        <v>2279</v>
      </c>
      <c r="J528" t="s">
        <v>2190</v>
      </c>
      <c r="K528" t="s">
        <v>992</v>
      </c>
      <c r="L528" t="s">
        <v>992</v>
      </c>
      <c r="M528" t="s">
        <v>992</v>
      </c>
      <c r="N528" t="s">
        <v>992</v>
      </c>
      <c r="O528" t="s">
        <v>992</v>
      </c>
      <c r="P528" t="s">
        <v>992</v>
      </c>
      <c r="Q528" t="b">
        <v>1</v>
      </c>
      <c r="R528" t="b">
        <v>0</v>
      </c>
      <c r="S528" t="s">
        <v>1032</v>
      </c>
      <c r="T528" t="s">
        <v>992</v>
      </c>
      <c r="U528" t="s">
        <v>1140</v>
      </c>
      <c r="V528" t="s">
        <v>995</v>
      </c>
      <c r="W528" t="s">
        <v>2192</v>
      </c>
      <c r="X528" t="s">
        <v>2281</v>
      </c>
    </row>
    <row r="529" spans="1:24" x14ac:dyDescent="0.25">
      <c r="A529" t="s">
        <v>44</v>
      </c>
      <c r="B529" t="s">
        <v>2286</v>
      </c>
      <c r="C529" t="s">
        <v>2279</v>
      </c>
      <c r="D529" t="s">
        <v>44</v>
      </c>
      <c r="E529" t="s">
        <v>1003</v>
      </c>
      <c r="F529">
        <v>6443</v>
      </c>
      <c r="G529" t="s">
        <v>2190</v>
      </c>
      <c r="H529" t="s">
        <v>2287</v>
      </c>
      <c r="I529" t="s">
        <v>2279</v>
      </c>
      <c r="J529" t="s">
        <v>2190</v>
      </c>
      <c r="K529" t="s">
        <v>992</v>
      </c>
      <c r="L529" t="s">
        <v>992</v>
      </c>
      <c r="M529" t="s">
        <v>992</v>
      </c>
      <c r="N529" t="s">
        <v>992</v>
      </c>
      <c r="O529" t="s">
        <v>992</v>
      </c>
      <c r="P529" t="s">
        <v>992</v>
      </c>
      <c r="Q529" t="b">
        <v>1</v>
      </c>
      <c r="R529" t="b">
        <v>0</v>
      </c>
      <c r="S529" t="s">
        <v>1032</v>
      </c>
      <c r="T529" t="s">
        <v>992</v>
      </c>
      <c r="U529" t="s">
        <v>1140</v>
      </c>
      <c r="V529" t="s">
        <v>995</v>
      </c>
      <c r="W529" t="s">
        <v>2192</v>
      </c>
      <c r="X529" t="s">
        <v>2281</v>
      </c>
    </row>
    <row r="530" spans="1:24" x14ac:dyDescent="0.25">
      <c r="A530" t="s">
        <v>44</v>
      </c>
      <c r="B530" t="s">
        <v>2288</v>
      </c>
      <c r="C530" t="s">
        <v>2279</v>
      </c>
      <c r="D530" t="s">
        <v>44</v>
      </c>
      <c r="E530" t="s">
        <v>1005</v>
      </c>
      <c r="F530">
        <v>7023</v>
      </c>
      <c r="G530" t="s">
        <v>2190</v>
      </c>
      <c r="H530" t="s">
        <v>2289</v>
      </c>
      <c r="I530" t="s">
        <v>2279</v>
      </c>
      <c r="J530" t="s">
        <v>2190</v>
      </c>
      <c r="K530" t="s">
        <v>992</v>
      </c>
      <c r="L530" t="s">
        <v>992</v>
      </c>
      <c r="M530" t="s">
        <v>992</v>
      </c>
      <c r="N530" t="s">
        <v>992</v>
      </c>
      <c r="O530" t="s">
        <v>992</v>
      </c>
      <c r="P530" t="s">
        <v>992</v>
      </c>
      <c r="Q530" t="b">
        <v>1</v>
      </c>
      <c r="R530" t="b">
        <v>0</v>
      </c>
      <c r="S530" t="s">
        <v>1032</v>
      </c>
      <c r="T530" t="s">
        <v>992</v>
      </c>
      <c r="U530" t="s">
        <v>1140</v>
      </c>
      <c r="V530" t="s">
        <v>995</v>
      </c>
      <c r="W530" t="s">
        <v>2192</v>
      </c>
      <c r="X530" t="s">
        <v>2281</v>
      </c>
    </row>
    <row r="531" spans="1:24" x14ac:dyDescent="0.25">
      <c r="A531" t="s">
        <v>44</v>
      </c>
      <c r="B531" t="s">
        <v>2290</v>
      </c>
      <c r="C531" t="s">
        <v>2279</v>
      </c>
      <c r="D531" t="s">
        <v>44</v>
      </c>
      <c r="E531" t="s">
        <v>1007</v>
      </c>
      <c r="F531">
        <v>5559</v>
      </c>
      <c r="G531" t="s">
        <v>2190</v>
      </c>
      <c r="H531" t="s">
        <v>2291</v>
      </c>
      <c r="I531" t="s">
        <v>2279</v>
      </c>
      <c r="J531" t="s">
        <v>2190</v>
      </c>
      <c r="K531" t="s">
        <v>992</v>
      </c>
      <c r="L531" t="s">
        <v>992</v>
      </c>
      <c r="M531" t="s">
        <v>992</v>
      </c>
      <c r="N531" t="s">
        <v>992</v>
      </c>
      <c r="O531" t="s">
        <v>992</v>
      </c>
      <c r="P531" t="s">
        <v>992</v>
      </c>
      <c r="Q531" t="b">
        <v>1</v>
      </c>
      <c r="R531" t="b">
        <v>0</v>
      </c>
      <c r="S531" t="s">
        <v>1032</v>
      </c>
      <c r="T531" t="s">
        <v>992</v>
      </c>
      <c r="U531" t="s">
        <v>1140</v>
      </c>
      <c r="V531" t="s">
        <v>995</v>
      </c>
      <c r="W531" t="s">
        <v>2192</v>
      </c>
      <c r="X531" t="s">
        <v>2281</v>
      </c>
    </row>
    <row r="532" spans="1:24" x14ac:dyDescent="0.25">
      <c r="A532" t="s">
        <v>44</v>
      </c>
      <c r="B532" t="s">
        <v>2292</v>
      </c>
      <c r="C532" t="s">
        <v>2279</v>
      </c>
      <c r="D532" t="s">
        <v>44</v>
      </c>
      <c r="E532" t="s">
        <v>1009</v>
      </c>
      <c r="F532">
        <v>7162</v>
      </c>
      <c r="G532" t="s">
        <v>2190</v>
      </c>
      <c r="H532" t="s">
        <v>2293</v>
      </c>
      <c r="I532" t="s">
        <v>2279</v>
      </c>
      <c r="J532" t="s">
        <v>2190</v>
      </c>
      <c r="K532" t="s">
        <v>992</v>
      </c>
      <c r="L532" t="s">
        <v>992</v>
      </c>
      <c r="M532" t="s">
        <v>992</v>
      </c>
      <c r="N532" t="s">
        <v>992</v>
      </c>
      <c r="O532" t="s">
        <v>992</v>
      </c>
      <c r="P532" t="s">
        <v>992</v>
      </c>
      <c r="Q532" t="b">
        <v>1</v>
      </c>
      <c r="R532" t="b">
        <v>0</v>
      </c>
      <c r="S532" t="s">
        <v>1032</v>
      </c>
      <c r="T532" t="s">
        <v>992</v>
      </c>
      <c r="U532" t="s">
        <v>1140</v>
      </c>
      <c r="V532" t="s">
        <v>995</v>
      </c>
      <c r="W532" t="s">
        <v>2192</v>
      </c>
      <c r="X532" t="s">
        <v>2281</v>
      </c>
    </row>
    <row r="533" spans="1:24" x14ac:dyDescent="0.25">
      <c r="A533" t="s">
        <v>44</v>
      </c>
      <c r="B533" t="s">
        <v>2294</v>
      </c>
      <c r="C533" t="s">
        <v>2279</v>
      </c>
      <c r="D533" t="s">
        <v>44</v>
      </c>
      <c r="E533" t="s">
        <v>1011</v>
      </c>
      <c r="F533">
        <v>6950</v>
      </c>
      <c r="G533" t="s">
        <v>2190</v>
      </c>
      <c r="H533" t="s">
        <v>2295</v>
      </c>
      <c r="I533" t="s">
        <v>2279</v>
      </c>
      <c r="J533" t="s">
        <v>2190</v>
      </c>
      <c r="K533" t="s">
        <v>992</v>
      </c>
      <c r="L533" t="s">
        <v>992</v>
      </c>
      <c r="M533" t="s">
        <v>992</v>
      </c>
      <c r="N533" t="s">
        <v>992</v>
      </c>
      <c r="O533" t="s">
        <v>992</v>
      </c>
      <c r="P533" t="s">
        <v>992</v>
      </c>
      <c r="Q533" t="b">
        <v>1</v>
      </c>
      <c r="R533" t="b">
        <v>0</v>
      </c>
      <c r="S533" t="s">
        <v>1032</v>
      </c>
      <c r="T533" t="s">
        <v>992</v>
      </c>
      <c r="U533" t="s">
        <v>1140</v>
      </c>
      <c r="V533" t="s">
        <v>995</v>
      </c>
      <c r="W533" t="s">
        <v>2192</v>
      </c>
      <c r="X533" t="s">
        <v>2281</v>
      </c>
    </row>
    <row r="534" spans="1:24" x14ac:dyDescent="0.25">
      <c r="A534" t="s">
        <v>44</v>
      </c>
      <c r="B534" t="s">
        <v>2296</v>
      </c>
      <c r="C534" t="s">
        <v>2279</v>
      </c>
      <c r="D534" t="s">
        <v>44</v>
      </c>
      <c r="E534" t="s">
        <v>1013</v>
      </c>
      <c r="F534">
        <v>8088</v>
      </c>
      <c r="G534" t="s">
        <v>2190</v>
      </c>
      <c r="H534" t="s">
        <v>2297</v>
      </c>
      <c r="I534" t="s">
        <v>2279</v>
      </c>
      <c r="J534" t="s">
        <v>2190</v>
      </c>
      <c r="K534" t="s">
        <v>992</v>
      </c>
      <c r="L534" t="s">
        <v>992</v>
      </c>
      <c r="M534" t="s">
        <v>992</v>
      </c>
      <c r="N534" t="s">
        <v>992</v>
      </c>
      <c r="O534" t="s">
        <v>992</v>
      </c>
      <c r="P534" t="s">
        <v>992</v>
      </c>
      <c r="Q534" t="b">
        <v>1</v>
      </c>
      <c r="R534" t="b">
        <v>0</v>
      </c>
      <c r="S534" t="s">
        <v>1032</v>
      </c>
      <c r="T534" t="s">
        <v>992</v>
      </c>
      <c r="U534" t="s">
        <v>1140</v>
      </c>
      <c r="V534" t="s">
        <v>995</v>
      </c>
      <c r="W534" t="s">
        <v>2192</v>
      </c>
      <c r="X534" t="s">
        <v>2281</v>
      </c>
    </row>
    <row r="535" spans="1:24" x14ac:dyDescent="0.25">
      <c r="A535" t="s">
        <v>44</v>
      </c>
      <c r="B535" t="s">
        <v>2298</v>
      </c>
      <c r="C535" t="s">
        <v>2279</v>
      </c>
      <c r="D535" t="s">
        <v>44</v>
      </c>
      <c r="E535" t="s">
        <v>1015</v>
      </c>
      <c r="F535">
        <v>6402</v>
      </c>
      <c r="G535" t="s">
        <v>2190</v>
      </c>
      <c r="H535" t="s">
        <v>2299</v>
      </c>
      <c r="I535" t="s">
        <v>2279</v>
      </c>
      <c r="J535" t="s">
        <v>2190</v>
      </c>
      <c r="K535" t="s">
        <v>992</v>
      </c>
      <c r="L535" t="s">
        <v>992</v>
      </c>
      <c r="M535" t="s">
        <v>992</v>
      </c>
      <c r="N535" t="s">
        <v>992</v>
      </c>
      <c r="O535" t="s">
        <v>992</v>
      </c>
      <c r="P535" t="s">
        <v>992</v>
      </c>
      <c r="Q535" t="b">
        <v>1</v>
      </c>
      <c r="R535" t="b">
        <v>0</v>
      </c>
      <c r="S535" t="s">
        <v>1032</v>
      </c>
      <c r="T535" t="s">
        <v>992</v>
      </c>
      <c r="U535" t="s">
        <v>1140</v>
      </c>
      <c r="V535" t="s">
        <v>995</v>
      </c>
      <c r="W535" t="s">
        <v>2192</v>
      </c>
      <c r="X535" t="s">
        <v>2281</v>
      </c>
    </row>
    <row r="536" spans="1:24" x14ac:dyDescent="0.25">
      <c r="A536" t="s">
        <v>44</v>
      </c>
      <c r="B536" t="s">
        <v>2300</v>
      </c>
      <c r="C536" t="s">
        <v>2279</v>
      </c>
      <c r="D536" t="s">
        <v>44</v>
      </c>
      <c r="E536" t="s">
        <v>1017</v>
      </c>
      <c r="F536">
        <v>6581</v>
      </c>
      <c r="G536" t="s">
        <v>2190</v>
      </c>
      <c r="H536" t="s">
        <v>2301</v>
      </c>
      <c r="I536" t="s">
        <v>2279</v>
      </c>
      <c r="J536" t="s">
        <v>2190</v>
      </c>
      <c r="K536" t="s">
        <v>992</v>
      </c>
      <c r="L536" t="s">
        <v>992</v>
      </c>
      <c r="M536" t="s">
        <v>992</v>
      </c>
      <c r="N536" t="s">
        <v>992</v>
      </c>
      <c r="O536" t="s">
        <v>992</v>
      </c>
      <c r="P536" t="s">
        <v>992</v>
      </c>
      <c r="Q536" t="b">
        <v>1</v>
      </c>
      <c r="R536" t="b">
        <v>0</v>
      </c>
      <c r="S536" t="s">
        <v>1032</v>
      </c>
      <c r="T536" t="s">
        <v>992</v>
      </c>
      <c r="U536" t="s">
        <v>1140</v>
      </c>
      <c r="V536" t="s">
        <v>995</v>
      </c>
      <c r="W536" t="s">
        <v>2192</v>
      </c>
      <c r="X536" t="s">
        <v>2281</v>
      </c>
    </row>
    <row r="537" spans="1:24" x14ac:dyDescent="0.25">
      <c r="A537" t="s">
        <v>44</v>
      </c>
      <c r="B537" t="s">
        <v>2302</v>
      </c>
      <c r="C537" t="s">
        <v>2279</v>
      </c>
      <c r="D537" t="s">
        <v>44</v>
      </c>
      <c r="E537" t="s">
        <v>1019</v>
      </c>
      <c r="F537">
        <v>6952</v>
      </c>
      <c r="G537" t="s">
        <v>2190</v>
      </c>
      <c r="H537" t="s">
        <v>2303</v>
      </c>
      <c r="I537" t="s">
        <v>2279</v>
      </c>
      <c r="J537" t="s">
        <v>2190</v>
      </c>
      <c r="K537" t="s">
        <v>992</v>
      </c>
      <c r="L537" t="s">
        <v>992</v>
      </c>
      <c r="M537" t="s">
        <v>992</v>
      </c>
      <c r="N537" t="s">
        <v>992</v>
      </c>
      <c r="O537" t="s">
        <v>992</v>
      </c>
      <c r="P537" t="s">
        <v>992</v>
      </c>
      <c r="Q537" t="b">
        <v>1</v>
      </c>
      <c r="R537" t="b">
        <v>0</v>
      </c>
      <c r="S537" t="s">
        <v>1032</v>
      </c>
      <c r="T537" t="s">
        <v>992</v>
      </c>
      <c r="U537" t="s">
        <v>1140</v>
      </c>
      <c r="V537" t="s">
        <v>995</v>
      </c>
      <c r="W537" t="s">
        <v>2192</v>
      </c>
      <c r="X537" t="s">
        <v>2281</v>
      </c>
    </row>
    <row r="538" spans="1:24" x14ac:dyDescent="0.25">
      <c r="A538" t="s">
        <v>44</v>
      </c>
      <c r="B538" t="s">
        <v>2304</v>
      </c>
      <c r="C538" t="s">
        <v>2279</v>
      </c>
      <c r="D538" t="s">
        <v>44</v>
      </c>
      <c r="E538" t="s">
        <v>1021</v>
      </c>
      <c r="F538">
        <v>8595</v>
      </c>
      <c r="G538" t="s">
        <v>2190</v>
      </c>
      <c r="H538" t="s">
        <v>2305</v>
      </c>
      <c r="I538" t="s">
        <v>2279</v>
      </c>
      <c r="J538" t="s">
        <v>2190</v>
      </c>
      <c r="K538" t="s">
        <v>992</v>
      </c>
      <c r="L538" t="s">
        <v>992</v>
      </c>
      <c r="M538" t="s">
        <v>992</v>
      </c>
      <c r="N538" t="s">
        <v>992</v>
      </c>
      <c r="O538" t="s">
        <v>992</v>
      </c>
      <c r="P538" t="s">
        <v>992</v>
      </c>
      <c r="Q538" t="b">
        <v>1</v>
      </c>
      <c r="R538" t="b">
        <v>0</v>
      </c>
      <c r="S538" t="s">
        <v>1032</v>
      </c>
      <c r="T538" t="s">
        <v>992</v>
      </c>
      <c r="U538" t="s">
        <v>1140</v>
      </c>
      <c r="V538" t="s">
        <v>995</v>
      </c>
      <c r="W538" t="s">
        <v>2192</v>
      </c>
      <c r="X538" t="s">
        <v>2281</v>
      </c>
    </row>
    <row r="539" spans="1:24" x14ac:dyDescent="0.25">
      <c r="A539" t="s">
        <v>44</v>
      </c>
      <c r="B539" t="s">
        <v>2306</v>
      </c>
      <c r="C539" t="s">
        <v>2279</v>
      </c>
      <c r="D539" t="s">
        <v>44</v>
      </c>
      <c r="E539" t="s">
        <v>1130</v>
      </c>
      <c r="F539">
        <v>6914</v>
      </c>
      <c r="G539" t="s">
        <v>2190</v>
      </c>
      <c r="H539" t="s">
        <v>2307</v>
      </c>
      <c r="I539" t="s">
        <v>2279</v>
      </c>
      <c r="J539" t="s">
        <v>2190</v>
      </c>
      <c r="K539" t="s">
        <v>992</v>
      </c>
      <c r="L539" t="s">
        <v>992</v>
      </c>
      <c r="M539" t="s">
        <v>992</v>
      </c>
      <c r="N539" t="s">
        <v>992</v>
      </c>
      <c r="O539" t="s">
        <v>992</v>
      </c>
      <c r="P539" t="s">
        <v>992</v>
      </c>
      <c r="Q539" t="b">
        <v>1</v>
      </c>
      <c r="R539" t="b">
        <v>0</v>
      </c>
      <c r="S539" t="s">
        <v>1032</v>
      </c>
      <c r="T539" t="s">
        <v>992</v>
      </c>
      <c r="U539" t="s">
        <v>1140</v>
      </c>
      <c r="V539" t="s">
        <v>995</v>
      </c>
      <c r="W539" t="s">
        <v>2192</v>
      </c>
      <c r="X539" t="s">
        <v>2281</v>
      </c>
    </row>
    <row r="540" spans="1:24" x14ac:dyDescent="0.25">
      <c r="A540" t="s">
        <v>44</v>
      </c>
      <c r="B540" t="s">
        <v>2308</v>
      </c>
      <c r="C540" t="s">
        <v>450</v>
      </c>
      <c r="D540" t="s">
        <v>44</v>
      </c>
      <c r="E540" t="s">
        <v>990</v>
      </c>
      <c r="F540">
        <v>13482</v>
      </c>
      <c r="G540" t="s">
        <v>2190</v>
      </c>
      <c r="H540" t="s">
        <v>2309</v>
      </c>
      <c r="I540" t="s">
        <v>450</v>
      </c>
      <c r="J540" t="s">
        <v>2190</v>
      </c>
      <c r="K540" t="s">
        <v>992</v>
      </c>
      <c r="L540" t="s">
        <v>992</v>
      </c>
      <c r="M540" t="s">
        <v>992</v>
      </c>
      <c r="N540" t="s">
        <v>992</v>
      </c>
      <c r="O540" t="s">
        <v>992</v>
      </c>
      <c r="P540" t="s">
        <v>992</v>
      </c>
      <c r="Q540" t="b">
        <v>1</v>
      </c>
      <c r="R540" t="b">
        <v>0</v>
      </c>
      <c r="S540" t="s">
        <v>1032</v>
      </c>
      <c r="T540" t="s">
        <v>992</v>
      </c>
      <c r="U540" t="s">
        <v>1140</v>
      </c>
      <c r="V540" t="s">
        <v>995</v>
      </c>
      <c r="W540" t="s">
        <v>2192</v>
      </c>
      <c r="X540" t="s">
        <v>2310</v>
      </c>
    </row>
    <row r="541" spans="1:24" x14ac:dyDescent="0.25">
      <c r="A541" t="s">
        <v>44</v>
      </c>
      <c r="B541" t="s">
        <v>2311</v>
      </c>
      <c r="C541" t="s">
        <v>450</v>
      </c>
      <c r="D541" t="s">
        <v>44</v>
      </c>
      <c r="E541" t="s">
        <v>999</v>
      </c>
      <c r="F541">
        <v>8757</v>
      </c>
      <c r="G541" t="s">
        <v>2190</v>
      </c>
      <c r="H541" t="s">
        <v>2312</v>
      </c>
      <c r="I541" t="s">
        <v>450</v>
      </c>
      <c r="J541" t="s">
        <v>2190</v>
      </c>
      <c r="K541" t="s">
        <v>992</v>
      </c>
      <c r="L541" t="s">
        <v>992</v>
      </c>
      <c r="M541" t="s">
        <v>992</v>
      </c>
      <c r="N541" t="s">
        <v>992</v>
      </c>
      <c r="O541" t="s">
        <v>992</v>
      </c>
      <c r="P541" t="s">
        <v>992</v>
      </c>
      <c r="Q541" t="b">
        <v>1</v>
      </c>
      <c r="R541" t="b">
        <v>0</v>
      </c>
      <c r="S541" t="s">
        <v>1032</v>
      </c>
      <c r="T541" t="s">
        <v>992</v>
      </c>
      <c r="U541" t="s">
        <v>1140</v>
      </c>
      <c r="V541" t="s">
        <v>995</v>
      </c>
      <c r="W541" t="s">
        <v>2192</v>
      </c>
      <c r="X541" t="s">
        <v>2310</v>
      </c>
    </row>
    <row r="542" spans="1:24" x14ac:dyDescent="0.25">
      <c r="A542" t="s">
        <v>44</v>
      </c>
      <c r="B542" t="s">
        <v>2313</v>
      </c>
      <c r="C542" t="s">
        <v>450</v>
      </c>
      <c r="D542" t="s">
        <v>44</v>
      </c>
      <c r="E542" t="s">
        <v>1001</v>
      </c>
      <c r="F542">
        <v>8284</v>
      </c>
      <c r="G542" t="s">
        <v>2190</v>
      </c>
      <c r="H542" t="s">
        <v>2314</v>
      </c>
      <c r="I542" t="s">
        <v>450</v>
      </c>
      <c r="J542" t="s">
        <v>2190</v>
      </c>
      <c r="K542" t="s">
        <v>992</v>
      </c>
      <c r="L542" t="s">
        <v>992</v>
      </c>
      <c r="M542" t="s">
        <v>992</v>
      </c>
      <c r="N542" t="s">
        <v>992</v>
      </c>
      <c r="O542" t="s">
        <v>992</v>
      </c>
      <c r="P542" t="s">
        <v>992</v>
      </c>
      <c r="Q542" t="b">
        <v>1</v>
      </c>
      <c r="R542" t="b">
        <v>0</v>
      </c>
      <c r="S542" t="s">
        <v>1032</v>
      </c>
      <c r="T542" t="s">
        <v>992</v>
      </c>
      <c r="U542" t="s">
        <v>1140</v>
      </c>
      <c r="V542" t="s">
        <v>995</v>
      </c>
      <c r="W542" t="s">
        <v>2192</v>
      </c>
      <c r="X542" t="s">
        <v>2310</v>
      </c>
    </row>
    <row r="543" spans="1:24" x14ac:dyDescent="0.25">
      <c r="A543" t="s">
        <v>44</v>
      </c>
      <c r="B543" t="s">
        <v>2315</v>
      </c>
      <c r="C543" t="s">
        <v>450</v>
      </c>
      <c r="D543" t="s">
        <v>44</v>
      </c>
      <c r="E543" t="s">
        <v>1003</v>
      </c>
      <c r="F543">
        <v>9322</v>
      </c>
      <c r="G543" t="s">
        <v>2190</v>
      </c>
      <c r="H543" t="s">
        <v>2316</v>
      </c>
      <c r="I543" t="s">
        <v>450</v>
      </c>
      <c r="J543" t="s">
        <v>2190</v>
      </c>
      <c r="K543" t="s">
        <v>992</v>
      </c>
      <c r="L543" t="s">
        <v>992</v>
      </c>
      <c r="M543" t="s">
        <v>992</v>
      </c>
      <c r="N543" t="s">
        <v>992</v>
      </c>
      <c r="O543" t="s">
        <v>992</v>
      </c>
      <c r="P543" t="s">
        <v>992</v>
      </c>
      <c r="Q543" t="b">
        <v>1</v>
      </c>
      <c r="R543" t="b">
        <v>0</v>
      </c>
      <c r="S543" t="s">
        <v>1032</v>
      </c>
      <c r="T543" t="s">
        <v>992</v>
      </c>
      <c r="U543" t="s">
        <v>1140</v>
      </c>
      <c r="V543" t="s">
        <v>995</v>
      </c>
      <c r="W543" t="s">
        <v>2192</v>
      </c>
      <c r="X543" t="s">
        <v>2310</v>
      </c>
    </row>
    <row r="544" spans="1:24" x14ac:dyDescent="0.25">
      <c r="A544" t="s">
        <v>44</v>
      </c>
      <c r="B544" t="s">
        <v>2317</v>
      </c>
      <c r="C544" t="s">
        <v>450</v>
      </c>
      <c r="D544" t="s">
        <v>44</v>
      </c>
      <c r="E544" t="s">
        <v>1005</v>
      </c>
      <c r="F544">
        <v>11953</v>
      </c>
      <c r="G544" t="s">
        <v>2190</v>
      </c>
      <c r="H544" t="s">
        <v>2318</v>
      </c>
      <c r="I544" t="s">
        <v>450</v>
      </c>
      <c r="J544" t="s">
        <v>2190</v>
      </c>
      <c r="K544" t="s">
        <v>992</v>
      </c>
      <c r="L544" t="s">
        <v>992</v>
      </c>
      <c r="M544" t="s">
        <v>992</v>
      </c>
      <c r="N544" t="s">
        <v>992</v>
      </c>
      <c r="O544" t="s">
        <v>992</v>
      </c>
      <c r="P544" t="s">
        <v>992</v>
      </c>
      <c r="Q544" t="b">
        <v>1</v>
      </c>
      <c r="R544" t="b">
        <v>0</v>
      </c>
      <c r="S544" t="s">
        <v>1032</v>
      </c>
      <c r="T544" t="s">
        <v>992</v>
      </c>
      <c r="U544" t="s">
        <v>1140</v>
      </c>
      <c r="V544" t="s">
        <v>995</v>
      </c>
      <c r="W544" t="s">
        <v>2192</v>
      </c>
      <c r="X544" t="s">
        <v>2310</v>
      </c>
    </row>
    <row r="545" spans="1:24" x14ac:dyDescent="0.25">
      <c r="A545" t="s">
        <v>44</v>
      </c>
      <c r="B545" t="s">
        <v>2319</v>
      </c>
      <c r="C545" t="s">
        <v>450</v>
      </c>
      <c r="D545" t="s">
        <v>44</v>
      </c>
      <c r="E545" t="s">
        <v>1007</v>
      </c>
      <c r="F545">
        <v>7913</v>
      </c>
      <c r="G545" t="s">
        <v>2190</v>
      </c>
      <c r="H545" t="s">
        <v>2320</v>
      </c>
      <c r="I545" t="s">
        <v>450</v>
      </c>
      <c r="J545" t="s">
        <v>2190</v>
      </c>
      <c r="K545" t="s">
        <v>992</v>
      </c>
      <c r="L545" t="s">
        <v>992</v>
      </c>
      <c r="M545" t="s">
        <v>992</v>
      </c>
      <c r="N545" t="s">
        <v>992</v>
      </c>
      <c r="O545" t="s">
        <v>992</v>
      </c>
      <c r="P545" t="s">
        <v>992</v>
      </c>
      <c r="Q545" t="b">
        <v>1</v>
      </c>
      <c r="R545" t="b">
        <v>0</v>
      </c>
      <c r="S545" t="s">
        <v>1032</v>
      </c>
      <c r="T545" t="s">
        <v>992</v>
      </c>
      <c r="U545" t="s">
        <v>1140</v>
      </c>
      <c r="V545" t="s">
        <v>995</v>
      </c>
      <c r="W545" t="s">
        <v>2192</v>
      </c>
      <c r="X545" t="s">
        <v>2310</v>
      </c>
    </row>
    <row r="546" spans="1:24" x14ac:dyDescent="0.25">
      <c r="A546" t="s">
        <v>44</v>
      </c>
      <c r="B546" t="s">
        <v>2321</v>
      </c>
      <c r="C546" t="s">
        <v>450</v>
      </c>
      <c r="D546" t="s">
        <v>44</v>
      </c>
      <c r="E546" t="s">
        <v>1009</v>
      </c>
      <c r="F546">
        <v>8097</v>
      </c>
      <c r="G546" t="s">
        <v>2190</v>
      </c>
      <c r="H546" t="s">
        <v>2322</v>
      </c>
      <c r="I546" t="s">
        <v>450</v>
      </c>
      <c r="J546" t="s">
        <v>2190</v>
      </c>
      <c r="K546" t="s">
        <v>992</v>
      </c>
      <c r="L546" t="s">
        <v>992</v>
      </c>
      <c r="M546" t="s">
        <v>992</v>
      </c>
      <c r="N546" t="s">
        <v>992</v>
      </c>
      <c r="O546" t="s">
        <v>992</v>
      </c>
      <c r="P546" t="s">
        <v>992</v>
      </c>
      <c r="Q546" t="b">
        <v>1</v>
      </c>
      <c r="R546" t="b">
        <v>0</v>
      </c>
      <c r="S546" t="s">
        <v>1032</v>
      </c>
      <c r="T546" t="s">
        <v>992</v>
      </c>
      <c r="U546" t="s">
        <v>1140</v>
      </c>
      <c r="V546" t="s">
        <v>995</v>
      </c>
      <c r="W546" t="s">
        <v>2192</v>
      </c>
      <c r="X546" t="s">
        <v>2310</v>
      </c>
    </row>
    <row r="547" spans="1:24" x14ac:dyDescent="0.25">
      <c r="A547" t="s">
        <v>44</v>
      </c>
      <c r="B547" t="s">
        <v>2323</v>
      </c>
      <c r="C547" t="s">
        <v>450</v>
      </c>
      <c r="D547" t="s">
        <v>44</v>
      </c>
      <c r="E547" t="s">
        <v>1011</v>
      </c>
      <c r="F547">
        <v>9042</v>
      </c>
      <c r="G547" t="s">
        <v>2190</v>
      </c>
      <c r="H547" t="s">
        <v>2324</v>
      </c>
      <c r="I547" t="s">
        <v>450</v>
      </c>
      <c r="J547" t="s">
        <v>2190</v>
      </c>
      <c r="K547" t="s">
        <v>992</v>
      </c>
      <c r="L547" t="s">
        <v>992</v>
      </c>
      <c r="M547" t="s">
        <v>992</v>
      </c>
      <c r="N547" t="s">
        <v>992</v>
      </c>
      <c r="O547" t="s">
        <v>992</v>
      </c>
      <c r="P547" t="s">
        <v>992</v>
      </c>
      <c r="Q547" t="b">
        <v>1</v>
      </c>
      <c r="R547" t="b">
        <v>0</v>
      </c>
      <c r="S547" t="s">
        <v>1032</v>
      </c>
      <c r="T547" t="s">
        <v>992</v>
      </c>
      <c r="U547" t="s">
        <v>1140</v>
      </c>
      <c r="V547" t="s">
        <v>995</v>
      </c>
      <c r="W547" t="s">
        <v>2192</v>
      </c>
      <c r="X547" t="s">
        <v>2310</v>
      </c>
    </row>
    <row r="548" spans="1:24" x14ac:dyDescent="0.25">
      <c r="A548" t="s">
        <v>44</v>
      </c>
      <c r="B548" t="s">
        <v>2325</v>
      </c>
      <c r="C548" t="s">
        <v>450</v>
      </c>
      <c r="D548" t="s">
        <v>44</v>
      </c>
      <c r="E548" t="s">
        <v>1013</v>
      </c>
      <c r="F548">
        <v>11747</v>
      </c>
      <c r="G548" t="s">
        <v>2190</v>
      </c>
      <c r="H548" t="s">
        <v>2326</v>
      </c>
      <c r="I548" t="s">
        <v>450</v>
      </c>
      <c r="J548" t="s">
        <v>2190</v>
      </c>
      <c r="K548" t="s">
        <v>992</v>
      </c>
      <c r="L548" t="s">
        <v>992</v>
      </c>
      <c r="M548" t="s">
        <v>992</v>
      </c>
      <c r="N548" t="s">
        <v>992</v>
      </c>
      <c r="O548" t="s">
        <v>992</v>
      </c>
      <c r="P548" t="s">
        <v>992</v>
      </c>
      <c r="Q548" t="b">
        <v>1</v>
      </c>
      <c r="R548" t="b">
        <v>0</v>
      </c>
      <c r="S548" t="s">
        <v>1032</v>
      </c>
      <c r="T548" t="s">
        <v>992</v>
      </c>
      <c r="U548" t="s">
        <v>1140</v>
      </c>
      <c r="V548" t="s">
        <v>995</v>
      </c>
      <c r="W548" t="s">
        <v>2192</v>
      </c>
      <c r="X548" t="s">
        <v>2310</v>
      </c>
    </row>
    <row r="549" spans="1:24" x14ac:dyDescent="0.25">
      <c r="A549" t="s">
        <v>44</v>
      </c>
      <c r="B549" t="s">
        <v>2327</v>
      </c>
      <c r="C549" t="s">
        <v>450</v>
      </c>
      <c r="D549" t="s">
        <v>44</v>
      </c>
      <c r="E549" t="s">
        <v>1015</v>
      </c>
      <c r="F549">
        <v>7522</v>
      </c>
      <c r="G549" t="s">
        <v>2190</v>
      </c>
      <c r="H549" t="s">
        <v>2328</v>
      </c>
      <c r="I549" t="s">
        <v>450</v>
      </c>
      <c r="J549" t="s">
        <v>2190</v>
      </c>
      <c r="K549" t="s">
        <v>992</v>
      </c>
      <c r="L549" t="s">
        <v>992</v>
      </c>
      <c r="M549" t="s">
        <v>992</v>
      </c>
      <c r="N549" t="s">
        <v>992</v>
      </c>
      <c r="O549" t="s">
        <v>992</v>
      </c>
      <c r="P549" t="s">
        <v>992</v>
      </c>
      <c r="Q549" t="b">
        <v>1</v>
      </c>
      <c r="R549" t="b">
        <v>0</v>
      </c>
      <c r="S549" t="s">
        <v>1032</v>
      </c>
      <c r="T549" t="s">
        <v>992</v>
      </c>
      <c r="U549" t="s">
        <v>1140</v>
      </c>
      <c r="V549" t="s">
        <v>995</v>
      </c>
      <c r="W549" t="s">
        <v>2192</v>
      </c>
      <c r="X549" t="s">
        <v>2310</v>
      </c>
    </row>
    <row r="550" spans="1:24" x14ac:dyDescent="0.25">
      <c r="A550" t="s">
        <v>44</v>
      </c>
      <c r="B550" t="s">
        <v>2329</v>
      </c>
      <c r="C550" t="s">
        <v>450</v>
      </c>
      <c r="D550" t="s">
        <v>44</v>
      </c>
      <c r="E550" t="s">
        <v>1017</v>
      </c>
      <c r="F550">
        <v>7404</v>
      </c>
      <c r="G550" t="s">
        <v>2190</v>
      </c>
      <c r="H550" t="s">
        <v>2330</v>
      </c>
      <c r="I550" t="s">
        <v>450</v>
      </c>
      <c r="J550" t="s">
        <v>2190</v>
      </c>
      <c r="K550" t="s">
        <v>992</v>
      </c>
      <c r="L550" t="s">
        <v>992</v>
      </c>
      <c r="M550" t="s">
        <v>992</v>
      </c>
      <c r="N550" t="s">
        <v>992</v>
      </c>
      <c r="O550" t="s">
        <v>992</v>
      </c>
      <c r="P550" t="s">
        <v>992</v>
      </c>
      <c r="Q550" t="b">
        <v>1</v>
      </c>
      <c r="R550" t="b">
        <v>0</v>
      </c>
      <c r="S550" t="s">
        <v>1032</v>
      </c>
      <c r="T550" t="s">
        <v>992</v>
      </c>
      <c r="U550" t="s">
        <v>1140</v>
      </c>
      <c r="V550" t="s">
        <v>995</v>
      </c>
      <c r="W550" t="s">
        <v>2192</v>
      </c>
      <c r="X550" t="s">
        <v>2310</v>
      </c>
    </row>
    <row r="551" spans="1:24" x14ac:dyDescent="0.25">
      <c r="A551" t="s">
        <v>44</v>
      </c>
      <c r="B551" t="s">
        <v>2331</v>
      </c>
      <c r="C551" t="s">
        <v>450</v>
      </c>
      <c r="D551" t="s">
        <v>44</v>
      </c>
      <c r="E551" t="s">
        <v>1019</v>
      </c>
      <c r="F551">
        <v>9013</v>
      </c>
      <c r="G551" t="s">
        <v>2190</v>
      </c>
      <c r="H551" t="s">
        <v>2332</v>
      </c>
      <c r="I551" t="s">
        <v>450</v>
      </c>
      <c r="J551" t="s">
        <v>2190</v>
      </c>
      <c r="K551" t="s">
        <v>992</v>
      </c>
      <c r="L551" t="s">
        <v>992</v>
      </c>
      <c r="M551" t="s">
        <v>992</v>
      </c>
      <c r="N551" t="s">
        <v>992</v>
      </c>
      <c r="O551" t="s">
        <v>992</v>
      </c>
      <c r="P551" t="s">
        <v>992</v>
      </c>
      <c r="Q551" t="b">
        <v>1</v>
      </c>
      <c r="R551" t="b">
        <v>0</v>
      </c>
      <c r="S551" t="s">
        <v>1032</v>
      </c>
      <c r="T551" t="s">
        <v>992</v>
      </c>
      <c r="U551" t="s">
        <v>1140</v>
      </c>
      <c r="V551" t="s">
        <v>995</v>
      </c>
      <c r="W551" t="s">
        <v>2192</v>
      </c>
      <c r="X551" t="s">
        <v>2310</v>
      </c>
    </row>
    <row r="552" spans="1:24" x14ac:dyDescent="0.25">
      <c r="A552" t="s">
        <v>44</v>
      </c>
      <c r="B552" t="s">
        <v>2333</v>
      </c>
      <c r="C552" t="s">
        <v>450</v>
      </c>
      <c r="D552" t="s">
        <v>44</v>
      </c>
      <c r="E552" t="s">
        <v>1021</v>
      </c>
      <c r="F552">
        <v>11493</v>
      </c>
      <c r="G552" t="s">
        <v>2190</v>
      </c>
      <c r="H552" t="s">
        <v>2334</v>
      </c>
      <c r="I552" t="s">
        <v>450</v>
      </c>
      <c r="J552" t="s">
        <v>2190</v>
      </c>
      <c r="K552" t="s">
        <v>992</v>
      </c>
      <c r="L552" t="s">
        <v>992</v>
      </c>
      <c r="M552" t="s">
        <v>992</v>
      </c>
      <c r="N552" t="s">
        <v>992</v>
      </c>
      <c r="O552" t="s">
        <v>992</v>
      </c>
      <c r="P552" t="s">
        <v>992</v>
      </c>
      <c r="Q552" t="b">
        <v>1</v>
      </c>
      <c r="R552" t="b">
        <v>0</v>
      </c>
      <c r="S552" t="s">
        <v>1032</v>
      </c>
      <c r="T552" t="s">
        <v>992</v>
      </c>
      <c r="U552" t="s">
        <v>1140</v>
      </c>
      <c r="V552" t="s">
        <v>995</v>
      </c>
      <c r="W552" t="s">
        <v>2192</v>
      </c>
      <c r="X552" t="s">
        <v>2310</v>
      </c>
    </row>
    <row r="553" spans="1:24" x14ac:dyDescent="0.25">
      <c r="A553" t="s">
        <v>44</v>
      </c>
      <c r="B553" t="s">
        <v>2335</v>
      </c>
      <c r="C553" t="s">
        <v>450</v>
      </c>
      <c r="D553" t="s">
        <v>44</v>
      </c>
      <c r="E553" t="s">
        <v>1130</v>
      </c>
      <c r="F553">
        <v>7901</v>
      </c>
      <c r="G553" t="s">
        <v>2190</v>
      </c>
      <c r="H553" t="s">
        <v>2336</v>
      </c>
      <c r="I553" t="s">
        <v>450</v>
      </c>
      <c r="J553" t="s">
        <v>2190</v>
      </c>
      <c r="K553" t="s">
        <v>992</v>
      </c>
      <c r="L553" t="s">
        <v>992</v>
      </c>
      <c r="M553" t="s">
        <v>992</v>
      </c>
      <c r="N553" t="s">
        <v>992</v>
      </c>
      <c r="O553" t="s">
        <v>992</v>
      </c>
      <c r="P553" t="s">
        <v>992</v>
      </c>
      <c r="Q553" t="b">
        <v>1</v>
      </c>
      <c r="R553" t="b">
        <v>0</v>
      </c>
      <c r="S553" t="s">
        <v>1032</v>
      </c>
      <c r="T553" t="s">
        <v>992</v>
      </c>
      <c r="U553" t="s">
        <v>1140</v>
      </c>
      <c r="V553" t="s">
        <v>995</v>
      </c>
      <c r="W553" t="s">
        <v>2192</v>
      </c>
      <c r="X553" t="s">
        <v>2310</v>
      </c>
    </row>
    <row r="554" spans="1:24" x14ac:dyDescent="0.25">
      <c r="A554" t="s">
        <v>44</v>
      </c>
      <c r="B554" t="s">
        <v>1204</v>
      </c>
      <c r="C554" t="s">
        <v>2337</v>
      </c>
      <c r="D554" t="s">
        <v>44</v>
      </c>
      <c r="E554" t="s">
        <v>990</v>
      </c>
      <c r="F554">
        <v>17864</v>
      </c>
      <c r="G554" t="s">
        <v>2190</v>
      </c>
      <c r="H554" t="s">
        <v>2338</v>
      </c>
      <c r="I554" t="s">
        <v>2337</v>
      </c>
      <c r="J554" t="s">
        <v>2190</v>
      </c>
      <c r="K554" t="s">
        <v>992</v>
      </c>
      <c r="L554" t="s">
        <v>992</v>
      </c>
      <c r="M554" t="s">
        <v>992</v>
      </c>
      <c r="N554" t="s">
        <v>992</v>
      </c>
      <c r="O554" t="s">
        <v>992</v>
      </c>
      <c r="P554" t="s">
        <v>992</v>
      </c>
      <c r="Q554" t="b">
        <v>1</v>
      </c>
      <c r="R554" t="b">
        <v>0</v>
      </c>
      <c r="S554" t="s">
        <v>1032</v>
      </c>
      <c r="T554" t="s">
        <v>992</v>
      </c>
      <c r="U554" t="s">
        <v>1140</v>
      </c>
      <c r="V554" t="s">
        <v>995</v>
      </c>
      <c r="W554" t="s">
        <v>2192</v>
      </c>
      <c r="X554" t="s">
        <v>2339</v>
      </c>
    </row>
    <row r="555" spans="1:24" x14ac:dyDescent="0.25">
      <c r="A555" t="s">
        <v>44</v>
      </c>
      <c r="B555" t="s">
        <v>1209</v>
      </c>
      <c r="C555" t="s">
        <v>2337</v>
      </c>
      <c r="D555" t="s">
        <v>44</v>
      </c>
      <c r="E555" t="s">
        <v>999</v>
      </c>
      <c r="F555">
        <v>13927</v>
      </c>
      <c r="G555" t="s">
        <v>2190</v>
      </c>
      <c r="H555" t="s">
        <v>2340</v>
      </c>
      <c r="I555" t="s">
        <v>2337</v>
      </c>
      <c r="J555" t="s">
        <v>2190</v>
      </c>
      <c r="K555" t="s">
        <v>992</v>
      </c>
      <c r="L555" t="s">
        <v>992</v>
      </c>
      <c r="M555" t="s">
        <v>992</v>
      </c>
      <c r="N555" t="s">
        <v>992</v>
      </c>
      <c r="O555" t="s">
        <v>992</v>
      </c>
      <c r="P555" t="s">
        <v>992</v>
      </c>
      <c r="Q555" t="b">
        <v>1</v>
      </c>
      <c r="R555" t="b">
        <v>0</v>
      </c>
      <c r="S555" t="s">
        <v>1032</v>
      </c>
      <c r="T555" t="s">
        <v>992</v>
      </c>
      <c r="U555" t="s">
        <v>1140</v>
      </c>
      <c r="V555" t="s">
        <v>995</v>
      </c>
      <c r="W555" t="s">
        <v>2192</v>
      </c>
      <c r="X555" t="s">
        <v>2339</v>
      </c>
    </row>
    <row r="556" spans="1:24" x14ac:dyDescent="0.25">
      <c r="A556" t="s">
        <v>44</v>
      </c>
      <c r="B556" t="s">
        <v>1211</v>
      </c>
      <c r="C556" t="s">
        <v>2337</v>
      </c>
      <c r="D556" t="s">
        <v>44</v>
      </c>
      <c r="E556" t="s">
        <v>1001</v>
      </c>
      <c r="F556">
        <v>13117</v>
      </c>
      <c r="G556" t="s">
        <v>2190</v>
      </c>
      <c r="H556" t="s">
        <v>2341</v>
      </c>
      <c r="I556" t="s">
        <v>2337</v>
      </c>
      <c r="J556" t="s">
        <v>2190</v>
      </c>
      <c r="K556" t="s">
        <v>992</v>
      </c>
      <c r="L556" t="s">
        <v>992</v>
      </c>
      <c r="M556" t="s">
        <v>992</v>
      </c>
      <c r="N556" t="s">
        <v>992</v>
      </c>
      <c r="O556" t="s">
        <v>992</v>
      </c>
      <c r="P556" t="s">
        <v>992</v>
      </c>
      <c r="Q556" t="b">
        <v>1</v>
      </c>
      <c r="R556" t="b">
        <v>0</v>
      </c>
      <c r="S556" t="s">
        <v>1032</v>
      </c>
      <c r="T556" t="s">
        <v>992</v>
      </c>
      <c r="U556" t="s">
        <v>1140</v>
      </c>
      <c r="V556" t="s">
        <v>995</v>
      </c>
      <c r="W556" t="s">
        <v>2192</v>
      </c>
      <c r="X556" t="s">
        <v>2339</v>
      </c>
    </row>
    <row r="557" spans="1:24" x14ac:dyDescent="0.25">
      <c r="A557" t="s">
        <v>44</v>
      </c>
      <c r="B557" t="s">
        <v>1213</v>
      </c>
      <c r="C557" t="s">
        <v>2337</v>
      </c>
      <c r="D557" t="s">
        <v>44</v>
      </c>
      <c r="E557" t="s">
        <v>1003</v>
      </c>
      <c r="F557">
        <v>15600</v>
      </c>
      <c r="G557" t="s">
        <v>2190</v>
      </c>
      <c r="H557" t="s">
        <v>2342</v>
      </c>
      <c r="I557" t="s">
        <v>2337</v>
      </c>
      <c r="J557" t="s">
        <v>2190</v>
      </c>
      <c r="K557" t="s">
        <v>992</v>
      </c>
      <c r="L557" t="s">
        <v>992</v>
      </c>
      <c r="M557" t="s">
        <v>992</v>
      </c>
      <c r="N557" t="s">
        <v>992</v>
      </c>
      <c r="O557" t="s">
        <v>992</v>
      </c>
      <c r="P557" t="s">
        <v>992</v>
      </c>
      <c r="Q557" t="b">
        <v>1</v>
      </c>
      <c r="R557" t="b">
        <v>0</v>
      </c>
      <c r="S557" t="s">
        <v>1032</v>
      </c>
      <c r="T557" t="s">
        <v>992</v>
      </c>
      <c r="U557" t="s">
        <v>1140</v>
      </c>
      <c r="V557" t="s">
        <v>995</v>
      </c>
      <c r="W557" t="s">
        <v>2192</v>
      </c>
      <c r="X557" t="s">
        <v>2339</v>
      </c>
    </row>
    <row r="558" spans="1:24" x14ac:dyDescent="0.25">
      <c r="A558" t="s">
        <v>44</v>
      </c>
      <c r="B558" t="s">
        <v>1215</v>
      </c>
      <c r="C558" t="s">
        <v>2337</v>
      </c>
      <c r="D558" t="s">
        <v>44</v>
      </c>
      <c r="E558" t="s">
        <v>1005</v>
      </c>
      <c r="F558">
        <v>20357</v>
      </c>
      <c r="G558" t="s">
        <v>2190</v>
      </c>
      <c r="H558" t="s">
        <v>2343</v>
      </c>
      <c r="I558" t="s">
        <v>2337</v>
      </c>
      <c r="J558" t="s">
        <v>2190</v>
      </c>
      <c r="K558" t="s">
        <v>992</v>
      </c>
      <c r="L558" t="s">
        <v>992</v>
      </c>
      <c r="M558" t="s">
        <v>992</v>
      </c>
      <c r="N558" t="s">
        <v>992</v>
      </c>
      <c r="O558" t="s">
        <v>992</v>
      </c>
      <c r="P558" t="s">
        <v>992</v>
      </c>
      <c r="Q558" t="b">
        <v>1</v>
      </c>
      <c r="R558" t="b">
        <v>0</v>
      </c>
      <c r="S558" t="s">
        <v>1032</v>
      </c>
      <c r="T558" t="s">
        <v>992</v>
      </c>
      <c r="U558" t="s">
        <v>1140</v>
      </c>
      <c r="V558" t="s">
        <v>995</v>
      </c>
      <c r="W558" t="s">
        <v>2192</v>
      </c>
      <c r="X558" t="s">
        <v>2339</v>
      </c>
    </row>
    <row r="559" spans="1:24" x14ac:dyDescent="0.25">
      <c r="A559" t="s">
        <v>44</v>
      </c>
      <c r="B559" t="s">
        <v>1217</v>
      </c>
      <c r="C559" t="s">
        <v>2337</v>
      </c>
      <c r="D559" t="s">
        <v>44</v>
      </c>
      <c r="E559" t="s">
        <v>1007</v>
      </c>
      <c r="F559">
        <v>15074</v>
      </c>
      <c r="G559" t="s">
        <v>2190</v>
      </c>
      <c r="H559" t="s">
        <v>2344</v>
      </c>
      <c r="I559" t="s">
        <v>2337</v>
      </c>
      <c r="J559" t="s">
        <v>2190</v>
      </c>
      <c r="K559" t="s">
        <v>992</v>
      </c>
      <c r="L559" t="s">
        <v>992</v>
      </c>
      <c r="M559" t="s">
        <v>992</v>
      </c>
      <c r="N559" t="s">
        <v>992</v>
      </c>
      <c r="O559" t="s">
        <v>992</v>
      </c>
      <c r="P559" t="s">
        <v>992</v>
      </c>
      <c r="Q559" t="b">
        <v>1</v>
      </c>
      <c r="R559" t="b">
        <v>0</v>
      </c>
      <c r="S559" t="s">
        <v>1032</v>
      </c>
      <c r="T559" t="s">
        <v>992</v>
      </c>
      <c r="U559" t="s">
        <v>1140</v>
      </c>
      <c r="V559" t="s">
        <v>995</v>
      </c>
      <c r="W559" t="s">
        <v>2192</v>
      </c>
      <c r="X559" t="s">
        <v>2339</v>
      </c>
    </row>
    <row r="560" spans="1:24" x14ac:dyDescent="0.25">
      <c r="A560" t="s">
        <v>44</v>
      </c>
      <c r="B560" t="s">
        <v>1219</v>
      </c>
      <c r="C560" t="s">
        <v>2337</v>
      </c>
      <c r="D560" t="s">
        <v>44</v>
      </c>
      <c r="E560" t="s">
        <v>1009</v>
      </c>
      <c r="F560">
        <v>15209</v>
      </c>
      <c r="G560" t="s">
        <v>2190</v>
      </c>
      <c r="H560" t="s">
        <v>2345</v>
      </c>
      <c r="I560" t="s">
        <v>2337</v>
      </c>
      <c r="J560" t="s">
        <v>2190</v>
      </c>
      <c r="K560" t="s">
        <v>992</v>
      </c>
      <c r="L560" t="s">
        <v>992</v>
      </c>
      <c r="M560" t="s">
        <v>992</v>
      </c>
      <c r="N560" t="s">
        <v>992</v>
      </c>
      <c r="O560" t="s">
        <v>992</v>
      </c>
      <c r="P560" t="s">
        <v>992</v>
      </c>
      <c r="Q560" t="b">
        <v>1</v>
      </c>
      <c r="R560" t="b">
        <v>0</v>
      </c>
      <c r="S560" t="s">
        <v>1032</v>
      </c>
      <c r="T560" t="s">
        <v>992</v>
      </c>
      <c r="U560" t="s">
        <v>1140</v>
      </c>
      <c r="V560" t="s">
        <v>995</v>
      </c>
      <c r="W560" t="s">
        <v>2192</v>
      </c>
      <c r="X560" t="s">
        <v>2339</v>
      </c>
    </row>
    <row r="561" spans="1:24" x14ac:dyDescent="0.25">
      <c r="A561" t="s">
        <v>44</v>
      </c>
      <c r="B561" t="s">
        <v>1221</v>
      </c>
      <c r="C561" t="s">
        <v>2337</v>
      </c>
      <c r="D561" t="s">
        <v>44</v>
      </c>
      <c r="E561" t="s">
        <v>1011</v>
      </c>
      <c r="F561">
        <v>17016</v>
      </c>
      <c r="G561" t="s">
        <v>2190</v>
      </c>
      <c r="H561" t="s">
        <v>2346</v>
      </c>
      <c r="I561" t="s">
        <v>2337</v>
      </c>
      <c r="J561" t="s">
        <v>2190</v>
      </c>
      <c r="K561" t="s">
        <v>992</v>
      </c>
      <c r="L561" t="s">
        <v>992</v>
      </c>
      <c r="M561" t="s">
        <v>992</v>
      </c>
      <c r="N561" t="s">
        <v>992</v>
      </c>
      <c r="O561" t="s">
        <v>992</v>
      </c>
      <c r="P561" t="s">
        <v>992</v>
      </c>
      <c r="Q561" t="b">
        <v>1</v>
      </c>
      <c r="R561" t="b">
        <v>0</v>
      </c>
      <c r="S561" t="s">
        <v>1032</v>
      </c>
      <c r="T561" t="s">
        <v>992</v>
      </c>
      <c r="U561" t="s">
        <v>1140</v>
      </c>
      <c r="V561" t="s">
        <v>995</v>
      </c>
      <c r="W561" t="s">
        <v>2192</v>
      </c>
      <c r="X561" t="s">
        <v>2339</v>
      </c>
    </row>
    <row r="562" spans="1:24" x14ac:dyDescent="0.25">
      <c r="A562" t="s">
        <v>44</v>
      </c>
      <c r="B562" t="s">
        <v>1223</v>
      </c>
      <c r="C562" t="s">
        <v>2337</v>
      </c>
      <c r="D562" t="s">
        <v>44</v>
      </c>
      <c r="E562" t="s">
        <v>1013</v>
      </c>
      <c r="F562">
        <v>21509</v>
      </c>
      <c r="G562" t="s">
        <v>2190</v>
      </c>
      <c r="H562" t="s">
        <v>2347</v>
      </c>
      <c r="I562" t="s">
        <v>2337</v>
      </c>
      <c r="J562" t="s">
        <v>2190</v>
      </c>
      <c r="K562" t="s">
        <v>992</v>
      </c>
      <c r="L562" t="s">
        <v>992</v>
      </c>
      <c r="M562" t="s">
        <v>992</v>
      </c>
      <c r="N562" t="s">
        <v>992</v>
      </c>
      <c r="O562" t="s">
        <v>992</v>
      </c>
      <c r="P562" t="s">
        <v>992</v>
      </c>
      <c r="Q562" t="b">
        <v>1</v>
      </c>
      <c r="R562" t="b">
        <v>0</v>
      </c>
      <c r="S562" t="s">
        <v>1032</v>
      </c>
      <c r="T562" t="s">
        <v>992</v>
      </c>
      <c r="U562" t="s">
        <v>1140</v>
      </c>
      <c r="V562" t="s">
        <v>995</v>
      </c>
      <c r="W562" t="s">
        <v>2192</v>
      </c>
      <c r="X562" t="s">
        <v>2339</v>
      </c>
    </row>
    <row r="563" spans="1:24" x14ac:dyDescent="0.25">
      <c r="A563" t="s">
        <v>44</v>
      </c>
      <c r="B563" t="s">
        <v>1224</v>
      </c>
      <c r="C563" t="s">
        <v>2337</v>
      </c>
      <c r="D563" t="s">
        <v>44</v>
      </c>
      <c r="E563" t="s">
        <v>1015</v>
      </c>
      <c r="F563">
        <v>16774</v>
      </c>
      <c r="G563" t="s">
        <v>2190</v>
      </c>
      <c r="H563" t="s">
        <v>2348</v>
      </c>
      <c r="I563" t="s">
        <v>2337</v>
      </c>
      <c r="J563" t="s">
        <v>2190</v>
      </c>
      <c r="K563" t="s">
        <v>992</v>
      </c>
      <c r="L563" t="s">
        <v>992</v>
      </c>
      <c r="M563" t="s">
        <v>992</v>
      </c>
      <c r="N563" t="s">
        <v>992</v>
      </c>
      <c r="O563" t="s">
        <v>992</v>
      </c>
      <c r="P563" t="s">
        <v>992</v>
      </c>
      <c r="Q563" t="b">
        <v>1</v>
      </c>
      <c r="R563" t="b">
        <v>0</v>
      </c>
      <c r="S563" t="s">
        <v>1032</v>
      </c>
      <c r="T563" t="s">
        <v>992</v>
      </c>
      <c r="U563" t="s">
        <v>1140</v>
      </c>
      <c r="V563" t="s">
        <v>995</v>
      </c>
      <c r="W563" t="s">
        <v>2192</v>
      </c>
      <c r="X563" t="s">
        <v>2339</v>
      </c>
    </row>
    <row r="564" spans="1:24" x14ac:dyDescent="0.25">
      <c r="A564" t="s">
        <v>44</v>
      </c>
      <c r="B564" t="s">
        <v>1225</v>
      </c>
      <c r="C564" t="s">
        <v>2337</v>
      </c>
      <c r="D564" t="s">
        <v>44</v>
      </c>
      <c r="E564" t="s">
        <v>1017</v>
      </c>
      <c r="F564">
        <v>16511</v>
      </c>
      <c r="G564" t="s">
        <v>2190</v>
      </c>
      <c r="H564" t="s">
        <v>2349</v>
      </c>
      <c r="I564" t="s">
        <v>2337</v>
      </c>
      <c r="J564" t="s">
        <v>2190</v>
      </c>
      <c r="K564" t="s">
        <v>992</v>
      </c>
      <c r="L564" t="s">
        <v>992</v>
      </c>
      <c r="M564" t="s">
        <v>992</v>
      </c>
      <c r="N564" t="s">
        <v>992</v>
      </c>
      <c r="O564" t="s">
        <v>992</v>
      </c>
      <c r="P564" t="s">
        <v>992</v>
      </c>
      <c r="Q564" t="b">
        <v>1</v>
      </c>
      <c r="R564" t="b">
        <v>0</v>
      </c>
      <c r="S564" t="s">
        <v>1032</v>
      </c>
      <c r="T564" t="s">
        <v>992</v>
      </c>
      <c r="U564" t="s">
        <v>1140</v>
      </c>
      <c r="V564" t="s">
        <v>995</v>
      </c>
      <c r="W564" t="s">
        <v>2192</v>
      </c>
      <c r="X564" t="s">
        <v>2339</v>
      </c>
    </row>
    <row r="565" spans="1:24" x14ac:dyDescent="0.25">
      <c r="A565" t="s">
        <v>44</v>
      </c>
      <c r="B565" t="s">
        <v>1226</v>
      </c>
      <c r="C565" t="s">
        <v>2337</v>
      </c>
      <c r="D565" t="s">
        <v>44</v>
      </c>
      <c r="E565" t="s">
        <v>1019</v>
      </c>
      <c r="F565">
        <v>17686</v>
      </c>
      <c r="G565" t="s">
        <v>2190</v>
      </c>
      <c r="H565" t="s">
        <v>2350</v>
      </c>
      <c r="I565" t="s">
        <v>2337</v>
      </c>
      <c r="J565" t="s">
        <v>2190</v>
      </c>
      <c r="K565" t="s">
        <v>992</v>
      </c>
      <c r="L565" t="s">
        <v>992</v>
      </c>
      <c r="M565" t="s">
        <v>992</v>
      </c>
      <c r="N565" t="s">
        <v>992</v>
      </c>
      <c r="O565" t="s">
        <v>992</v>
      </c>
      <c r="P565" t="s">
        <v>992</v>
      </c>
      <c r="Q565" t="b">
        <v>1</v>
      </c>
      <c r="R565" t="b">
        <v>0</v>
      </c>
      <c r="S565" t="s">
        <v>1032</v>
      </c>
      <c r="T565" t="s">
        <v>992</v>
      </c>
      <c r="U565" t="s">
        <v>1140</v>
      </c>
      <c r="V565" t="s">
        <v>995</v>
      </c>
      <c r="W565" t="s">
        <v>2192</v>
      </c>
      <c r="X565" t="s">
        <v>2339</v>
      </c>
    </row>
    <row r="566" spans="1:24" x14ac:dyDescent="0.25">
      <c r="A566" t="s">
        <v>44</v>
      </c>
      <c r="B566" t="s">
        <v>1228</v>
      </c>
      <c r="C566" t="s">
        <v>2337</v>
      </c>
      <c r="D566" t="s">
        <v>44</v>
      </c>
      <c r="E566" t="s">
        <v>1021</v>
      </c>
      <c r="F566">
        <v>23953</v>
      </c>
      <c r="G566" t="s">
        <v>2190</v>
      </c>
      <c r="H566" t="s">
        <v>2351</v>
      </c>
      <c r="I566" t="s">
        <v>2337</v>
      </c>
      <c r="J566" t="s">
        <v>2190</v>
      </c>
      <c r="K566" t="s">
        <v>992</v>
      </c>
      <c r="L566" t="s">
        <v>992</v>
      </c>
      <c r="M566" t="s">
        <v>992</v>
      </c>
      <c r="N566" t="s">
        <v>992</v>
      </c>
      <c r="O566" t="s">
        <v>992</v>
      </c>
      <c r="P566" t="s">
        <v>992</v>
      </c>
      <c r="Q566" t="b">
        <v>1</v>
      </c>
      <c r="R566" t="b">
        <v>0</v>
      </c>
      <c r="S566" t="s">
        <v>1032</v>
      </c>
      <c r="T566" t="s">
        <v>992</v>
      </c>
      <c r="U566" t="s">
        <v>1140</v>
      </c>
      <c r="V566" t="s">
        <v>995</v>
      </c>
      <c r="W566" t="s">
        <v>2192</v>
      </c>
      <c r="X566" t="s">
        <v>2339</v>
      </c>
    </row>
    <row r="567" spans="1:24" x14ac:dyDescent="0.25">
      <c r="A567" t="s">
        <v>44</v>
      </c>
      <c r="B567" t="s">
        <v>1230</v>
      </c>
      <c r="C567" t="s">
        <v>2337</v>
      </c>
      <c r="D567" t="s">
        <v>44</v>
      </c>
      <c r="E567" t="s">
        <v>1130</v>
      </c>
      <c r="F567">
        <v>19373</v>
      </c>
      <c r="G567" t="s">
        <v>2190</v>
      </c>
      <c r="H567" t="s">
        <v>2352</v>
      </c>
      <c r="I567" t="s">
        <v>2337</v>
      </c>
      <c r="J567" t="s">
        <v>2190</v>
      </c>
      <c r="K567" t="s">
        <v>992</v>
      </c>
      <c r="L567" t="s">
        <v>992</v>
      </c>
      <c r="M567" t="s">
        <v>992</v>
      </c>
      <c r="N567" t="s">
        <v>992</v>
      </c>
      <c r="O567" t="s">
        <v>992</v>
      </c>
      <c r="P567" t="s">
        <v>992</v>
      </c>
      <c r="Q567" t="b">
        <v>1</v>
      </c>
      <c r="R567" t="b">
        <v>0</v>
      </c>
      <c r="S567" t="s">
        <v>1032</v>
      </c>
      <c r="T567" t="s">
        <v>992</v>
      </c>
      <c r="U567" t="s">
        <v>1140</v>
      </c>
      <c r="V567" t="s">
        <v>995</v>
      </c>
      <c r="W567" t="s">
        <v>2192</v>
      </c>
      <c r="X567" t="s">
        <v>2339</v>
      </c>
    </row>
    <row r="568" spans="1:24" x14ac:dyDescent="0.25">
      <c r="A568" t="s">
        <v>44</v>
      </c>
      <c r="B568" t="s">
        <v>1232</v>
      </c>
      <c r="C568" t="s">
        <v>2353</v>
      </c>
      <c r="D568" t="s">
        <v>44</v>
      </c>
      <c r="E568" t="s">
        <v>990</v>
      </c>
      <c r="F568">
        <v>10437</v>
      </c>
      <c r="G568" t="s">
        <v>2190</v>
      </c>
      <c r="H568" t="s">
        <v>2354</v>
      </c>
      <c r="I568" t="s">
        <v>2353</v>
      </c>
      <c r="J568" t="s">
        <v>2190</v>
      </c>
      <c r="K568" t="s">
        <v>992</v>
      </c>
      <c r="L568" t="s">
        <v>992</v>
      </c>
      <c r="M568" t="s">
        <v>992</v>
      </c>
      <c r="N568" t="s">
        <v>992</v>
      </c>
      <c r="O568" t="s">
        <v>992</v>
      </c>
      <c r="P568" t="s">
        <v>992</v>
      </c>
      <c r="Q568" t="b">
        <v>1</v>
      </c>
      <c r="R568" t="b">
        <v>0</v>
      </c>
      <c r="S568" t="s">
        <v>1032</v>
      </c>
      <c r="T568" t="s">
        <v>992</v>
      </c>
      <c r="U568" t="s">
        <v>1140</v>
      </c>
      <c r="V568" t="s">
        <v>995</v>
      </c>
      <c r="W568" t="s">
        <v>2192</v>
      </c>
      <c r="X568" t="s">
        <v>2355</v>
      </c>
    </row>
    <row r="569" spans="1:24" x14ac:dyDescent="0.25">
      <c r="A569" t="s">
        <v>44</v>
      </c>
      <c r="B569" t="s">
        <v>1236</v>
      </c>
      <c r="C569" t="s">
        <v>2353</v>
      </c>
      <c r="D569" t="s">
        <v>44</v>
      </c>
      <c r="E569" t="s">
        <v>999</v>
      </c>
      <c r="F569">
        <v>7531</v>
      </c>
      <c r="G569" t="s">
        <v>2190</v>
      </c>
      <c r="H569" t="s">
        <v>2356</v>
      </c>
      <c r="I569" t="s">
        <v>2353</v>
      </c>
      <c r="J569" t="s">
        <v>2190</v>
      </c>
      <c r="K569" t="s">
        <v>992</v>
      </c>
      <c r="L569" t="s">
        <v>992</v>
      </c>
      <c r="M569" t="s">
        <v>992</v>
      </c>
      <c r="N569" t="s">
        <v>992</v>
      </c>
      <c r="O569" t="s">
        <v>992</v>
      </c>
      <c r="P569" t="s">
        <v>992</v>
      </c>
      <c r="Q569" t="b">
        <v>1</v>
      </c>
      <c r="R569" t="b">
        <v>0</v>
      </c>
      <c r="S569" t="s">
        <v>1032</v>
      </c>
      <c r="T569" t="s">
        <v>992</v>
      </c>
      <c r="U569" t="s">
        <v>1140</v>
      </c>
      <c r="V569" t="s">
        <v>995</v>
      </c>
      <c r="W569" t="s">
        <v>2192</v>
      </c>
      <c r="X569" t="s">
        <v>2355</v>
      </c>
    </row>
    <row r="570" spans="1:24" x14ac:dyDescent="0.25">
      <c r="A570" t="s">
        <v>44</v>
      </c>
      <c r="B570" t="s">
        <v>1239</v>
      </c>
      <c r="C570" t="s">
        <v>2353</v>
      </c>
      <c r="D570" t="s">
        <v>44</v>
      </c>
      <c r="E570" t="s">
        <v>1001</v>
      </c>
      <c r="F570">
        <v>6207</v>
      </c>
      <c r="G570" t="s">
        <v>2190</v>
      </c>
      <c r="H570" t="s">
        <v>2357</v>
      </c>
      <c r="I570" t="s">
        <v>2353</v>
      </c>
      <c r="J570" t="s">
        <v>2190</v>
      </c>
      <c r="K570" t="s">
        <v>992</v>
      </c>
      <c r="L570" t="s">
        <v>992</v>
      </c>
      <c r="M570" t="s">
        <v>992</v>
      </c>
      <c r="N570" t="s">
        <v>992</v>
      </c>
      <c r="O570" t="s">
        <v>992</v>
      </c>
      <c r="P570" t="s">
        <v>992</v>
      </c>
      <c r="Q570" t="b">
        <v>1</v>
      </c>
      <c r="R570" t="b">
        <v>0</v>
      </c>
      <c r="S570" t="s">
        <v>1032</v>
      </c>
      <c r="T570" t="s">
        <v>992</v>
      </c>
      <c r="U570" t="s">
        <v>1140</v>
      </c>
      <c r="V570" t="s">
        <v>995</v>
      </c>
      <c r="W570" t="s">
        <v>2192</v>
      </c>
      <c r="X570" t="s">
        <v>2355</v>
      </c>
    </row>
    <row r="571" spans="1:24" x14ac:dyDescent="0.25">
      <c r="A571" t="s">
        <v>44</v>
      </c>
      <c r="B571" t="s">
        <v>1242</v>
      </c>
      <c r="C571" t="s">
        <v>2353</v>
      </c>
      <c r="D571" t="s">
        <v>44</v>
      </c>
      <c r="E571" t="s">
        <v>1003</v>
      </c>
      <c r="F571">
        <v>6153</v>
      </c>
      <c r="G571" t="s">
        <v>2190</v>
      </c>
      <c r="H571" t="s">
        <v>2358</v>
      </c>
      <c r="I571" t="s">
        <v>2353</v>
      </c>
      <c r="J571" t="s">
        <v>2190</v>
      </c>
      <c r="K571" t="s">
        <v>992</v>
      </c>
      <c r="L571" t="s">
        <v>992</v>
      </c>
      <c r="M571" t="s">
        <v>992</v>
      </c>
      <c r="N571" t="s">
        <v>992</v>
      </c>
      <c r="O571" t="s">
        <v>992</v>
      </c>
      <c r="P571" t="s">
        <v>992</v>
      </c>
      <c r="Q571" t="b">
        <v>1</v>
      </c>
      <c r="R571" t="b">
        <v>0</v>
      </c>
      <c r="S571" t="s">
        <v>1032</v>
      </c>
      <c r="T571" t="s">
        <v>992</v>
      </c>
      <c r="U571" t="s">
        <v>1140</v>
      </c>
      <c r="V571" t="s">
        <v>995</v>
      </c>
      <c r="W571" t="s">
        <v>2192</v>
      </c>
      <c r="X571" t="s">
        <v>2355</v>
      </c>
    </row>
    <row r="572" spans="1:24" x14ac:dyDescent="0.25">
      <c r="A572" t="s">
        <v>44</v>
      </c>
      <c r="B572" t="s">
        <v>1246</v>
      </c>
      <c r="C572" t="s">
        <v>2353</v>
      </c>
      <c r="D572" t="s">
        <v>44</v>
      </c>
      <c r="E572" t="s">
        <v>1005</v>
      </c>
      <c r="F572">
        <v>8622</v>
      </c>
      <c r="G572" t="s">
        <v>2190</v>
      </c>
      <c r="H572" t="s">
        <v>2359</v>
      </c>
      <c r="I572" t="s">
        <v>2353</v>
      </c>
      <c r="J572" t="s">
        <v>2190</v>
      </c>
      <c r="K572" t="s">
        <v>992</v>
      </c>
      <c r="L572" t="s">
        <v>992</v>
      </c>
      <c r="M572" t="s">
        <v>992</v>
      </c>
      <c r="N572" t="s">
        <v>992</v>
      </c>
      <c r="O572" t="s">
        <v>992</v>
      </c>
      <c r="P572" t="s">
        <v>992</v>
      </c>
      <c r="Q572" t="b">
        <v>1</v>
      </c>
      <c r="R572" t="b">
        <v>0</v>
      </c>
      <c r="S572" t="s">
        <v>1032</v>
      </c>
      <c r="T572" t="s">
        <v>992</v>
      </c>
      <c r="U572" t="s">
        <v>1140</v>
      </c>
      <c r="V572" t="s">
        <v>995</v>
      </c>
      <c r="W572" t="s">
        <v>2192</v>
      </c>
      <c r="X572" t="s">
        <v>2355</v>
      </c>
    </row>
    <row r="573" spans="1:24" x14ac:dyDescent="0.25">
      <c r="A573" t="s">
        <v>44</v>
      </c>
      <c r="B573" t="s">
        <v>1249</v>
      </c>
      <c r="C573" t="s">
        <v>2353</v>
      </c>
      <c r="D573" t="s">
        <v>44</v>
      </c>
      <c r="E573" t="s">
        <v>1007</v>
      </c>
      <c r="F573">
        <v>6700</v>
      </c>
      <c r="G573" t="s">
        <v>2190</v>
      </c>
      <c r="H573" t="s">
        <v>2360</v>
      </c>
      <c r="I573" t="s">
        <v>2353</v>
      </c>
      <c r="J573" t="s">
        <v>2190</v>
      </c>
      <c r="K573" t="s">
        <v>992</v>
      </c>
      <c r="L573" t="s">
        <v>992</v>
      </c>
      <c r="M573" t="s">
        <v>992</v>
      </c>
      <c r="N573" t="s">
        <v>992</v>
      </c>
      <c r="O573" t="s">
        <v>992</v>
      </c>
      <c r="P573" t="s">
        <v>992</v>
      </c>
      <c r="Q573" t="b">
        <v>1</v>
      </c>
      <c r="R573" t="b">
        <v>0</v>
      </c>
      <c r="S573" t="s">
        <v>1032</v>
      </c>
      <c r="T573" t="s">
        <v>992</v>
      </c>
      <c r="U573" t="s">
        <v>1140</v>
      </c>
      <c r="V573" t="s">
        <v>995</v>
      </c>
      <c r="W573" t="s">
        <v>2192</v>
      </c>
      <c r="X573" t="s">
        <v>2355</v>
      </c>
    </row>
    <row r="574" spans="1:24" x14ac:dyDescent="0.25">
      <c r="A574" t="s">
        <v>44</v>
      </c>
      <c r="B574" t="s">
        <v>1252</v>
      </c>
      <c r="C574" t="s">
        <v>2353</v>
      </c>
      <c r="D574" t="s">
        <v>44</v>
      </c>
      <c r="E574" t="s">
        <v>1009</v>
      </c>
      <c r="F574">
        <v>5562</v>
      </c>
      <c r="G574" t="s">
        <v>2190</v>
      </c>
      <c r="H574" t="s">
        <v>2361</v>
      </c>
      <c r="I574" t="s">
        <v>2353</v>
      </c>
      <c r="J574" t="s">
        <v>2190</v>
      </c>
      <c r="K574" t="s">
        <v>992</v>
      </c>
      <c r="L574" t="s">
        <v>992</v>
      </c>
      <c r="M574" t="s">
        <v>992</v>
      </c>
      <c r="N574" t="s">
        <v>992</v>
      </c>
      <c r="O574" t="s">
        <v>992</v>
      </c>
      <c r="P574" t="s">
        <v>992</v>
      </c>
      <c r="Q574" t="b">
        <v>1</v>
      </c>
      <c r="R574" t="b">
        <v>0</v>
      </c>
      <c r="S574" t="s">
        <v>1032</v>
      </c>
      <c r="T574" t="s">
        <v>992</v>
      </c>
      <c r="U574" t="s">
        <v>1140</v>
      </c>
      <c r="V574" t="s">
        <v>995</v>
      </c>
      <c r="W574" t="s">
        <v>2192</v>
      </c>
      <c r="X574" t="s">
        <v>2355</v>
      </c>
    </row>
    <row r="575" spans="1:24" x14ac:dyDescent="0.25">
      <c r="A575" t="s">
        <v>44</v>
      </c>
      <c r="B575" t="s">
        <v>1255</v>
      </c>
      <c r="C575" t="s">
        <v>2353</v>
      </c>
      <c r="D575" t="s">
        <v>44</v>
      </c>
      <c r="E575" t="s">
        <v>1011</v>
      </c>
      <c r="F575">
        <v>6198</v>
      </c>
      <c r="G575" t="s">
        <v>2190</v>
      </c>
      <c r="H575" t="s">
        <v>2362</v>
      </c>
      <c r="I575" t="s">
        <v>2353</v>
      </c>
      <c r="J575" t="s">
        <v>2190</v>
      </c>
      <c r="K575" t="s">
        <v>992</v>
      </c>
      <c r="L575" t="s">
        <v>992</v>
      </c>
      <c r="M575" t="s">
        <v>992</v>
      </c>
      <c r="N575" t="s">
        <v>992</v>
      </c>
      <c r="O575" t="s">
        <v>992</v>
      </c>
      <c r="P575" t="s">
        <v>992</v>
      </c>
      <c r="Q575" t="b">
        <v>1</v>
      </c>
      <c r="R575" t="b">
        <v>0</v>
      </c>
      <c r="S575" t="s">
        <v>1032</v>
      </c>
      <c r="T575" t="s">
        <v>992</v>
      </c>
      <c r="U575" t="s">
        <v>1140</v>
      </c>
      <c r="V575" t="s">
        <v>995</v>
      </c>
      <c r="W575" t="s">
        <v>2192</v>
      </c>
      <c r="X575" t="s">
        <v>2355</v>
      </c>
    </row>
    <row r="576" spans="1:24" x14ac:dyDescent="0.25">
      <c r="A576" t="s">
        <v>44</v>
      </c>
      <c r="B576" t="s">
        <v>1258</v>
      </c>
      <c r="C576" t="s">
        <v>2353</v>
      </c>
      <c r="D576" t="s">
        <v>44</v>
      </c>
      <c r="E576" t="s">
        <v>1013</v>
      </c>
      <c r="F576">
        <v>8160</v>
      </c>
      <c r="G576" t="s">
        <v>2190</v>
      </c>
      <c r="H576" t="s">
        <v>2363</v>
      </c>
      <c r="I576" t="s">
        <v>2353</v>
      </c>
      <c r="J576" t="s">
        <v>2190</v>
      </c>
      <c r="K576" t="s">
        <v>992</v>
      </c>
      <c r="L576" t="s">
        <v>992</v>
      </c>
      <c r="M576" t="s">
        <v>992</v>
      </c>
      <c r="N576" t="s">
        <v>992</v>
      </c>
      <c r="O576" t="s">
        <v>992</v>
      </c>
      <c r="P576" t="s">
        <v>992</v>
      </c>
      <c r="Q576" t="b">
        <v>1</v>
      </c>
      <c r="R576" t="b">
        <v>0</v>
      </c>
      <c r="S576" t="s">
        <v>1032</v>
      </c>
      <c r="T576" t="s">
        <v>992</v>
      </c>
      <c r="U576" t="s">
        <v>1140</v>
      </c>
      <c r="V576" t="s">
        <v>995</v>
      </c>
      <c r="W576" t="s">
        <v>2192</v>
      </c>
      <c r="X576" t="s">
        <v>2355</v>
      </c>
    </row>
    <row r="577" spans="1:24" x14ac:dyDescent="0.25">
      <c r="A577" t="s">
        <v>44</v>
      </c>
      <c r="B577" t="s">
        <v>1261</v>
      </c>
      <c r="C577" t="s">
        <v>2353</v>
      </c>
      <c r="D577" t="s">
        <v>44</v>
      </c>
      <c r="E577" t="s">
        <v>1015</v>
      </c>
      <c r="F577">
        <v>6626</v>
      </c>
      <c r="G577" t="s">
        <v>2190</v>
      </c>
      <c r="H577" t="s">
        <v>2364</v>
      </c>
      <c r="I577" t="s">
        <v>2353</v>
      </c>
      <c r="J577" t="s">
        <v>2190</v>
      </c>
      <c r="K577" t="s">
        <v>992</v>
      </c>
      <c r="L577" t="s">
        <v>992</v>
      </c>
      <c r="M577" t="s">
        <v>992</v>
      </c>
      <c r="N577" t="s">
        <v>992</v>
      </c>
      <c r="O577" t="s">
        <v>992</v>
      </c>
      <c r="P577" t="s">
        <v>992</v>
      </c>
      <c r="Q577" t="b">
        <v>1</v>
      </c>
      <c r="R577" t="b">
        <v>0</v>
      </c>
      <c r="S577" t="s">
        <v>1032</v>
      </c>
      <c r="T577" t="s">
        <v>992</v>
      </c>
      <c r="U577" t="s">
        <v>1140</v>
      </c>
      <c r="V577" t="s">
        <v>995</v>
      </c>
      <c r="W577" t="s">
        <v>2192</v>
      </c>
      <c r="X577" t="s">
        <v>2355</v>
      </c>
    </row>
    <row r="578" spans="1:24" x14ac:dyDescent="0.25">
      <c r="A578" t="s">
        <v>44</v>
      </c>
      <c r="B578" t="s">
        <v>1264</v>
      </c>
      <c r="C578" t="s">
        <v>2353</v>
      </c>
      <c r="D578" t="s">
        <v>44</v>
      </c>
      <c r="E578" t="s">
        <v>1017</v>
      </c>
      <c r="F578">
        <v>5822</v>
      </c>
      <c r="G578" t="s">
        <v>2190</v>
      </c>
      <c r="H578" t="s">
        <v>2365</v>
      </c>
      <c r="I578" t="s">
        <v>2353</v>
      </c>
      <c r="J578" t="s">
        <v>2190</v>
      </c>
      <c r="K578" t="s">
        <v>992</v>
      </c>
      <c r="L578" t="s">
        <v>992</v>
      </c>
      <c r="M578" t="s">
        <v>992</v>
      </c>
      <c r="N578" t="s">
        <v>992</v>
      </c>
      <c r="O578" t="s">
        <v>992</v>
      </c>
      <c r="P578" t="s">
        <v>992</v>
      </c>
      <c r="Q578" t="b">
        <v>1</v>
      </c>
      <c r="R578" t="b">
        <v>0</v>
      </c>
      <c r="S578" t="s">
        <v>1032</v>
      </c>
      <c r="T578" t="s">
        <v>992</v>
      </c>
      <c r="U578" t="s">
        <v>1140</v>
      </c>
      <c r="V578" t="s">
        <v>995</v>
      </c>
      <c r="W578" t="s">
        <v>2192</v>
      </c>
      <c r="X578" t="s">
        <v>2355</v>
      </c>
    </row>
    <row r="579" spans="1:24" x14ac:dyDescent="0.25">
      <c r="A579" t="s">
        <v>44</v>
      </c>
      <c r="B579" t="s">
        <v>1267</v>
      </c>
      <c r="C579" t="s">
        <v>2353</v>
      </c>
      <c r="D579" t="s">
        <v>44</v>
      </c>
      <c r="E579" t="s">
        <v>1019</v>
      </c>
      <c r="F579">
        <v>6309</v>
      </c>
      <c r="G579" t="s">
        <v>2190</v>
      </c>
      <c r="H579" t="s">
        <v>2366</v>
      </c>
      <c r="I579" t="s">
        <v>2353</v>
      </c>
      <c r="J579" t="s">
        <v>2190</v>
      </c>
      <c r="K579" t="s">
        <v>992</v>
      </c>
      <c r="L579" t="s">
        <v>992</v>
      </c>
      <c r="M579" t="s">
        <v>992</v>
      </c>
      <c r="N579" t="s">
        <v>992</v>
      </c>
      <c r="O579" t="s">
        <v>992</v>
      </c>
      <c r="P579" t="s">
        <v>992</v>
      </c>
      <c r="Q579" t="b">
        <v>1</v>
      </c>
      <c r="R579" t="b">
        <v>0</v>
      </c>
      <c r="S579" t="s">
        <v>1032</v>
      </c>
      <c r="T579" t="s">
        <v>992</v>
      </c>
      <c r="U579" t="s">
        <v>1140</v>
      </c>
      <c r="V579" t="s">
        <v>995</v>
      </c>
      <c r="W579" t="s">
        <v>2192</v>
      </c>
      <c r="X579" t="s">
        <v>2355</v>
      </c>
    </row>
    <row r="580" spans="1:24" x14ac:dyDescent="0.25">
      <c r="A580" t="s">
        <v>44</v>
      </c>
      <c r="B580" t="s">
        <v>1270</v>
      </c>
      <c r="C580" t="s">
        <v>2353</v>
      </c>
      <c r="D580" t="s">
        <v>44</v>
      </c>
      <c r="E580" t="s">
        <v>1021</v>
      </c>
      <c r="F580">
        <v>11792</v>
      </c>
      <c r="G580" t="s">
        <v>2190</v>
      </c>
      <c r="H580" t="s">
        <v>2367</v>
      </c>
      <c r="I580" t="s">
        <v>2353</v>
      </c>
      <c r="J580" t="s">
        <v>2190</v>
      </c>
      <c r="K580" t="s">
        <v>992</v>
      </c>
      <c r="L580" t="s">
        <v>992</v>
      </c>
      <c r="M580" t="s">
        <v>992</v>
      </c>
      <c r="N580" t="s">
        <v>992</v>
      </c>
      <c r="O580" t="s">
        <v>992</v>
      </c>
      <c r="P580" t="s">
        <v>992</v>
      </c>
      <c r="Q580" t="b">
        <v>1</v>
      </c>
      <c r="R580" t="b">
        <v>0</v>
      </c>
      <c r="S580" t="s">
        <v>1032</v>
      </c>
      <c r="T580" t="s">
        <v>992</v>
      </c>
      <c r="U580" t="s">
        <v>1140</v>
      </c>
      <c r="V580" t="s">
        <v>995</v>
      </c>
      <c r="W580" t="s">
        <v>2192</v>
      </c>
      <c r="X580" t="s">
        <v>2355</v>
      </c>
    </row>
    <row r="581" spans="1:24" x14ac:dyDescent="0.25">
      <c r="A581" t="s">
        <v>44</v>
      </c>
      <c r="B581" t="s">
        <v>1273</v>
      </c>
      <c r="C581" t="s">
        <v>2353</v>
      </c>
      <c r="D581" t="s">
        <v>44</v>
      </c>
      <c r="E581" t="s">
        <v>1130</v>
      </c>
      <c r="F581">
        <v>9189</v>
      </c>
      <c r="G581" t="s">
        <v>2190</v>
      </c>
      <c r="H581" t="s">
        <v>2368</v>
      </c>
      <c r="I581" t="s">
        <v>2353</v>
      </c>
      <c r="J581" t="s">
        <v>2190</v>
      </c>
      <c r="K581" t="s">
        <v>992</v>
      </c>
      <c r="L581" t="s">
        <v>992</v>
      </c>
      <c r="M581" t="s">
        <v>992</v>
      </c>
      <c r="N581" t="s">
        <v>992</v>
      </c>
      <c r="O581" t="s">
        <v>992</v>
      </c>
      <c r="P581" t="s">
        <v>992</v>
      </c>
      <c r="Q581" t="b">
        <v>1</v>
      </c>
      <c r="R581" t="b">
        <v>0</v>
      </c>
      <c r="S581" t="s">
        <v>1032</v>
      </c>
      <c r="T581" t="s">
        <v>992</v>
      </c>
      <c r="U581" t="s">
        <v>1140</v>
      </c>
      <c r="V581" t="s">
        <v>995</v>
      </c>
      <c r="W581" t="s">
        <v>2192</v>
      </c>
      <c r="X581" t="s">
        <v>2355</v>
      </c>
    </row>
    <row r="582" spans="1:24" x14ac:dyDescent="0.25">
      <c r="A582" t="s">
        <v>44</v>
      </c>
      <c r="B582" t="s">
        <v>2369</v>
      </c>
      <c r="C582" t="s">
        <v>2370</v>
      </c>
      <c r="D582" t="s">
        <v>44</v>
      </c>
      <c r="E582" t="s">
        <v>990</v>
      </c>
      <c r="F582">
        <v>3236</v>
      </c>
      <c r="G582" t="s">
        <v>2190</v>
      </c>
      <c r="H582" t="s">
        <v>2371</v>
      </c>
      <c r="I582" t="s">
        <v>2370</v>
      </c>
      <c r="J582" t="s">
        <v>2190</v>
      </c>
      <c r="K582" t="s">
        <v>992</v>
      </c>
      <c r="L582" t="s">
        <v>992</v>
      </c>
      <c r="M582" t="s">
        <v>992</v>
      </c>
      <c r="N582" t="s">
        <v>992</v>
      </c>
      <c r="O582" t="s">
        <v>992</v>
      </c>
      <c r="P582" t="s">
        <v>992</v>
      </c>
      <c r="Q582" t="b">
        <v>1</v>
      </c>
      <c r="R582" t="b">
        <v>0</v>
      </c>
      <c r="S582" t="s">
        <v>1032</v>
      </c>
      <c r="T582" t="s">
        <v>992</v>
      </c>
      <c r="U582" t="s">
        <v>1140</v>
      </c>
      <c r="V582" t="s">
        <v>995</v>
      </c>
      <c r="W582" t="s">
        <v>2192</v>
      </c>
      <c r="X582" t="s">
        <v>2372</v>
      </c>
    </row>
    <row r="583" spans="1:24" x14ac:dyDescent="0.25">
      <c r="A583" t="s">
        <v>44</v>
      </c>
      <c r="B583" t="s">
        <v>2373</v>
      </c>
      <c r="C583" t="s">
        <v>2370</v>
      </c>
      <c r="D583" t="s">
        <v>44</v>
      </c>
      <c r="E583" t="s">
        <v>999</v>
      </c>
      <c r="F583">
        <v>3394</v>
      </c>
      <c r="G583" t="s">
        <v>2190</v>
      </c>
      <c r="H583" t="s">
        <v>2374</v>
      </c>
      <c r="I583" t="s">
        <v>2370</v>
      </c>
      <c r="J583" t="s">
        <v>2190</v>
      </c>
      <c r="K583" t="s">
        <v>992</v>
      </c>
      <c r="L583" t="s">
        <v>992</v>
      </c>
      <c r="M583" t="s">
        <v>992</v>
      </c>
      <c r="N583" t="s">
        <v>992</v>
      </c>
      <c r="O583" t="s">
        <v>992</v>
      </c>
      <c r="P583" t="s">
        <v>992</v>
      </c>
      <c r="Q583" t="b">
        <v>1</v>
      </c>
      <c r="R583" t="b">
        <v>0</v>
      </c>
      <c r="S583" t="s">
        <v>1032</v>
      </c>
      <c r="T583" t="s">
        <v>992</v>
      </c>
      <c r="U583" t="s">
        <v>1140</v>
      </c>
      <c r="V583" t="s">
        <v>995</v>
      </c>
      <c r="W583" t="s">
        <v>2192</v>
      </c>
      <c r="X583" t="s">
        <v>2372</v>
      </c>
    </row>
    <row r="584" spans="1:24" x14ac:dyDescent="0.25">
      <c r="A584" t="s">
        <v>44</v>
      </c>
      <c r="B584" t="s">
        <v>2375</v>
      </c>
      <c r="C584" t="s">
        <v>2370</v>
      </c>
      <c r="D584" t="s">
        <v>44</v>
      </c>
      <c r="E584" t="s">
        <v>1001</v>
      </c>
      <c r="F584">
        <v>2443</v>
      </c>
      <c r="G584" t="s">
        <v>2190</v>
      </c>
      <c r="H584" t="s">
        <v>2376</v>
      </c>
      <c r="I584" t="s">
        <v>2370</v>
      </c>
      <c r="J584" t="s">
        <v>2190</v>
      </c>
      <c r="K584" t="s">
        <v>992</v>
      </c>
      <c r="L584" t="s">
        <v>992</v>
      </c>
      <c r="M584" t="s">
        <v>992</v>
      </c>
      <c r="N584" t="s">
        <v>992</v>
      </c>
      <c r="O584" t="s">
        <v>992</v>
      </c>
      <c r="P584" t="s">
        <v>992</v>
      </c>
      <c r="Q584" t="b">
        <v>1</v>
      </c>
      <c r="R584" t="b">
        <v>0</v>
      </c>
      <c r="S584" t="s">
        <v>1032</v>
      </c>
      <c r="T584" t="s">
        <v>992</v>
      </c>
      <c r="U584" t="s">
        <v>1140</v>
      </c>
      <c r="V584" t="s">
        <v>995</v>
      </c>
      <c r="W584" t="s">
        <v>2192</v>
      </c>
      <c r="X584" t="s">
        <v>2372</v>
      </c>
    </row>
    <row r="585" spans="1:24" x14ac:dyDescent="0.25">
      <c r="A585" t="s">
        <v>44</v>
      </c>
      <c r="B585" t="s">
        <v>2377</v>
      </c>
      <c r="C585" t="s">
        <v>2370</v>
      </c>
      <c r="D585" t="s">
        <v>44</v>
      </c>
      <c r="E585" t="s">
        <v>1003</v>
      </c>
      <c r="F585">
        <v>2815</v>
      </c>
      <c r="G585" t="s">
        <v>2190</v>
      </c>
      <c r="H585" t="s">
        <v>2378</v>
      </c>
      <c r="I585" t="s">
        <v>2370</v>
      </c>
      <c r="J585" t="s">
        <v>2190</v>
      </c>
      <c r="K585" t="s">
        <v>992</v>
      </c>
      <c r="L585" t="s">
        <v>992</v>
      </c>
      <c r="M585" t="s">
        <v>992</v>
      </c>
      <c r="N585" t="s">
        <v>992</v>
      </c>
      <c r="O585" t="s">
        <v>992</v>
      </c>
      <c r="P585" t="s">
        <v>992</v>
      </c>
      <c r="Q585" t="b">
        <v>1</v>
      </c>
      <c r="R585" t="b">
        <v>0</v>
      </c>
      <c r="S585" t="s">
        <v>1032</v>
      </c>
      <c r="T585" t="s">
        <v>992</v>
      </c>
      <c r="U585" t="s">
        <v>1140</v>
      </c>
      <c r="V585" t="s">
        <v>995</v>
      </c>
      <c r="W585" t="s">
        <v>2192</v>
      </c>
      <c r="X585" t="s">
        <v>2372</v>
      </c>
    </row>
    <row r="586" spans="1:24" x14ac:dyDescent="0.25">
      <c r="A586" t="s">
        <v>44</v>
      </c>
      <c r="B586" t="s">
        <v>2379</v>
      </c>
      <c r="C586" t="s">
        <v>2370</v>
      </c>
      <c r="D586" t="s">
        <v>44</v>
      </c>
      <c r="E586" t="s">
        <v>1005</v>
      </c>
      <c r="F586">
        <v>3819</v>
      </c>
      <c r="G586" t="s">
        <v>2190</v>
      </c>
      <c r="H586" t="s">
        <v>2380</v>
      </c>
      <c r="I586" t="s">
        <v>2370</v>
      </c>
      <c r="J586" t="s">
        <v>2190</v>
      </c>
      <c r="K586" t="s">
        <v>992</v>
      </c>
      <c r="L586" t="s">
        <v>992</v>
      </c>
      <c r="M586" t="s">
        <v>992</v>
      </c>
      <c r="N586" t="s">
        <v>992</v>
      </c>
      <c r="O586" t="s">
        <v>992</v>
      </c>
      <c r="P586" t="s">
        <v>992</v>
      </c>
      <c r="Q586" t="b">
        <v>1</v>
      </c>
      <c r="R586" t="b">
        <v>0</v>
      </c>
      <c r="S586" t="s">
        <v>1032</v>
      </c>
      <c r="T586" t="s">
        <v>992</v>
      </c>
      <c r="U586" t="s">
        <v>1140</v>
      </c>
      <c r="V586" t="s">
        <v>995</v>
      </c>
      <c r="W586" t="s">
        <v>2192</v>
      </c>
      <c r="X586" t="s">
        <v>2372</v>
      </c>
    </row>
    <row r="587" spans="1:24" x14ac:dyDescent="0.25">
      <c r="A587" t="s">
        <v>44</v>
      </c>
      <c r="B587" t="s">
        <v>2381</v>
      </c>
      <c r="C587" t="s">
        <v>2370</v>
      </c>
      <c r="D587" t="s">
        <v>44</v>
      </c>
      <c r="E587" t="s">
        <v>1007</v>
      </c>
      <c r="F587">
        <v>3135</v>
      </c>
      <c r="G587" t="s">
        <v>2190</v>
      </c>
      <c r="H587" t="s">
        <v>2382</v>
      </c>
      <c r="I587" t="s">
        <v>2370</v>
      </c>
      <c r="J587" t="s">
        <v>2190</v>
      </c>
      <c r="K587" t="s">
        <v>992</v>
      </c>
      <c r="L587" t="s">
        <v>992</v>
      </c>
      <c r="M587" t="s">
        <v>992</v>
      </c>
      <c r="N587" t="s">
        <v>992</v>
      </c>
      <c r="O587" t="s">
        <v>992</v>
      </c>
      <c r="P587" t="s">
        <v>992</v>
      </c>
      <c r="Q587" t="b">
        <v>1</v>
      </c>
      <c r="R587" t="b">
        <v>0</v>
      </c>
      <c r="S587" t="s">
        <v>1032</v>
      </c>
      <c r="T587" t="s">
        <v>992</v>
      </c>
      <c r="U587" t="s">
        <v>1140</v>
      </c>
      <c r="V587" t="s">
        <v>995</v>
      </c>
      <c r="W587" t="s">
        <v>2192</v>
      </c>
      <c r="X587" t="s">
        <v>2372</v>
      </c>
    </row>
    <row r="588" spans="1:24" x14ac:dyDescent="0.25">
      <c r="A588" t="s">
        <v>44</v>
      </c>
      <c r="B588" t="s">
        <v>2383</v>
      </c>
      <c r="C588" t="s">
        <v>2370</v>
      </c>
      <c r="D588" t="s">
        <v>44</v>
      </c>
      <c r="E588" t="s">
        <v>1009</v>
      </c>
      <c r="F588">
        <v>2544</v>
      </c>
      <c r="G588" t="s">
        <v>2190</v>
      </c>
      <c r="H588" t="s">
        <v>2384</v>
      </c>
      <c r="I588" t="s">
        <v>2370</v>
      </c>
      <c r="J588" t="s">
        <v>2190</v>
      </c>
      <c r="K588" t="s">
        <v>992</v>
      </c>
      <c r="L588" t="s">
        <v>992</v>
      </c>
      <c r="M588" t="s">
        <v>992</v>
      </c>
      <c r="N588" t="s">
        <v>992</v>
      </c>
      <c r="O588" t="s">
        <v>992</v>
      </c>
      <c r="P588" t="s">
        <v>992</v>
      </c>
      <c r="Q588" t="b">
        <v>1</v>
      </c>
      <c r="R588" t="b">
        <v>0</v>
      </c>
      <c r="S588" t="s">
        <v>1032</v>
      </c>
      <c r="T588" t="s">
        <v>992</v>
      </c>
      <c r="U588" t="s">
        <v>1140</v>
      </c>
      <c r="V588" t="s">
        <v>995</v>
      </c>
      <c r="W588" t="s">
        <v>2192</v>
      </c>
      <c r="X588" t="s">
        <v>2372</v>
      </c>
    </row>
    <row r="589" spans="1:24" x14ac:dyDescent="0.25">
      <c r="A589" t="s">
        <v>44</v>
      </c>
      <c r="B589" t="s">
        <v>2385</v>
      </c>
      <c r="C589" t="s">
        <v>2370</v>
      </c>
      <c r="D589" t="s">
        <v>44</v>
      </c>
      <c r="E589" t="s">
        <v>1011</v>
      </c>
      <c r="F589">
        <v>2956</v>
      </c>
      <c r="G589" t="s">
        <v>2190</v>
      </c>
      <c r="H589" t="s">
        <v>2386</v>
      </c>
      <c r="I589" t="s">
        <v>2370</v>
      </c>
      <c r="J589" t="s">
        <v>2190</v>
      </c>
      <c r="K589" t="s">
        <v>992</v>
      </c>
      <c r="L589" t="s">
        <v>992</v>
      </c>
      <c r="M589" t="s">
        <v>992</v>
      </c>
      <c r="N589" t="s">
        <v>992</v>
      </c>
      <c r="O589" t="s">
        <v>992</v>
      </c>
      <c r="P589" t="s">
        <v>992</v>
      </c>
      <c r="Q589" t="b">
        <v>1</v>
      </c>
      <c r="R589" t="b">
        <v>0</v>
      </c>
      <c r="S589" t="s">
        <v>1032</v>
      </c>
      <c r="T589" t="s">
        <v>992</v>
      </c>
      <c r="U589" t="s">
        <v>1140</v>
      </c>
      <c r="V589" t="s">
        <v>995</v>
      </c>
      <c r="W589" t="s">
        <v>2192</v>
      </c>
      <c r="X589" t="s">
        <v>2372</v>
      </c>
    </row>
    <row r="590" spans="1:24" x14ac:dyDescent="0.25">
      <c r="A590" t="s">
        <v>44</v>
      </c>
      <c r="B590" t="s">
        <v>2387</v>
      </c>
      <c r="C590" t="s">
        <v>2370</v>
      </c>
      <c r="D590" t="s">
        <v>44</v>
      </c>
      <c r="E590" t="s">
        <v>1013</v>
      </c>
      <c r="F590">
        <v>4314</v>
      </c>
      <c r="G590" t="s">
        <v>2190</v>
      </c>
      <c r="H590" t="s">
        <v>2388</v>
      </c>
      <c r="I590" t="s">
        <v>2370</v>
      </c>
      <c r="J590" t="s">
        <v>2190</v>
      </c>
      <c r="K590" t="s">
        <v>992</v>
      </c>
      <c r="L590" t="s">
        <v>992</v>
      </c>
      <c r="M590" t="s">
        <v>992</v>
      </c>
      <c r="N590" t="s">
        <v>992</v>
      </c>
      <c r="O590" t="s">
        <v>992</v>
      </c>
      <c r="P590" t="s">
        <v>992</v>
      </c>
      <c r="Q590" t="b">
        <v>1</v>
      </c>
      <c r="R590" t="b">
        <v>0</v>
      </c>
      <c r="S590" t="s">
        <v>1032</v>
      </c>
      <c r="T590" t="s">
        <v>992</v>
      </c>
      <c r="U590" t="s">
        <v>1140</v>
      </c>
      <c r="V590" t="s">
        <v>995</v>
      </c>
      <c r="W590" t="s">
        <v>2192</v>
      </c>
      <c r="X590" t="s">
        <v>2372</v>
      </c>
    </row>
    <row r="591" spans="1:24" x14ac:dyDescent="0.25">
      <c r="A591" t="s">
        <v>44</v>
      </c>
      <c r="B591" t="s">
        <v>2389</v>
      </c>
      <c r="C591" t="s">
        <v>2370</v>
      </c>
      <c r="D591" t="s">
        <v>44</v>
      </c>
      <c r="E591" t="s">
        <v>1015</v>
      </c>
      <c r="F591">
        <v>3434</v>
      </c>
      <c r="G591" t="s">
        <v>2190</v>
      </c>
      <c r="H591" t="s">
        <v>2390</v>
      </c>
      <c r="I591" t="s">
        <v>2370</v>
      </c>
      <c r="J591" t="s">
        <v>2190</v>
      </c>
      <c r="K591" t="s">
        <v>992</v>
      </c>
      <c r="L591" t="s">
        <v>992</v>
      </c>
      <c r="M591" t="s">
        <v>992</v>
      </c>
      <c r="N591" t="s">
        <v>992</v>
      </c>
      <c r="O591" t="s">
        <v>992</v>
      </c>
      <c r="P591" t="s">
        <v>992</v>
      </c>
      <c r="Q591" t="b">
        <v>1</v>
      </c>
      <c r="R591" t="b">
        <v>0</v>
      </c>
      <c r="S591" t="s">
        <v>1032</v>
      </c>
      <c r="T591" t="s">
        <v>992</v>
      </c>
      <c r="U591" t="s">
        <v>1140</v>
      </c>
      <c r="V591" t="s">
        <v>995</v>
      </c>
      <c r="W591" t="s">
        <v>2192</v>
      </c>
      <c r="X591" t="s">
        <v>2372</v>
      </c>
    </row>
    <row r="592" spans="1:24" x14ac:dyDescent="0.25">
      <c r="A592" t="s">
        <v>44</v>
      </c>
      <c r="B592" t="s">
        <v>2391</v>
      </c>
      <c r="C592" t="s">
        <v>2370</v>
      </c>
      <c r="D592" t="s">
        <v>44</v>
      </c>
      <c r="E592" t="s">
        <v>1017</v>
      </c>
      <c r="F592">
        <v>2872</v>
      </c>
      <c r="G592" t="s">
        <v>2190</v>
      </c>
      <c r="H592" t="s">
        <v>2392</v>
      </c>
      <c r="I592" t="s">
        <v>2370</v>
      </c>
      <c r="J592" t="s">
        <v>2190</v>
      </c>
      <c r="K592" t="s">
        <v>992</v>
      </c>
      <c r="L592" t="s">
        <v>992</v>
      </c>
      <c r="M592" t="s">
        <v>992</v>
      </c>
      <c r="N592" t="s">
        <v>992</v>
      </c>
      <c r="O592" t="s">
        <v>992</v>
      </c>
      <c r="P592" t="s">
        <v>992</v>
      </c>
      <c r="Q592" t="b">
        <v>1</v>
      </c>
      <c r="R592" t="b">
        <v>0</v>
      </c>
      <c r="S592" t="s">
        <v>1032</v>
      </c>
      <c r="T592" t="s">
        <v>992</v>
      </c>
      <c r="U592" t="s">
        <v>1140</v>
      </c>
      <c r="V592" t="s">
        <v>995</v>
      </c>
      <c r="W592" t="s">
        <v>2192</v>
      </c>
      <c r="X592" t="s">
        <v>2372</v>
      </c>
    </row>
    <row r="593" spans="1:24" x14ac:dyDescent="0.25">
      <c r="A593" t="s">
        <v>44</v>
      </c>
      <c r="B593" t="s">
        <v>2393</v>
      </c>
      <c r="C593" t="s">
        <v>2370</v>
      </c>
      <c r="D593" t="s">
        <v>44</v>
      </c>
      <c r="E593" t="s">
        <v>1019</v>
      </c>
      <c r="F593">
        <v>3335</v>
      </c>
      <c r="G593" t="s">
        <v>2190</v>
      </c>
      <c r="H593" t="s">
        <v>2394</v>
      </c>
      <c r="I593" t="s">
        <v>2370</v>
      </c>
      <c r="J593" t="s">
        <v>2190</v>
      </c>
      <c r="K593" t="s">
        <v>992</v>
      </c>
      <c r="L593" t="s">
        <v>992</v>
      </c>
      <c r="M593" t="s">
        <v>992</v>
      </c>
      <c r="N593" t="s">
        <v>992</v>
      </c>
      <c r="O593" t="s">
        <v>992</v>
      </c>
      <c r="P593" t="s">
        <v>992</v>
      </c>
      <c r="Q593" t="b">
        <v>1</v>
      </c>
      <c r="R593" t="b">
        <v>0</v>
      </c>
      <c r="S593" t="s">
        <v>1032</v>
      </c>
      <c r="T593" t="s">
        <v>992</v>
      </c>
      <c r="U593" t="s">
        <v>1140</v>
      </c>
      <c r="V593" t="s">
        <v>995</v>
      </c>
      <c r="W593" t="s">
        <v>2192</v>
      </c>
      <c r="X593" t="s">
        <v>2372</v>
      </c>
    </row>
    <row r="594" spans="1:24" x14ac:dyDescent="0.25">
      <c r="A594" t="s">
        <v>44</v>
      </c>
      <c r="B594" t="s">
        <v>2395</v>
      </c>
      <c r="C594" t="s">
        <v>2370</v>
      </c>
      <c r="D594" t="s">
        <v>44</v>
      </c>
      <c r="E594" t="s">
        <v>1021</v>
      </c>
      <c r="F594">
        <v>4613</v>
      </c>
      <c r="G594" t="s">
        <v>2190</v>
      </c>
      <c r="H594" t="s">
        <v>2396</v>
      </c>
      <c r="I594" t="s">
        <v>2370</v>
      </c>
      <c r="J594" t="s">
        <v>2190</v>
      </c>
      <c r="K594" t="s">
        <v>992</v>
      </c>
      <c r="L594" t="s">
        <v>992</v>
      </c>
      <c r="M594" t="s">
        <v>992</v>
      </c>
      <c r="N594" t="s">
        <v>992</v>
      </c>
      <c r="O594" t="s">
        <v>992</v>
      </c>
      <c r="P594" t="s">
        <v>992</v>
      </c>
      <c r="Q594" t="b">
        <v>1</v>
      </c>
      <c r="R594" t="b">
        <v>0</v>
      </c>
      <c r="S594" t="s">
        <v>1032</v>
      </c>
      <c r="T594" t="s">
        <v>992</v>
      </c>
      <c r="U594" t="s">
        <v>1140</v>
      </c>
      <c r="V594" t="s">
        <v>995</v>
      </c>
      <c r="W594" t="s">
        <v>2192</v>
      </c>
      <c r="X594" t="s">
        <v>2372</v>
      </c>
    </row>
    <row r="595" spans="1:24" x14ac:dyDescent="0.25">
      <c r="A595" t="s">
        <v>44</v>
      </c>
      <c r="B595" t="s">
        <v>2397</v>
      </c>
      <c r="C595" t="s">
        <v>2370</v>
      </c>
      <c r="D595" t="s">
        <v>44</v>
      </c>
      <c r="E595" t="s">
        <v>1130</v>
      </c>
      <c r="F595">
        <v>3839</v>
      </c>
      <c r="G595" t="s">
        <v>2190</v>
      </c>
      <c r="H595" t="s">
        <v>2398</v>
      </c>
      <c r="I595" t="s">
        <v>2370</v>
      </c>
      <c r="J595" t="s">
        <v>2190</v>
      </c>
      <c r="K595" t="s">
        <v>992</v>
      </c>
      <c r="L595" t="s">
        <v>992</v>
      </c>
      <c r="M595" t="s">
        <v>992</v>
      </c>
      <c r="N595" t="s">
        <v>992</v>
      </c>
      <c r="O595" t="s">
        <v>992</v>
      </c>
      <c r="P595" t="s">
        <v>992</v>
      </c>
      <c r="Q595" t="b">
        <v>1</v>
      </c>
      <c r="R595" t="b">
        <v>0</v>
      </c>
      <c r="S595" t="s">
        <v>1032</v>
      </c>
      <c r="T595" t="s">
        <v>992</v>
      </c>
      <c r="U595" t="s">
        <v>1140</v>
      </c>
      <c r="V595" t="s">
        <v>995</v>
      </c>
      <c r="W595" t="s">
        <v>2192</v>
      </c>
      <c r="X595" t="s">
        <v>2372</v>
      </c>
    </row>
    <row r="596" spans="1:24" x14ac:dyDescent="0.25">
      <c r="A596" t="s">
        <v>44</v>
      </c>
      <c r="B596" t="s">
        <v>2399</v>
      </c>
      <c r="C596" t="s">
        <v>2400</v>
      </c>
      <c r="E596" t="s">
        <v>990</v>
      </c>
      <c r="F596">
        <v>0</v>
      </c>
      <c r="G596" t="s">
        <v>991</v>
      </c>
      <c r="H596" t="s">
        <v>992</v>
      </c>
      <c r="J596" t="s">
        <v>2190</v>
      </c>
      <c r="K596" t="s">
        <v>992</v>
      </c>
      <c r="L596" t="s">
        <v>992</v>
      </c>
      <c r="Q596" t="b">
        <v>1</v>
      </c>
      <c r="R596" t="b">
        <v>0</v>
      </c>
      <c r="T596" t="s">
        <v>992</v>
      </c>
      <c r="U596" t="s">
        <v>994</v>
      </c>
      <c r="V596" t="s">
        <v>1289</v>
      </c>
      <c r="W596" t="s">
        <v>2401</v>
      </c>
      <c r="X596" t="s">
        <v>2402</v>
      </c>
    </row>
    <row r="597" spans="1:24" x14ac:dyDescent="0.25">
      <c r="A597" t="s">
        <v>44</v>
      </c>
      <c r="B597" t="s">
        <v>2403</v>
      </c>
      <c r="C597" t="s">
        <v>2400</v>
      </c>
      <c r="E597" t="s">
        <v>999</v>
      </c>
      <c r="F597">
        <v>0</v>
      </c>
      <c r="G597" t="s">
        <v>991</v>
      </c>
      <c r="H597" t="s">
        <v>992</v>
      </c>
      <c r="J597" t="s">
        <v>2190</v>
      </c>
      <c r="K597" t="s">
        <v>992</v>
      </c>
      <c r="L597" t="s">
        <v>992</v>
      </c>
      <c r="Q597" t="b">
        <v>1</v>
      </c>
      <c r="R597" t="b">
        <v>0</v>
      </c>
      <c r="T597" t="s">
        <v>992</v>
      </c>
      <c r="U597" t="s">
        <v>994</v>
      </c>
      <c r="V597" t="s">
        <v>1289</v>
      </c>
      <c r="W597" t="s">
        <v>2401</v>
      </c>
      <c r="X597" t="s">
        <v>2402</v>
      </c>
    </row>
    <row r="598" spans="1:24" x14ac:dyDescent="0.25">
      <c r="A598" t="s">
        <v>44</v>
      </c>
      <c r="B598" t="s">
        <v>2404</v>
      </c>
      <c r="C598" t="s">
        <v>2400</v>
      </c>
      <c r="E598" t="s">
        <v>1001</v>
      </c>
      <c r="F598">
        <v>0</v>
      </c>
      <c r="G598" t="s">
        <v>991</v>
      </c>
      <c r="H598" t="s">
        <v>992</v>
      </c>
      <c r="J598" t="s">
        <v>2190</v>
      </c>
      <c r="K598" t="s">
        <v>992</v>
      </c>
      <c r="L598" t="s">
        <v>992</v>
      </c>
      <c r="Q598" t="b">
        <v>1</v>
      </c>
      <c r="R598" t="b">
        <v>0</v>
      </c>
      <c r="T598" t="s">
        <v>992</v>
      </c>
      <c r="U598" t="s">
        <v>994</v>
      </c>
      <c r="V598" t="s">
        <v>1289</v>
      </c>
      <c r="W598" t="s">
        <v>2401</v>
      </c>
      <c r="X598" t="s">
        <v>2402</v>
      </c>
    </row>
    <row r="599" spans="1:24" x14ac:dyDescent="0.25">
      <c r="A599" t="s">
        <v>44</v>
      </c>
      <c r="B599" t="s">
        <v>2405</v>
      </c>
      <c r="C599" t="s">
        <v>2400</v>
      </c>
      <c r="E599" t="s">
        <v>1003</v>
      </c>
      <c r="F599">
        <v>0</v>
      </c>
      <c r="G599" t="s">
        <v>991</v>
      </c>
      <c r="H599" t="s">
        <v>992</v>
      </c>
      <c r="J599" t="s">
        <v>2190</v>
      </c>
      <c r="K599" t="s">
        <v>992</v>
      </c>
      <c r="L599" t="s">
        <v>992</v>
      </c>
      <c r="Q599" t="b">
        <v>1</v>
      </c>
      <c r="R599" t="b">
        <v>0</v>
      </c>
      <c r="T599" t="s">
        <v>992</v>
      </c>
      <c r="U599" t="s">
        <v>994</v>
      </c>
      <c r="V599" t="s">
        <v>1289</v>
      </c>
      <c r="W599" t="s">
        <v>2401</v>
      </c>
      <c r="X599" t="s">
        <v>2402</v>
      </c>
    </row>
    <row r="600" spans="1:24" x14ac:dyDescent="0.25">
      <c r="A600" t="s">
        <v>44</v>
      </c>
      <c r="B600" t="s">
        <v>2406</v>
      </c>
      <c r="C600" t="s">
        <v>2400</v>
      </c>
      <c r="E600" t="s">
        <v>1005</v>
      </c>
      <c r="F600">
        <v>0</v>
      </c>
      <c r="G600" t="s">
        <v>991</v>
      </c>
      <c r="H600" t="s">
        <v>992</v>
      </c>
      <c r="J600" t="s">
        <v>2190</v>
      </c>
      <c r="K600" t="s">
        <v>992</v>
      </c>
      <c r="L600" t="s">
        <v>992</v>
      </c>
      <c r="Q600" t="b">
        <v>1</v>
      </c>
      <c r="R600" t="b">
        <v>0</v>
      </c>
      <c r="T600" t="s">
        <v>992</v>
      </c>
      <c r="U600" t="s">
        <v>994</v>
      </c>
      <c r="V600" t="s">
        <v>1289</v>
      </c>
      <c r="W600" t="s">
        <v>2401</v>
      </c>
      <c r="X600" t="s">
        <v>2402</v>
      </c>
    </row>
    <row r="601" spans="1:24" x14ac:dyDescent="0.25">
      <c r="A601" t="s">
        <v>44</v>
      </c>
      <c r="B601" t="s">
        <v>2407</v>
      </c>
      <c r="C601" t="s">
        <v>2400</v>
      </c>
      <c r="E601" t="s">
        <v>1007</v>
      </c>
      <c r="F601">
        <v>0</v>
      </c>
      <c r="G601" t="s">
        <v>991</v>
      </c>
      <c r="H601" t="s">
        <v>992</v>
      </c>
      <c r="J601" t="s">
        <v>2190</v>
      </c>
      <c r="K601" t="s">
        <v>992</v>
      </c>
      <c r="L601" t="s">
        <v>992</v>
      </c>
      <c r="Q601" t="b">
        <v>1</v>
      </c>
      <c r="R601" t="b">
        <v>0</v>
      </c>
      <c r="T601" t="s">
        <v>992</v>
      </c>
      <c r="U601" t="s">
        <v>994</v>
      </c>
      <c r="V601" t="s">
        <v>1289</v>
      </c>
      <c r="W601" t="s">
        <v>2401</v>
      </c>
      <c r="X601" t="s">
        <v>2402</v>
      </c>
    </row>
    <row r="602" spans="1:24" x14ac:dyDescent="0.25">
      <c r="A602" t="s">
        <v>44</v>
      </c>
      <c r="B602" t="s">
        <v>2408</v>
      </c>
      <c r="C602" t="s">
        <v>2400</v>
      </c>
      <c r="E602" t="s">
        <v>1009</v>
      </c>
      <c r="F602">
        <v>0</v>
      </c>
      <c r="G602" t="s">
        <v>991</v>
      </c>
      <c r="H602" t="s">
        <v>992</v>
      </c>
      <c r="J602" t="s">
        <v>2190</v>
      </c>
      <c r="K602" t="s">
        <v>992</v>
      </c>
      <c r="L602" t="s">
        <v>992</v>
      </c>
      <c r="Q602" t="b">
        <v>1</v>
      </c>
      <c r="R602" t="b">
        <v>0</v>
      </c>
      <c r="T602" t="s">
        <v>992</v>
      </c>
      <c r="U602" t="s">
        <v>994</v>
      </c>
      <c r="V602" t="s">
        <v>1289</v>
      </c>
      <c r="W602" t="s">
        <v>2401</v>
      </c>
      <c r="X602" t="s">
        <v>2402</v>
      </c>
    </row>
    <row r="603" spans="1:24" x14ac:dyDescent="0.25">
      <c r="A603" t="s">
        <v>44</v>
      </c>
      <c r="B603" t="s">
        <v>2409</v>
      </c>
      <c r="C603" t="s">
        <v>2400</v>
      </c>
      <c r="E603" t="s">
        <v>1011</v>
      </c>
      <c r="F603">
        <v>0</v>
      </c>
      <c r="G603" t="s">
        <v>991</v>
      </c>
      <c r="H603" t="s">
        <v>992</v>
      </c>
      <c r="J603" t="s">
        <v>2190</v>
      </c>
      <c r="K603" t="s">
        <v>992</v>
      </c>
      <c r="L603" t="s">
        <v>992</v>
      </c>
      <c r="Q603" t="b">
        <v>1</v>
      </c>
      <c r="R603" t="b">
        <v>0</v>
      </c>
      <c r="T603" t="s">
        <v>992</v>
      </c>
      <c r="U603" t="s">
        <v>994</v>
      </c>
      <c r="V603" t="s">
        <v>1289</v>
      </c>
      <c r="W603" t="s">
        <v>2401</v>
      </c>
      <c r="X603" t="s">
        <v>2402</v>
      </c>
    </row>
    <row r="604" spans="1:24" x14ac:dyDescent="0.25">
      <c r="A604" t="s">
        <v>44</v>
      </c>
      <c r="B604" t="s">
        <v>2410</v>
      </c>
      <c r="C604" t="s">
        <v>2400</v>
      </c>
      <c r="E604" t="s">
        <v>1013</v>
      </c>
      <c r="F604">
        <v>0</v>
      </c>
      <c r="G604" t="s">
        <v>991</v>
      </c>
      <c r="H604" t="s">
        <v>992</v>
      </c>
      <c r="J604" t="s">
        <v>2190</v>
      </c>
      <c r="K604" t="s">
        <v>992</v>
      </c>
      <c r="L604" t="s">
        <v>992</v>
      </c>
      <c r="Q604" t="b">
        <v>1</v>
      </c>
      <c r="R604" t="b">
        <v>0</v>
      </c>
      <c r="T604" t="s">
        <v>992</v>
      </c>
      <c r="U604" t="s">
        <v>994</v>
      </c>
      <c r="V604" t="s">
        <v>1289</v>
      </c>
      <c r="W604" t="s">
        <v>2401</v>
      </c>
      <c r="X604" t="s">
        <v>2402</v>
      </c>
    </row>
    <row r="605" spans="1:24" x14ac:dyDescent="0.25">
      <c r="A605" t="s">
        <v>44</v>
      </c>
      <c r="B605" t="s">
        <v>2411</v>
      </c>
      <c r="C605" t="s">
        <v>2400</v>
      </c>
      <c r="E605" t="s">
        <v>1015</v>
      </c>
      <c r="F605">
        <v>0</v>
      </c>
      <c r="G605" t="s">
        <v>991</v>
      </c>
      <c r="H605" t="s">
        <v>992</v>
      </c>
      <c r="J605" t="s">
        <v>2190</v>
      </c>
      <c r="K605" t="s">
        <v>992</v>
      </c>
      <c r="L605" t="s">
        <v>992</v>
      </c>
      <c r="Q605" t="b">
        <v>1</v>
      </c>
      <c r="R605" t="b">
        <v>0</v>
      </c>
      <c r="T605" t="s">
        <v>992</v>
      </c>
      <c r="U605" t="s">
        <v>994</v>
      </c>
      <c r="V605" t="s">
        <v>1289</v>
      </c>
      <c r="W605" t="s">
        <v>2401</v>
      </c>
      <c r="X605" t="s">
        <v>2402</v>
      </c>
    </row>
    <row r="606" spans="1:24" x14ac:dyDescent="0.25">
      <c r="A606" t="s">
        <v>44</v>
      </c>
      <c r="B606" t="s">
        <v>2412</v>
      </c>
      <c r="C606" t="s">
        <v>2400</v>
      </c>
      <c r="E606" t="s">
        <v>1017</v>
      </c>
      <c r="F606">
        <v>0</v>
      </c>
      <c r="G606" t="s">
        <v>991</v>
      </c>
      <c r="H606" t="s">
        <v>992</v>
      </c>
      <c r="J606" t="s">
        <v>2190</v>
      </c>
      <c r="K606" t="s">
        <v>992</v>
      </c>
      <c r="L606" t="s">
        <v>992</v>
      </c>
      <c r="Q606" t="b">
        <v>1</v>
      </c>
      <c r="R606" t="b">
        <v>0</v>
      </c>
      <c r="T606" t="s">
        <v>992</v>
      </c>
      <c r="U606" t="s">
        <v>994</v>
      </c>
      <c r="V606" t="s">
        <v>1289</v>
      </c>
      <c r="W606" t="s">
        <v>2401</v>
      </c>
      <c r="X606" t="s">
        <v>2402</v>
      </c>
    </row>
    <row r="607" spans="1:24" x14ac:dyDescent="0.25">
      <c r="A607" t="s">
        <v>44</v>
      </c>
      <c r="B607" t="s">
        <v>2413</v>
      </c>
      <c r="C607" t="s">
        <v>2400</v>
      </c>
      <c r="E607" t="s">
        <v>1019</v>
      </c>
      <c r="F607">
        <v>0</v>
      </c>
      <c r="G607" t="s">
        <v>991</v>
      </c>
      <c r="H607" t="s">
        <v>992</v>
      </c>
      <c r="J607" t="s">
        <v>2190</v>
      </c>
      <c r="K607" t="s">
        <v>992</v>
      </c>
      <c r="L607" t="s">
        <v>992</v>
      </c>
      <c r="Q607" t="b">
        <v>1</v>
      </c>
      <c r="R607" t="b">
        <v>0</v>
      </c>
      <c r="T607" t="s">
        <v>992</v>
      </c>
      <c r="U607" t="s">
        <v>994</v>
      </c>
      <c r="V607" t="s">
        <v>1289</v>
      </c>
      <c r="W607" t="s">
        <v>2401</v>
      </c>
      <c r="X607" t="s">
        <v>2402</v>
      </c>
    </row>
    <row r="608" spans="1:24" x14ac:dyDescent="0.25">
      <c r="A608" t="s">
        <v>44</v>
      </c>
      <c r="B608" t="s">
        <v>2414</v>
      </c>
      <c r="C608" t="s">
        <v>2400</v>
      </c>
      <c r="E608" t="s">
        <v>1021</v>
      </c>
      <c r="F608">
        <v>0</v>
      </c>
      <c r="G608" t="s">
        <v>991</v>
      </c>
      <c r="H608" t="s">
        <v>992</v>
      </c>
      <c r="J608" t="s">
        <v>2190</v>
      </c>
      <c r="K608" t="s">
        <v>992</v>
      </c>
      <c r="L608" t="s">
        <v>992</v>
      </c>
      <c r="Q608" t="b">
        <v>1</v>
      </c>
      <c r="R608" t="b">
        <v>0</v>
      </c>
      <c r="T608" t="s">
        <v>992</v>
      </c>
      <c r="U608" t="s">
        <v>994</v>
      </c>
      <c r="V608" t="s">
        <v>1289</v>
      </c>
      <c r="W608" t="s">
        <v>2401</v>
      </c>
      <c r="X608" t="s">
        <v>2402</v>
      </c>
    </row>
    <row r="609" spans="1:24" x14ac:dyDescent="0.25">
      <c r="A609" t="s">
        <v>44</v>
      </c>
      <c r="B609" t="s">
        <v>2415</v>
      </c>
      <c r="C609" t="s">
        <v>2400</v>
      </c>
      <c r="E609" t="s">
        <v>1130</v>
      </c>
      <c r="F609">
        <v>0</v>
      </c>
      <c r="G609" t="s">
        <v>991</v>
      </c>
      <c r="H609" t="s">
        <v>992</v>
      </c>
      <c r="J609" t="s">
        <v>2190</v>
      </c>
      <c r="K609" t="s">
        <v>992</v>
      </c>
      <c r="L609" t="s">
        <v>992</v>
      </c>
      <c r="Q609" t="b">
        <v>1</v>
      </c>
      <c r="R609" t="b">
        <v>0</v>
      </c>
      <c r="T609" t="s">
        <v>992</v>
      </c>
      <c r="U609" t="s">
        <v>994</v>
      </c>
      <c r="V609" t="s">
        <v>1289</v>
      </c>
      <c r="W609" t="s">
        <v>2401</v>
      </c>
      <c r="X609" t="s">
        <v>2402</v>
      </c>
    </row>
    <row r="610" spans="1:24" x14ac:dyDescent="0.25">
      <c r="A610" t="s">
        <v>44</v>
      </c>
      <c r="B610" t="s">
        <v>2416</v>
      </c>
      <c r="C610" t="s">
        <v>2417</v>
      </c>
      <c r="E610" t="s">
        <v>990</v>
      </c>
      <c r="F610">
        <v>4479</v>
      </c>
      <c r="G610" t="s">
        <v>2418</v>
      </c>
      <c r="H610" t="s">
        <v>2419</v>
      </c>
      <c r="J610" t="s">
        <v>2190</v>
      </c>
      <c r="K610" t="s">
        <v>1026</v>
      </c>
      <c r="L610" t="s">
        <v>992</v>
      </c>
      <c r="Q610" t="b">
        <v>1</v>
      </c>
      <c r="R610" t="b">
        <v>0</v>
      </c>
      <c r="T610" t="s">
        <v>992</v>
      </c>
      <c r="U610" t="s">
        <v>2420</v>
      </c>
      <c r="V610" t="s">
        <v>1061</v>
      </c>
      <c r="W610" t="s">
        <v>1034</v>
      </c>
      <c r="X610" t="s">
        <v>2421</v>
      </c>
    </row>
    <row r="611" spans="1:24" x14ac:dyDescent="0.25">
      <c r="A611" t="s">
        <v>44</v>
      </c>
      <c r="B611" t="s">
        <v>2422</v>
      </c>
      <c r="C611" t="s">
        <v>2417</v>
      </c>
      <c r="E611" t="s">
        <v>999</v>
      </c>
      <c r="F611">
        <v>3466</v>
      </c>
      <c r="G611" t="s">
        <v>2418</v>
      </c>
      <c r="H611" t="s">
        <v>2419</v>
      </c>
      <c r="J611" t="s">
        <v>2190</v>
      </c>
      <c r="K611" t="s">
        <v>1038</v>
      </c>
      <c r="L611" t="s">
        <v>992</v>
      </c>
      <c r="Q611" t="b">
        <v>1</v>
      </c>
      <c r="R611" t="b">
        <v>0</v>
      </c>
      <c r="T611" t="s">
        <v>992</v>
      </c>
      <c r="U611" t="s">
        <v>2420</v>
      </c>
      <c r="V611" t="s">
        <v>1061</v>
      </c>
      <c r="W611" t="s">
        <v>1034</v>
      </c>
      <c r="X611" t="s">
        <v>2421</v>
      </c>
    </row>
    <row r="612" spans="1:24" x14ac:dyDescent="0.25">
      <c r="A612" t="s">
        <v>44</v>
      </c>
      <c r="B612" t="s">
        <v>2423</v>
      </c>
      <c r="C612" t="s">
        <v>2417</v>
      </c>
      <c r="E612" t="s">
        <v>1001</v>
      </c>
      <c r="F612">
        <v>1231</v>
      </c>
      <c r="G612" t="s">
        <v>2418</v>
      </c>
      <c r="H612" t="s">
        <v>2419</v>
      </c>
      <c r="J612" t="s">
        <v>2190</v>
      </c>
      <c r="K612" t="s">
        <v>1045</v>
      </c>
      <c r="L612" t="s">
        <v>992</v>
      </c>
      <c r="Q612" t="b">
        <v>1</v>
      </c>
      <c r="R612" t="b">
        <v>0</v>
      </c>
      <c r="T612" t="s">
        <v>992</v>
      </c>
      <c r="U612" t="s">
        <v>2420</v>
      </c>
      <c r="V612" t="s">
        <v>1061</v>
      </c>
      <c r="W612" t="s">
        <v>1034</v>
      </c>
      <c r="X612" t="s">
        <v>2421</v>
      </c>
    </row>
    <row r="613" spans="1:24" x14ac:dyDescent="0.25">
      <c r="A613" t="s">
        <v>44</v>
      </c>
      <c r="B613" t="s">
        <v>2424</v>
      </c>
      <c r="C613" t="s">
        <v>2417</v>
      </c>
      <c r="E613" t="s">
        <v>1003</v>
      </c>
      <c r="F613">
        <v>2401</v>
      </c>
      <c r="G613" t="s">
        <v>2418</v>
      </c>
      <c r="H613" t="s">
        <v>2419</v>
      </c>
      <c r="J613" t="s">
        <v>2190</v>
      </c>
      <c r="K613" t="s">
        <v>1054</v>
      </c>
      <c r="L613" t="s">
        <v>992</v>
      </c>
      <c r="Q613" t="b">
        <v>1</v>
      </c>
      <c r="R613" t="b">
        <v>0</v>
      </c>
      <c r="T613" t="s">
        <v>992</v>
      </c>
      <c r="U613" t="s">
        <v>2420</v>
      </c>
      <c r="V613" t="s">
        <v>1061</v>
      </c>
      <c r="W613" t="s">
        <v>1034</v>
      </c>
      <c r="X613" t="s">
        <v>2421</v>
      </c>
    </row>
    <row r="614" spans="1:24" x14ac:dyDescent="0.25">
      <c r="A614" t="s">
        <v>44</v>
      </c>
      <c r="B614" t="s">
        <v>2425</v>
      </c>
      <c r="C614" t="s">
        <v>2417</v>
      </c>
      <c r="E614" t="s">
        <v>1005</v>
      </c>
      <c r="F614">
        <v>7575</v>
      </c>
      <c r="G614" t="s">
        <v>2418</v>
      </c>
      <c r="H614" t="s">
        <v>2419</v>
      </c>
      <c r="J614" t="s">
        <v>2190</v>
      </c>
      <c r="K614" t="s">
        <v>1065</v>
      </c>
      <c r="L614" t="s">
        <v>992</v>
      </c>
      <c r="Q614" t="b">
        <v>1</v>
      </c>
      <c r="R614" t="b">
        <v>0</v>
      </c>
      <c r="T614" t="s">
        <v>992</v>
      </c>
      <c r="U614" t="s">
        <v>2420</v>
      </c>
      <c r="V614" t="s">
        <v>1061</v>
      </c>
      <c r="W614" t="s">
        <v>1034</v>
      </c>
      <c r="X614" t="s">
        <v>2421</v>
      </c>
    </row>
    <row r="615" spans="1:24" x14ac:dyDescent="0.25">
      <c r="A615" t="s">
        <v>44</v>
      </c>
      <c r="B615" t="s">
        <v>2426</v>
      </c>
      <c r="C615" t="s">
        <v>2417</v>
      </c>
      <c r="E615" t="s">
        <v>1007</v>
      </c>
      <c r="F615">
        <v>2991</v>
      </c>
      <c r="G615" t="s">
        <v>2418</v>
      </c>
      <c r="H615" t="s">
        <v>2419</v>
      </c>
      <c r="J615" t="s">
        <v>2190</v>
      </c>
      <c r="K615" t="s">
        <v>1072</v>
      </c>
      <c r="L615" t="s">
        <v>992</v>
      </c>
      <c r="Q615" t="b">
        <v>1</v>
      </c>
      <c r="R615" t="b">
        <v>0</v>
      </c>
      <c r="T615" t="s">
        <v>992</v>
      </c>
      <c r="U615" t="s">
        <v>2420</v>
      </c>
      <c r="V615" t="s">
        <v>1061</v>
      </c>
      <c r="W615" t="s">
        <v>1034</v>
      </c>
      <c r="X615" t="s">
        <v>2421</v>
      </c>
    </row>
    <row r="616" spans="1:24" x14ac:dyDescent="0.25">
      <c r="A616" t="s">
        <v>44</v>
      </c>
      <c r="B616" t="s">
        <v>2427</v>
      </c>
      <c r="C616" t="s">
        <v>2417</v>
      </c>
      <c r="E616" t="s">
        <v>1009</v>
      </c>
      <c r="F616">
        <v>2037</v>
      </c>
      <c r="G616" t="s">
        <v>2418</v>
      </c>
      <c r="H616" t="s">
        <v>2419</v>
      </c>
      <c r="J616" t="s">
        <v>2190</v>
      </c>
      <c r="K616" t="s">
        <v>1079</v>
      </c>
      <c r="L616" t="s">
        <v>992</v>
      </c>
      <c r="Q616" t="b">
        <v>1</v>
      </c>
      <c r="R616" t="b">
        <v>0</v>
      </c>
      <c r="T616" t="s">
        <v>992</v>
      </c>
      <c r="U616" t="s">
        <v>2420</v>
      </c>
      <c r="V616" t="s">
        <v>1061</v>
      </c>
      <c r="W616" t="s">
        <v>1034</v>
      </c>
      <c r="X616" t="s">
        <v>2421</v>
      </c>
    </row>
    <row r="617" spans="1:24" x14ac:dyDescent="0.25">
      <c r="A617" t="s">
        <v>44</v>
      </c>
      <c r="B617" t="s">
        <v>2428</v>
      </c>
      <c r="C617" t="s">
        <v>2417</v>
      </c>
      <c r="E617" t="s">
        <v>1011</v>
      </c>
      <c r="F617">
        <v>3421</v>
      </c>
      <c r="G617" t="s">
        <v>2418</v>
      </c>
      <c r="H617" t="s">
        <v>2419</v>
      </c>
      <c r="J617" t="s">
        <v>2190</v>
      </c>
      <c r="K617" t="s">
        <v>1087</v>
      </c>
      <c r="L617" t="s">
        <v>992</v>
      </c>
      <c r="Q617" t="b">
        <v>1</v>
      </c>
      <c r="R617" t="b">
        <v>0</v>
      </c>
      <c r="T617" t="s">
        <v>992</v>
      </c>
      <c r="U617" t="s">
        <v>2420</v>
      </c>
      <c r="V617" t="s">
        <v>1061</v>
      </c>
      <c r="W617" t="s">
        <v>1034</v>
      </c>
      <c r="X617" t="s">
        <v>2421</v>
      </c>
    </row>
    <row r="618" spans="1:24" x14ac:dyDescent="0.25">
      <c r="A618" t="s">
        <v>44</v>
      </c>
      <c r="B618" t="s">
        <v>2429</v>
      </c>
      <c r="C618" t="s">
        <v>2417</v>
      </c>
      <c r="E618" t="s">
        <v>1013</v>
      </c>
      <c r="F618">
        <v>8849</v>
      </c>
      <c r="G618" t="s">
        <v>2418</v>
      </c>
      <c r="H618" t="s">
        <v>2419</v>
      </c>
      <c r="J618" t="s">
        <v>2190</v>
      </c>
      <c r="K618" t="s">
        <v>1094</v>
      </c>
      <c r="L618" t="s">
        <v>992</v>
      </c>
      <c r="Q618" t="b">
        <v>1</v>
      </c>
      <c r="R618" t="b">
        <v>0</v>
      </c>
      <c r="T618" t="s">
        <v>992</v>
      </c>
      <c r="U618" t="s">
        <v>2420</v>
      </c>
      <c r="V618" t="s">
        <v>1061</v>
      </c>
      <c r="W618" t="s">
        <v>1034</v>
      </c>
      <c r="X618" t="s">
        <v>2421</v>
      </c>
    </row>
    <row r="619" spans="1:24" x14ac:dyDescent="0.25">
      <c r="A619" t="s">
        <v>44</v>
      </c>
      <c r="B619" t="s">
        <v>2430</v>
      </c>
      <c r="C619" t="s">
        <v>2417</v>
      </c>
      <c r="E619" t="s">
        <v>1015</v>
      </c>
      <c r="F619">
        <v>2755</v>
      </c>
      <c r="G619" t="s">
        <v>2418</v>
      </c>
      <c r="H619" t="s">
        <v>2419</v>
      </c>
      <c r="J619" t="s">
        <v>2190</v>
      </c>
      <c r="K619" t="s">
        <v>1103</v>
      </c>
      <c r="L619" t="s">
        <v>992</v>
      </c>
      <c r="Q619" t="b">
        <v>1</v>
      </c>
      <c r="R619" t="b">
        <v>0</v>
      </c>
      <c r="T619" t="s">
        <v>992</v>
      </c>
      <c r="U619" t="s">
        <v>2420</v>
      </c>
      <c r="V619" t="s">
        <v>1061</v>
      </c>
      <c r="W619" t="s">
        <v>1034</v>
      </c>
      <c r="X619" t="s">
        <v>2421</v>
      </c>
    </row>
    <row r="620" spans="1:24" x14ac:dyDescent="0.25">
      <c r="A620" t="s">
        <v>44</v>
      </c>
      <c r="B620" t="s">
        <v>2431</v>
      </c>
      <c r="C620" t="s">
        <v>2417</v>
      </c>
      <c r="E620" t="s">
        <v>1017</v>
      </c>
      <c r="F620">
        <v>2997</v>
      </c>
      <c r="G620" t="s">
        <v>2418</v>
      </c>
      <c r="H620" t="s">
        <v>2419</v>
      </c>
      <c r="J620" t="s">
        <v>2190</v>
      </c>
      <c r="K620" t="s">
        <v>1110</v>
      </c>
      <c r="L620" t="s">
        <v>992</v>
      </c>
      <c r="Q620" t="b">
        <v>1</v>
      </c>
      <c r="R620" t="b">
        <v>0</v>
      </c>
      <c r="T620" t="s">
        <v>992</v>
      </c>
      <c r="U620" t="s">
        <v>2420</v>
      </c>
      <c r="V620" t="s">
        <v>1061</v>
      </c>
      <c r="W620" t="s">
        <v>1034</v>
      </c>
      <c r="X620" t="s">
        <v>2421</v>
      </c>
    </row>
    <row r="621" spans="1:24" x14ac:dyDescent="0.25">
      <c r="A621" t="s">
        <v>44</v>
      </c>
      <c r="B621" t="s">
        <v>2432</v>
      </c>
      <c r="C621" t="s">
        <v>2417</v>
      </c>
      <c r="E621" t="s">
        <v>1019</v>
      </c>
      <c r="F621">
        <v>5097</v>
      </c>
      <c r="G621" t="s">
        <v>2418</v>
      </c>
      <c r="H621" t="s">
        <v>2419</v>
      </c>
      <c r="J621" t="s">
        <v>2190</v>
      </c>
      <c r="K621" t="s">
        <v>1117</v>
      </c>
      <c r="L621" t="s">
        <v>992</v>
      </c>
      <c r="Q621" t="b">
        <v>1</v>
      </c>
      <c r="R621" t="b">
        <v>0</v>
      </c>
      <c r="T621" t="s">
        <v>992</v>
      </c>
      <c r="U621" t="s">
        <v>2420</v>
      </c>
      <c r="V621" t="s">
        <v>1061</v>
      </c>
      <c r="W621" t="s">
        <v>1034</v>
      </c>
      <c r="X621" t="s">
        <v>2421</v>
      </c>
    </row>
    <row r="622" spans="1:24" x14ac:dyDescent="0.25">
      <c r="A622" t="s">
        <v>44</v>
      </c>
      <c r="B622" t="s">
        <v>2433</v>
      </c>
      <c r="C622" t="s">
        <v>2417</v>
      </c>
      <c r="E622" t="s">
        <v>1021</v>
      </c>
      <c r="F622">
        <v>10494</v>
      </c>
      <c r="G622" t="s">
        <v>2418</v>
      </c>
      <c r="H622" t="s">
        <v>2419</v>
      </c>
      <c r="J622" t="s">
        <v>2190</v>
      </c>
      <c r="K622" t="s">
        <v>1124</v>
      </c>
      <c r="L622" t="s">
        <v>992</v>
      </c>
      <c r="Q622" t="b">
        <v>1</v>
      </c>
      <c r="R622" t="b">
        <v>0</v>
      </c>
      <c r="T622" t="s">
        <v>992</v>
      </c>
      <c r="U622" t="s">
        <v>2420</v>
      </c>
      <c r="V622" t="s">
        <v>1061</v>
      </c>
      <c r="W622" t="s">
        <v>1034</v>
      </c>
      <c r="X622" t="s">
        <v>2421</v>
      </c>
    </row>
    <row r="623" spans="1:24" x14ac:dyDescent="0.25">
      <c r="A623" t="s">
        <v>44</v>
      </c>
      <c r="B623" t="s">
        <v>2434</v>
      </c>
      <c r="C623" t="s">
        <v>2417</v>
      </c>
      <c r="E623" t="s">
        <v>1130</v>
      </c>
      <c r="F623">
        <v>3484</v>
      </c>
      <c r="G623" t="s">
        <v>2418</v>
      </c>
      <c r="H623" t="s">
        <v>2419</v>
      </c>
      <c r="J623" t="s">
        <v>2190</v>
      </c>
      <c r="K623" t="s">
        <v>1132</v>
      </c>
      <c r="L623" t="s">
        <v>992</v>
      </c>
      <c r="Q623" t="b">
        <v>1</v>
      </c>
      <c r="R623" t="b">
        <v>0</v>
      </c>
      <c r="T623" t="s">
        <v>992</v>
      </c>
      <c r="U623" t="s">
        <v>2420</v>
      </c>
      <c r="V623" t="s">
        <v>1061</v>
      </c>
      <c r="W623" t="s">
        <v>1034</v>
      </c>
      <c r="X623" t="s">
        <v>2421</v>
      </c>
    </row>
    <row r="624" spans="1:24" x14ac:dyDescent="0.25">
      <c r="A624" t="s">
        <v>44</v>
      </c>
      <c r="B624" t="s">
        <v>1196</v>
      </c>
      <c r="C624" t="s">
        <v>456</v>
      </c>
      <c r="E624" t="s">
        <v>1017</v>
      </c>
      <c r="F624">
        <v>28202</v>
      </c>
      <c r="G624" t="s">
        <v>2418</v>
      </c>
      <c r="H624" t="s">
        <v>2435</v>
      </c>
      <c r="J624" t="s">
        <v>2190</v>
      </c>
      <c r="K624" t="s">
        <v>992</v>
      </c>
      <c r="L624" t="s">
        <v>992</v>
      </c>
      <c r="Q624" t="b">
        <v>1</v>
      </c>
      <c r="R624" t="b">
        <v>0</v>
      </c>
      <c r="T624" t="s">
        <v>992</v>
      </c>
      <c r="U624" t="s">
        <v>1140</v>
      </c>
      <c r="V624" t="s">
        <v>995</v>
      </c>
      <c r="W624" t="s">
        <v>1034</v>
      </c>
      <c r="X624" t="s">
        <v>2436</v>
      </c>
    </row>
    <row r="625" spans="1:24" x14ac:dyDescent="0.25">
      <c r="A625" t="s">
        <v>42</v>
      </c>
      <c r="B625" t="s">
        <v>2437</v>
      </c>
      <c r="C625" t="s">
        <v>268</v>
      </c>
      <c r="E625" t="s">
        <v>990</v>
      </c>
      <c r="F625">
        <v>117154</v>
      </c>
      <c r="G625" t="s">
        <v>2418</v>
      </c>
      <c r="H625" t="s">
        <v>2438</v>
      </c>
      <c r="J625" t="s">
        <v>993</v>
      </c>
      <c r="K625" t="s">
        <v>1026</v>
      </c>
      <c r="L625" t="s">
        <v>992</v>
      </c>
      <c r="Q625" t="b">
        <v>1</v>
      </c>
      <c r="R625" t="b">
        <v>0</v>
      </c>
      <c r="T625" t="s">
        <v>992</v>
      </c>
      <c r="U625" t="s">
        <v>1060</v>
      </c>
      <c r="V625" t="s">
        <v>995</v>
      </c>
      <c r="W625" t="s">
        <v>1034</v>
      </c>
      <c r="X625" t="s">
        <v>2439</v>
      </c>
    </row>
    <row r="626" spans="1:24" x14ac:dyDescent="0.25">
      <c r="A626" t="s">
        <v>42</v>
      </c>
      <c r="B626" t="s">
        <v>2440</v>
      </c>
      <c r="C626" t="s">
        <v>268</v>
      </c>
      <c r="E626" t="s">
        <v>999</v>
      </c>
      <c r="F626">
        <v>94836</v>
      </c>
      <c r="G626" t="s">
        <v>2418</v>
      </c>
      <c r="H626" t="s">
        <v>2438</v>
      </c>
      <c r="J626" t="s">
        <v>993</v>
      </c>
      <c r="K626" t="s">
        <v>1038</v>
      </c>
      <c r="L626" t="s">
        <v>992</v>
      </c>
      <c r="Q626" t="b">
        <v>1</v>
      </c>
      <c r="R626" t="b">
        <v>0</v>
      </c>
      <c r="T626" t="s">
        <v>992</v>
      </c>
      <c r="U626" t="s">
        <v>1060</v>
      </c>
      <c r="V626" t="s">
        <v>995</v>
      </c>
      <c r="W626" t="s">
        <v>1034</v>
      </c>
      <c r="X626" t="s">
        <v>2439</v>
      </c>
    </row>
    <row r="627" spans="1:24" x14ac:dyDescent="0.25">
      <c r="A627" t="s">
        <v>42</v>
      </c>
      <c r="B627" t="s">
        <v>2441</v>
      </c>
      <c r="C627" t="s">
        <v>268</v>
      </c>
      <c r="E627" t="s">
        <v>1001</v>
      </c>
      <c r="F627">
        <v>81797</v>
      </c>
      <c r="G627" t="s">
        <v>2418</v>
      </c>
      <c r="H627" t="s">
        <v>2438</v>
      </c>
      <c r="J627" t="s">
        <v>993</v>
      </c>
      <c r="K627" t="s">
        <v>1045</v>
      </c>
      <c r="L627" t="s">
        <v>992</v>
      </c>
      <c r="Q627" t="b">
        <v>1</v>
      </c>
      <c r="R627" t="b">
        <v>0</v>
      </c>
      <c r="T627" t="s">
        <v>992</v>
      </c>
      <c r="U627" t="s">
        <v>1060</v>
      </c>
      <c r="V627" t="s">
        <v>995</v>
      </c>
      <c r="W627" t="s">
        <v>1034</v>
      </c>
      <c r="X627" t="s">
        <v>2439</v>
      </c>
    </row>
    <row r="628" spans="1:24" x14ac:dyDescent="0.25">
      <c r="A628" t="s">
        <v>42</v>
      </c>
      <c r="B628" t="s">
        <v>2442</v>
      </c>
      <c r="C628" t="s">
        <v>268</v>
      </c>
      <c r="E628" t="s">
        <v>1003</v>
      </c>
      <c r="F628">
        <v>89498</v>
      </c>
      <c r="G628" t="s">
        <v>2418</v>
      </c>
      <c r="H628" t="s">
        <v>2438</v>
      </c>
      <c r="J628" t="s">
        <v>993</v>
      </c>
      <c r="K628" t="s">
        <v>1054</v>
      </c>
      <c r="L628" t="s">
        <v>992</v>
      </c>
      <c r="Q628" t="b">
        <v>1</v>
      </c>
      <c r="R628" t="b">
        <v>0</v>
      </c>
      <c r="T628" t="s">
        <v>992</v>
      </c>
      <c r="U628" t="s">
        <v>1060</v>
      </c>
      <c r="V628" t="s">
        <v>995</v>
      </c>
      <c r="W628" t="s">
        <v>1034</v>
      </c>
      <c r="X628" t="s">
        <v>2439</v>
      </c>
    </row>
    <row r="629" spans="1:24" x14ac:dyDescent="0.25">
      <c r="A629" t="s">
        <v>42</v>
      </c>
      <c r="B629" t="s">
        <v>2443</v>
      </c>
      <c r="C629" t="s">
        <v>268</v>
      </c>
      <c r="E629" t="s">
        <v>1005</v>
      </c>
      <c r="F629">
        <v>119575</v>
      </c>
      <c r="G629" t="s">
        <v>2418</v>
      </c>
      <c r="H629" t="s">
        <v>2438</v>
      </c>
      <c r="J629" t="s">
        <v>993</v>
      </c>
      <c r="K629" t="s">
        <v>1065</v>
      </c>
      <c r="L629" t="s">
        <v>992</v>
      </c>
      <c r="Q629" t="b">
        <v>1</v>
      </c>
      <c r="R629" t="b">
        <v>0</v>
      </c>
      <c r="T629" t="s">
        <v>992</v>
      </c>
      <c r="U629" t="s">
        <v>1060</v>
      </c>
      <c r="V629" t="s">
        <v>995</v>
      </c>
      <c r="W629" t="s">
        <v>1034</v>
      </c>
      <c r="X629" t="s">
        <v>2439</v>
      </c>
    </row>
    <row r="630" spans="1:24" x14ac:dyDescent="0.25">
      <c r="A630" t="s">
        <v>42</v>
      </c>
      <c r="B630" t="s">
        <v>2444</v>
      </c>
      <c r="C630" t="s">
        <v>268</v>
      </c>
      <c r="E630" t="s">
        <v>1007</v>
      </c>
      <c r="F630">
        <v>90753</v>
      </c>
      <c r="G630" t="s">
        <v>2418</v>
      </c>
      <c r="H630" t="s">
        <v>2438</v>
      </c>
      <c r="J630" t="s">
        <v>993</v>
      </c>
      <c r="K630" t="s">
        <v>1072</v>
      </c>
      <c r="L630" t="s">
        <v>992</v>
      </c>
      <c r="Q630" t="b">
        <v>1</v>
      </c>
      <c r="R630" t="b">
        <v>0</v>
      </c>
      <c r="T630" t="s">
        <v>992</v>
      </c>
      <c r="U630" t="s">
        <v>1060</v>
      </c>
      <c r="V630" t="s">
        <v>995</v>
      </c>
      <c r="W630" t="s">
        <v>1034</v>
      </c>
      <c r="X630" t="s">
        <v>2439</v>
      </c>
    </row>
    <row r="631" spans="1:24" x14ac:dyDescent="0.25">
      <c r="A631" t="s">
        <v>42</v>
      </c>
      <c r="B631" t="s">
        <v>2445</v>
      </c>
      <c r="C631" t="s">
        <v>268</v>
      </c>
      <c r="E631" t="s">
        <v>1009</v>
      </c>
      <c r="F631">
        <v>85777</v>
      </c>
      <c r="G631" t="s">
        <v>2418</v>
      </c>
      <c r="H631" t="s">
        <v>2438</v>
      </c>
      <c r="J631" t="s">
        <v>993</v>
      </c>
      <c r="K631" t="s">
        <v>1079</v>
      </c>
      <c r="L631" t="s">
        <v>992</v>
      </c>
      <c r="Q631" t="b">
        <v>1</v>
      </c>
      <c r="R631" t="b">
        <v>0</v>
      </c>
      <c r="T631" t="s">
        <v>992</v>
      </c>
      <c r="U631" t="s">
        <v>1060</v>
      </c>
      <c r="V631" t="s">
        <v>995</v>
      </c>
      <c r="W631" t="s">
        <v>1034</v>
      </c>
      <c r="X631" t="s">
        <v>2439</v>
      </c>
    </row>
    <row r="632" spans="1:24" x14ac:dyDescent="0.25">
      <c r="A632" t="s">
        <v>42</v>
      </c>
      <c r="B632" t="s">
        <v>2446</v>
      </c>
      <c r="C632" t="s">
        <v>268</v>
      </c>
      <c r="E632" t="s">
        <v>1011</v>
      </c>
      <c r="F632">
        <v>94930</v>
      </c>
      <c r="G632" t="s">
        <v>2418</v>
      </c>
      <c r="H632" t="s">
        <v>2438</v>
      </c>
      <c r="J632" t="s">
        <v>993</v>
      </c>
      <c r="K632" t="s">
        <v>1087</v>
      </c>
      <c r="L632" t="s">
        <v>992</v>
      </c>
      <c r="Q632" t="b">
        <v>1</v>
      </c>
      <c r="R632" t="b">
        <v>0</v>
      </c>
      <c r="T632" t="s">
        <v>992</v>
      </c>
      <c r="U632" t="s">
        <v>1060</v>
      </c>
      <c r="V632" t="s">
        <v>995</v>
      </c>
      <c r="W632" t="s">
        <v>1034</v>
      </c>
      <c r="X632" t="s">
        <v>2439</v>
      </c>
    </row>
    <row r="633" spans="1:24" x14ac:dyDescent="0.25">
      <c r="A633" t="s">
        <v>42</v>
      </c>
      <c r="B633" t="s">
        <v>2447</v>
      </c>
      <c r="C633" t="s">
        <v>268</v>
      </c>
      <c r="E633" t="s">
        <v>1013</v>
      </c>
      <c r="F633">
        <v>124300</v>
      </c>
      <c r="G633" t="s">
        <v>2418</v>
      </c>
      <c r="H633" t="s">
        <v>2438</v>
      </c>
      <c r="J633" t="s">
        <v>993</v>
      </c>
      <c r="K633" t="s">
        <v>1094</v>
      </c>
      <c r="L633" t="s">
        <v>992</v>
      </c>
      <c r="Q633" t="b">
        <v>1</v>
      </c>
      <c r="R633" t="b">
        <v>0</v>
      </c>
      <c r="T633" t="s">
        <v>992</v>
      </c>
      <c r="U633" t="s">
        <v>1060</v>
      </c>
      <c r="V633" t="s">
        <v>995</v>
      </c>
      <c r="W633" t="s">
        <v>1034</v>
      </c>
      <c r="X633" t="s">
        <v>2439</v>
      </c>
    </row>
    <row r="634" spans="1:24" x14ac:dyDescent="0.25">
      <c r="A634" t="s">
        <v>42</v>
      </c>
      <c r="B634" t="s">
        <v>2448</v>
      </c>
      <c r="C634" t="s">
        <v>268</v>
      </c>
      <c r="E634" t="s">
        <v>1015</v>
      </c>
      <c r="F634">
        <v>95359</v>
      </c>
      <c r="G634" t="s">
        <v>2418</v>
      </c>
      <c r="H634" t="s">
        <v>2438</v>
      </c>
      <c r="J634" t="s">
        <v>993</v>
      </c>
      <c r="K634" t="s">
        <v>1103</v>
      </c>
      <c r="L634" t="s">
        <v>992</v>
      </c>
      <c r="Q634" t="b">
        <v>1</v>
      </c>
      <c r="R634" t="b">
        <v>0</v>
      </c>
      <c r="T634" t="s">
        <v>992</v>
      </c>
      <c r="U634" t="s">
        <v>1060</v>
      </c>
      <c r="V634" t="s">
        <v>995</v>
      </c>
      <c r="W634" t="s">
        <v>1034</v>
      </c>
      <c r="X634" t="s">
        <v>2439</v>
      </c>
    </row>
    <row r="635" spans="1:24" x14ac:dyDescent="0.25">
      <c r="A635" t="s">
        <v>42</v>
      </c>
      <c r="B635" t="s">
        <v>2449</v>
      </c>
      <c r="C635" t="s">
        <v>268</v>
      </c>
      <c r="E635" t="s">
        <v>1017</v>
      </c>
      <c r="F635">
        <v>94036</v>
      </c>
      <c r="G635" t="s">
        <v>2418</v>
      </c>
      <c r="H635" t="s">
        <v>2438</v>
      </c>
      <c r="J635" t="s">
        <v>993</v>
      </c>
      <c r="K635" t="s">
        <v>1110</v>
      </c>
      <c r="L635" t="s">
        <v>992</v>
      </c>
      <c r="Q635" t="b">
        <v>1</v>
      </c>
      <c r="R635" t="b">
        <v>0</v>
      </c>
      <c r="T635" t="s">
        <v>992</v>
      </c>
      <c r="U635" t="s">
        <v>1060</v>
      </c>
      <c r="V635" t="s">
        <v>995</v>
      </c>
      <c r="W635" t="s">
        <v>1034</v>
      </c>
      <c r="X635" t="s">
        <v>2439</v>
      </c>
    </row>
    <row r="636" spans="1:24" x14ac:dyDescent="0.25">
      <c r="A636" t="s">
        <v>42</v>
      </c>
      <c r="B636" t="s">
        <v>2450</v>
      </c>
      <c r="C636" t="s">
        <v>268</v>
      </c>
      <c r="E636" t="s">
        <v>1019</v>
      </c>
      <c r="F636">
        <v>102466</v>
      </c>
      <c r="G636" t="s">
        <v>2418</v>
      </c>
      <c r="H636" t="s">
        <v>2438</v>
      </c>
      <c r="J636" t="s">
        <v>993</v>
      </c>
      <c r="K636" t="s">
        <v>1117</v>
      </c>
      <c r="L636" t="s">
        <v>992</v>
      </c>
      <c r="Q636" t="b">
        <v>1</v>
      </c>
      <c r="R636" t="b">
        <v>0</v>
      </c>
      <c r="T636" t="s">
        <v>992</v>
      </c>
      <c r="U636" t="s">
        <v>1060</v>
      </c>
      <c r="V636" t="s">
        <v>995</v>
      </c>
      <c r="W636" t="s">
        <v>1034</v>
      </c>
      <c r="X636" t="s">
        <v>2439</v>
      </c>
    </row>
    <row r="637" spans="1:24" x14ac:dyDescent="0.25">
      <c r="A637" t="s">
        <v>42</v>
      </c>
      <c r="B637" t="s">
        <v>2451</v>
      </c>
      <c r="C637" t="s">
        <v>268</v>
      </c>
      <c r="E637" t="s">
        <v>1021</v>
      </c>
      <c r="F637">
        <v>143756</v>
      </c>
      <c r="G637" t="s">
        <v>2418</v>
      </c>
      <c r="H637" t="s">
        <v>2438</v>
      </c>
      <c r="J637" t="s">
        <v>993</v>
      </c>
      <c r="K637" t="s">
        <v>1124</v>
      </c>
      <c r="L637" t="s">
        <v>992</v>
      </c>
      <c r="Q637" t="b">
        <v>1</v>
      </c>
      <c r="R637" t="b">
        <v>0</v>
      </c>
      <c r="T637" t="s">
        <v>992</v>
      </c>
      <c r="U637" t="s">
        <v>1060</v>
      </c>
      <c r="V637" t="s">
        <v>995</v>
      </c>
      <c r="W637" t="s">
        <v>1034</v>
      </c>
      <c r="X637" t="s">
        <v>2439</v>
      </c>
    </row>
    <row r="638" spans="1:24" x14ac:dyDescent="0.25">
      <c r="A638" t="s">
        <v>42</v>
      </c>
      <c r="B638" t="s">
        <v>2452</v>
      </c>
      <c r="C638" t="s">
        <v>268</v>
      </c>
      <c r="E638" t="s">
        <v>1130</v>
      </c>
      <c r="F638">
        <v>111184</v>
      </c>
      <c r="G638" t="s">
        <v>2418</v>
      </c>
      <c r="H638" t="s">
        <v>2438</v>
      </c>
      <c r="J638" t="s">
        <v>993</v>
      </c>
      <c r="K638" t="s">
        <v>1132</v>
      </c>
      <c r="L638" t="s">
        <v>992</v>
      </c>
      <c r="Q638" t="b">
        <v>1</v>
      </c>
      <c r="R638" t="b">
        <v>0</v>
      </c>
      <c r="T638" t="s">
        <v>992</v>
      </c>
      <c r="U638" t="s">
        <v>1060</v>
      </c>
      <c r="V638" t="s">
        <v>995</v>
      </c>
      <c r="W638" t="s">
        <v>1034</v>
      </c>
      <c r="X638" t="s">
        <v>2439</v>
      </c>
    </row>
    <row r="639" spans="1:24" x14ac:dyDescent="0.25">
      <c r="A639" t="s">
        <v>42</v>
      </c>
      <c r="B639" t="s">
        <v>1293</v>
      </c>
      <c r="C639" t="s">
        <v>279</v>
      </c>
      <c r="E639" t="s">
        <v>990</v>
      </c>
      <c r="F639">
        <v>610</v>
      </c>
      <c r="G639" t="s">
        <v>2418</v>
      </c>
      <c r="H639" t="s">
        <v>2453</v>
      </c>
      <c r="J639" t="s">
        <v>993</v>
      </c>
      <c r="K639" t="s">
        <v>1026</v>
      </c>
      <c r="L639" t="s">
        <v>992</v>
      </c>
      <c r="Q639" t="b">
        <v>1</v>
      </c>
      <c r="R639" t="b">
        <v>0</v>
      </c>
      <c r="T639" t="s">
        <v>992</v>
      </c>
      <c r="U639" t="s">
        <v>2420</v>
      </c>
      <c r="V639" t="s">
        <v>1061</v>
      </c>
      <c r="W639" t="s">
        <v>1034</v>
      </c>
      <c r="X639" t="s">
        <v>2454</v>
      </c>
    </row>
    <row r="640" spans="1:24" x14ac:dyDescent="0.25">
      <c r="A640" t="s">
        <v>42</v>
      </c>
      <c r="B640" t="s">
        <v>1296</v>
      </c>
      <c r="C640" t="s">
        <v>279</v>
      </c>
      <c r="E640" t="s">
        <v>999</v>
      </c>
      <c r="F640">
        <v>994</v>
      </c>
      <c r="G640" t="s">
        <v>2418</v>
      </c>
      <c r="H640" t="s">
        <v>2453</v>
      </c>
      <c r="J640" t="s">
        <v>993</v>
      </c>
      <c r="K640" t="s">
        <v>1038</v>
      </c>
      <c r="L640" t="s">
        <v>992</v>
      </c>
      <c r="Q640" t="b">
        <v>1</v>
      </c>
      <c r="R640" t="b">
        <v>0</v>
      </c>
      <c r="T640" t="s">
        <v>992</v>
      </c>
      <c r="U640" t="s">
        <v>2420</v>
      </c>
      <c r="V640" t="s">
        <v>1061</v>
      </c>
      <c r="W640" t="s">
        <v>1034</v>
      </c>
      <c r="X640" t="s">
        <v>2454</v>
      </c>
    </row>
    <row r="641" spans="1:24" x14ac:dyDescent="0.25">
      <c r="A641" t="s">
        <v>42</v>
      </c>
      <c r="B641" t="s">
        <v>1298</v>
      </c>
      <c r="C641" t="s">
        <v>279</v>
      </c>
      <c r="E641" t="s">
        <v>1001</v>
      </c>
      <c r="F641">
        <v>733</v>
      </c>
      <c r="G641" t="s">
        <v>2418</v>
      </c>
      <c r="H641" t="s">
        <v>2453</v>
      </c>
      <c r="J641" t="s">
        <v>993</v>
      </c>
      <c r="K641" t="s">
        <v>1045</v>
      </c>
      <c r="L641" t="s">
        <v>992</v>
      </c>
      <c r="Q641" t="b">
        <v>1</v>
      </c>
      <c r="R641" t="b">
        <v>0</v>
      </c>
      <c r="T641" t="s">
        <v>992</v>
      </c>
      <c r="U641" t="s">
        <v>2420</v>
      </c>
      <c r="V641" t="s">
        <v>1061</v>
      </c>
      <c r="W641" t="s">
        <v>1034</v>
      </c>
      <c r="X641" t="s">
        <v>2454</v>
      </c>
    </row>
    <row r="642" spans="1:24" x14ac:dyDescent="0.25">
      <c r="A642" t="s">
        <v>42</v>
      </c>
      <c r="B642" t="s">
        <v>1300</v>
      </c>
      <c r="C642" t="s">
        <v>279</v>
      </c>
      <c r="E642" t="s">
        <v>1003</v>
      </c>
      <c r="F642">
        <v>1031</v>
      </c>
      <c r="G642" t="s">
        <v>2418</v>
      </c>
      <c r="H642" t="s">
        <v>2453</v>
      </c>
      <c r="J642" t="s">
        <v>993</v>
      </c>
      <c r="K642" t="s">
        <v>1054</v>
      </c>
      <c r="L642" t="s">
        <v>992</v>
      </c>
      <c r="Q642" t="b">
        <v>1</v>
      </c>
      <c r="R642" t="b">
        <v>0</v>
      </c>
      <c r="T642" t="s">
        <v>992</v>
      </c>
      <c r="U642" t="s">
        <v>2420</v>
      </c>
      <c r="V642" t="s">
        <v>1061</v>
      </c>
      <c r="W642" t="s">
        <v>1034</v>
      </c>
      <c r="X642" t="s">
        <v>2454</v>
      </c>
    </row>
    <row r="643" spans="1:24" x14ac:dyDescent="0.25">
      <c r="A643" t="s">
        <v>42</v>
      </c>
      <c r="B643" t="s">
        <v>2455</v>
      </c>
      <c r="C643" t="s">
        <v>279</v>
      </c>
      <c r="E643" t="s">
        <v>1005</v>
      </c>
      <c r="F643">
        <v>112</v>
      </c>
      <c r="G643" t="s">
        <v>2418</v>
      </c>
      <c r="H643" t="s">
        <v>2453</v>
      </c>
      <c r="J643" t="s">
        <v>993</v>
      </c>
      <c r="K643" t="s">
        <v>1065</v>
      </c>
      <c r="L643" t="s">
        <v>992</v>
      </c>
      <c r="Q643" t="b">
        <v>1</v>
      </c>
      <c r="R643" t="b">
        <v>0</v>
      </c>
      <c r="T643" t="s">
        <v>992</v>
      </c>
      <c r="U643" t="s">
        <v>2420</v>
      </c>
      <c r="V643" t="s">
        <v>1061</v>
      </c>
      <c r="W643" t="s">
        <v>1034</v>
      </c>
      <c r="X643" t="s">
        <v>2454</v>
      </c>
    </row>
    <row r="644" spans="1:24" x14ac:dyDescent="0.25">
      <c r="A644" t="s">
        <v>42</v>
      </c>
      <c r="B644" t="s">
        <v>2456</v>
      </c>
      <c r="C644" t="s">
        <v>279</v>
      </c>
      <c r="E644" t="s">
        <v>1007</v>
      </c>
      <c r="F644">
        <v>327</v>
      </c>
      <c r="G644" t="s">
        <v>2418</v>
      </c>
      <c r="H644" t="s">
        <v>2453</v>
      </c>
      <c r="J644" t="s">
        <v>993</v>
      </c>
      <c r="K644" t="s">
        <v>1072</v>
      </c>
      <c r="L644" t="s">
        <v>992</v>
      </c>
      <c r="Q644" t="b">
        <v>1</v>
      </c>
      <c r="R644" t="b">
        <v>0</v>
      </c>
      <c r="T644" t="s">
        <v>992</v>
      </c>
      <c r="U644" t="s">
        <v>2420</v>
      </c>
      <c r="V644" t="s">
        <v>1061</v>
      </c>
      <c r="W644" t="s">
        <v>1034</v>
      </c>
      <c r="X644" t="s">
        <v>2454</v>
      </c>
    </row>
    <row r="645" spans="1:24" x14ac:dyDescent="0.25">
      <c r="A645" t="s">
        <v>42</v>
      </c>
      <c r="B645" t="s">
        <v>2457</v>
      </c>
      <c r="C645" t="s">
        <v>279</v>
      </c>
      <c r="E645" t="s">
        <v>1009</v>
      </c>
      <c r="F645">
        <v>319</v>
      </c>
      <c r="G645" t="s">
        <v>2418</v>
      </c>
      <c r="H645" t="s">
        <v>2453</v>
      </c>
      <c r="J645" t="s">
        <v>993</v>
      </c>
      <c r="K645" t="s">
        <v>1079</v>
      </c>
      <c r="L645" t="s">
        <v>992</v>
      </c>
      <c r="Q645" t="b">
        <v>1</v>
      </c>
      <c r="R645" t="b">
        <v>0</v>
      </c>
      <c r="T645" t="s">
        <v>992</v>
      </c>
      <c r="U645" t="s">
        <v>2420</v>
      </c>
      <c r="V645" t="s">
        <v>1061</v>
      </c>
      <c r="W645" t="s">
        <v>1034</v>
      </c>
      <c r="X645" t="s">
        <v>2454</v>
      </c>
    </row>
    <row r="646" spans="1:24" x14ac:dyDescent="0.25">
      <c r="A646" t="s">
        <v>42</v>
      </c>
      <c r="B646" t="s">
        <v>2458</v>
      </c>
      <c r="C646" t="s">
        <v>279</v>
      </c>
      <c r="E646" t="s">
        <v>1011</v>
      </c>
      <c r="F646">
        <v>202</v>
      </c>
      <c r="G646" t="s">
        <v>2418</v>
      </c>
      <c r="H646" t="s">
        <v>2453</v>
      </c>
      <c r="J646" t="s">
        <v>993</v>
      </c>
      <c r="K646" t="s">
        <v>1087</v>
      </c>
      <c r="L646" t="s">
        <v>992</v>
      </c>
      <c r="Q646" t="b">
        <v>1</v>
      </c>
      <c r="R646" t="b">
        <v>0</v>
      </c>
      <c r="T646" t="s">
        <v>992</v>
      </c>
      <c r="U646" t="s">
        <v>2420</v>
      </c>
      <c r="V646" t="s">
        <v>1061</v>
      </c>
      <c r="W646" t="s">
        <v>1034</v>
      </c>
      <c r="X646" t="s">
        <v>2454</v>
      </c>
    </row>
    <row r="647" spans="1:24" x14ac:dyDescent="0.25">
      <c r="A647" t="s">
        <v>42</v>
      </c>
      <c r="B647" t="s">
        <v>2459</v>
      </c>
      <c r="C647" t="s">
        <v>279</v>
      </c>
      <c r="E647" t="s">
        <v>1013</v>
      </c>
      <c r="F647">
        <v>-43</v>
      </c>
      <c r="G647" t="s">
        <v>2418</v>
      </c>
      <c r="H647" t="s">
        <v>2453</v>
      </c>
      <c r="J647" t="s">
        <v>993</v>
      </c>
      <c r="K647" t="s">
        <v>1094</v>
      </c>
      <c r="L647" t="s">
        <v>992</v>
      </c>
      <c r="Q647" t="b">
        <v>1</v>
      </c>
      <c r="R647" t="b">
        <v>0</v>
      </c>
      <c r="T647" t="s">
        <v>992</v>
      </c>
      <c r="U647" t="s">
        <v>2420</v>
      </c>
      <c r="V647" t="s">
        <v>1061</v>
      </c>
      <c r="W647" t="s">
        <v>1034</v>
      </c>
      <c r="X647" t="s">
        <v>2454</v>
      </c>
    </row>
    <row r="648" spans="1:24" x14ac:dyDescent="0.25">
      <c r="A648" t="s">
        <v>42</v>
      </c>
      <c r="B648" t="s">
        <v>2460</v>
      </c>
      <c r="C648" t="s">
        <v>279</v>
      </c>
      <c r="E648" t="s">
        <v>1015</v>
      </c>
      <c r="F648">
        <v>-60</v>
      </c>
      <c r="G648" t="s">
        <v>2418</v>
      </c>
      <c r="H648" t="s">
        <v>2453</v>
      </c>
      <c r="J648" t="s">
        <v>993</v>
      </c>
      <c r="K648" t="s">
        <v>1103</v>
      </c>
      <c r="L648" t="s">
        <v>992</v>
      </c>
      <c r="Q648" t="b">
        <v>1</v>
      </c>
      <c r="R648" t="b">
        <v>0</v>
      </c>
      <c r="T648" t="s">
        <v>992</v>
      </c>
      <c r="U648" t="s">
        <v>2420</v>
      </c>
      <c r="V648" t="s">
        <v>1061</v>
      </c>
      <c r="W648" t="s">
        <v>1034</v>
      </c>
      <c r="X648" t="s">
        <v>2454</v>
      </c>
    </row>
    <row r="649" spans="1:24" x14ac:dyDescent="0.25">
      <c r="A649" t="s">
        <v>42</v>
      </c>
      <c r="B649" t="s">
        <v>2461</v>
      </c>
      <c r="C649" t="s">
        <v>279</v>
      </c>
      <c r="E649" t="s">
        <v>1017</v>
      </c>
      <c r="F649">
        <v>50</v>
      </c>
      <c r="G649" t="s">
        <v>2418</v>
      </c>
      <c r="H649" t="s">
        <v>2453</v>
      </c>
      <c r="J649" t="s">
        <v>993</v>
      </c>
      <c r="K649" t="s">
        <v>1110</v>
      </c>
      <c r="L649" t="s">
        <v>992</v>
      </c>
      <c r="Q649" t="b">
        <v>1</v>
      </c>
      <c r="R649" t="b">
        <v>0</v>
      </c>
      <c r="T649" t="s">
        <v>992</v>
      </c>
      <c r="U649" t="s">
        <v>2420</v>
      </c>
      <c r="V649" t="s">
        <v>1061</v>
      </c>
      <c r="W649" t="s">
        <v>1034</v>
      </c>
      <c r="X649" t="s">
        <v>2454</v>
      </c>
    </row>
    <row r="650" spans="1:24" x14ac:dyDescent="0.25">
      <c r="A650" t="s">
        <v>42</v>
      </c>
      <c r="B650" t="s">
        <v>1304</v>
      </c>
      <c r="C650" t="s">
        <v>279</v>
      </c>
      <c r="E650" t="s">
        <v>1019</v>
      </c>
      <c r="F650">
        <v>581</v>
      </c>
      <c r="G650" t="s">
        <v>2418</v>
      </c>
      <c r="H650" t="s">
        <v>2453</v>
      </c>
      <c r="J650" t="s">
        <v>993</v>
      </c>
      <c r="K650" t="s">
        <v>1117</v>
      </c>
      <c r="L650" t="s">
        <v>992</v>
      </c>
      <c r="Q650" t="b">
        <v>1</v>
      </c>
      <c r="R650" t="b">
        <v>0</v>
      </c>
      <c r="T650" t="s">
        <v>992</v>
      </c>
      <c r="U650" t="s">
        <v>2420</v>
      </c>
      <c r="V650" t="s">
        <v>1061</v>
      </c>
      <c r="W650" t="s">
        <v>1034</v>
      </c>
      <c r="X650" t="s">
        <v>2454</v>
      </c>
    </row>
    <row r="651" spans="1:24" x14ac:dyDescent="0.25">
      <c r="A651" t="s">
        <v>42</v>
      </c>
      <c r="B651" t="s">
        <v>2462</v>
      </c>
      <c r="C651" t="s">
        <v>279</v>
      </c>
      <c r="E651" t="s">
        <v>1021</v>
      </c>
      <c r="F651">
        <v>361</v>
      </c>
      <c r="G651" t="s">
        <v>2418</v>
      </c>
      <c r="H651" t="s">
        <v>2453</v>
      </c>
      <c r="J651" t="s">
        <v>993</v>
      </c>
      <c r="K651" t="s">
        <v>1124</v>
      </c>
      <c r="L651" t="s">
        <v>992</v>
      </c>
      <c r="Q651" t="b">
        <v>1</v>
      </c>
      <c r="R651" t="b">
        <v>0</v>
      </c>
      <c r="T651" t="s">
        <v>992</v>
      </c>
      <c r="U651" t="s">
        <v>2420</v>
      </c>
      <c r="V651" t="s">
        <v>1061</v>
      </c>
      <c r="W651" t="s">
        <v>1034</v>
      </c>
      <c r="X651" t="s">
        <v>2454</v>
      </c>
    </row>
    <row r="652" spans="1:24" x14ac:dyDescent="0.25">
      <c r="A652" t="s">
        <v>42</v>
      </c>
      <c r="B652" t="s">
        <v>2463</v>
      </c>
      <c r="C652" t="s">
        <v>279</v>
      </c>
      <c r="E652" t="s">
        <v>1130</v>
      </c>
      <c r="F652">
        <v>164</v>
      </c>
      <c r="G652" t="s">
        <v>2418</v>
      </c>
      <c r="H652" t="s">
        <v>2453</v>
      </c>
      <c r="J652" t="s">
        <v>993</v>
      </c>
      <c r="K652" t="s">
        <v>1132</v>
      </c>
      <c r="L652" t="s">
        <v>992</v>
      </c>
      <c r="Q652" t="b">
        <v>1</v>
      </c>
      <c r="R652" t="b">
        <v>0</v>
      </c>
      <c r="T652" t="s">
        <v>992</v>
      </c>
      <c r="U652" t="s">
        <v>2420</v>
      </c>
      <c r="V652" t="s">
        <v>1061</v>
      </c>
      <c r="W652" t="s">
        <v>1034</v>
      </c>
      <c r="X652" t="s">
        <v>2454</v>
      </c>
    </row>
    <row r="653" spans="1:24" x14ac:dyDescent="0.25">
      <c r="A653" t="s">
        <v>42</v>
      </c>
      <c r="B653" t="s">
        <v>2464</v>
      </c>
      <c r="C653" t="s">
        <v>330</v>
      </c>
      <c r="E653" t="s">
        <v>2465</v>
      </c>
      <c r="F653">
        <v>29965</v>
      </c>
      <c r="G653" t="s">
        <v>1051</v>
      </c>
      <c r="H653" t="s">
        <v>1430</v>
      </c>
      <c r="I653" t="s">
        <v>1422</v>
      </c>
      <c r="J653" t="s">
        <v>1423</v>
      </c>
      <c r="K653" t="s">
        <v>1087</v>
      </c>
      <c r="L653" t="s">
        <v>1088</v>
      </c>
      <c r="M653" t="s">
        <v>1056</v>
      </c>
      <c r="N653" t="s">
        <v>1089</v>
      </c>
      <c r="O653" t="s">
        <v>992</v>
      </c>
      <c r="P653" t="s">
        <v>1058</v>
      </c>
      <c r="Q653" t="b">
        <v>1</v>
      </c>
      <c r="R653" t="b">
        <v>0</v>
      </c>
      <c r="S653" t="s">
        <v>2466</v>
      </c>
      <c r="T653" t="s">
        <v>992</v>
      </c>
      <c r="U653" t="s">
        <v>1140</v>
      </c>
      <c r="V653" t="s">
        <v>995</v>
      </c>
      <c r="W653" t="s">
        <v>1034</v>
      </c>
      <c r="X653" t="s">
        <v>2467</v>
      </c>
    </row>
    <row r="654" spans="1:24" x14ac:dyDescent="0.25">
      <c r="A654" t="s">
        <v>42</v>
      </c>
      <c r="B654" t="s">
        <v>2468</v>
      </c>
      <c r="C654" t="s">
        <v>330</v>
      </c>
      <c r="E654" t="s">
        <v>2469</v>
      </c>
      <c r="F654">
        <v>29943</v>
      </c>
      <c r="G654" t="s">
        <v>1051</v>
      </c>
      <c r="H654" t="s">
        <v>1438</v>
      </c>
      <c r="I654" t="s">
        <v>1422</v>
      </c>
      <c r="J654" t="s">
        <v>1423</v>
      </c>
      <c r="K654" t="s">
        <v>1117</v>
      </c>
      <c r="L654" t="s">
        <v>1118</v>
      </c>
      <c r="M654" t="s">
        <v>1056</v>
      </c>
      <c r="N654" t="s">
        <v>1119</v>
      </c>
      <c r="O654" t="s">
        <v>992</v>
      </c>
      <c r="P654" t="s">
        <v>1090</v>
      </c>
      <c r="Q654" t="b">
        <v>1</v>
      </c>
      <c r="R654" t="b">
        <v>0</v>
      </c>
      <c r="S654" t="s">
        <v>2466</v>
      </c>
      <c r="T654" t="s">
        <v>992</v>
      </c>
      <c r="U654" t="s">
        <v>1140</v>
      </c>
      <c r="V654" t="s">
        <v>995</v>
      </c>
      <c r="W654" t="s">
        <v>1034</v>
      </c>
      <c r="X654" t="s">
        <v>2467</v>
      </c>
    </row>
    <row r="655" spans="1:24" x14ac:dyDescent="0.25">
      <c r="A655" t="s">
        <v>42</v>
      </c>
      <c r="B655" t="s">
        <v>2470</v>
      </c>
      <c r="C655" t="s">
        <v>330</v>
      </c>
      <c r="E655" t="s">
        <v>2471</v>
      </c>
      <c r="F655">
        <v>35934</v>
      </c>
      <c r="G655" t="s">
        <v>1051</v>
      </c>
      <c r="H655" t="s">
        <v>1449</v>
      </c>
      <c r="I655" t="s">
        <v>1422</v>
      </c>
      <c r="J655" t="s">
        <v>1423</v>
      </c>
      <c r="K655" t="s">
        <v>1132</v>
      </c>
      <c r="L655" t="s">
        <v>1133</v>
      </c>
      <c r="M655" t="s">
        <v>1028</v>
      </c>
      <c r="N655" t="s">
        <v>1134</v>
      </c>
      <c r="O655" t="s">
        <v>992</v>
      </c>
      <c r="P655" t="s">
        <v>1120</v>
      </c>
      <c r="Q655" t="b">
        <v>1</v>
      </c>
      <c r="R655" t="b">
        <v>0</v>
      </c>
      <c r="S655" t="s">
        <v>2466</v>
      </c>
      <c r="T655" t="s">
        <v>992</v>
      </c>
      <c r="U655" t="s">
        <v>1140</v>
      </c>
      <c r="V655" t="s">
        <v>995</v>
      </c>
      <c r="W655" t="s">
        <v>1034</v>
      </c>
      <c r="X655" t="s">
        <v>2467</v>
      </c>
    </row>
    <row r="656" spans="1:24" x14ac:dyDescent="0.25">
      <c r="A656" t="s">
        <v>42</v>
      </c>
      <c r="B656" t="s">
        <v>2472</v>
      </c>
      <c r="C656" t="s">
        <v>331</v>
      </c>
      <c r="E656" t="s">
        <v>2465</v>
      </c>
      <c r="F656">
        <v>29508</v>
      </c>
      <c r="G656" t="s">
        <v>1051</v>
      </c>
      <c r="H656" t="s">
        <v>1466</v>
      </c>
      <c r="I656" t="s">
        <v>1457</v>
      </c>
      <c r="J656" t="s">
        <v>1423</v>
      </c>
      <c r="K656" t="s">
        <v>1087</v>
      </c>
      <c r="L656" t="s">
        <v>1088</v>
      </c>
      <c r="M656" t="s">
        <v>1056</v>
      </c>
      <c r="N656" t="s">
        <v>1089</v>
      </c>
      <c r="O656" t="s">
        <v>992</v>
      </c>
      <c r="P656" t="s">
        <v>1058</v>
      </c>
      <c r="Q656" t="b">
        <v>1</v>
      </c>
      <c r="R656" t="b">
        <v>0</v>
      </c>
      <c r="S656" t="s">
        <v>2466</v>
      </c>
      <c r="T656" t="s">
        <v>992</v>
      </c>
      <c r="U656" t="s">
        <v>1140</v>
      </c>
      <c r="V656" t="s">
        <v>995</v>
      </c>
      <c r="W656" t="s">
        <v>1034</v>
      </c>
      <c r="X656" t="s">
        <v>2467</v>
      </c>
    </row>
    <row r="657" spans="1:24" x14ac:dyDescent="0.25">
      <c r="A657" t="s">
        <v>42</v>
      </c>
      <c r="B657" t="s">
        <v>2473</v>
      </c>
      <c r="C657" t="s">
        <v>331</v>
      </c>
      <c r="E657" t="s">
        <v>2469</v>
      </c>
      <c r="F657">
        <v>33410</v>
      </c>
      <c r="G657" t="s">
        <v>1051</v>
      </c>
      <c r="H657" t="s">
        <v>1478</v>
      </c>
      <c r="I657" t="s">
        <v>1457</v>
      </c>
      <c r="J657" t="s">
        <v>1423</v>
      </c>
      <c r="K657" t="s">
        <v>1117</v>
      </c>
      <c r="L657" t="s">
        <v>1118</v>
      </c>
      <c r="M657" t="s">
        <v>1056</v>
      </c>
      <c r="N657" t="s">
        <v>1119</v>
      </c>
      <c r="O657" t="s">
        <v>992</v>
      </c>
      <c r="P657" t="s">
        <v>1090</v>
      </c>
      <c r="Q657" t="b">
        <v>1</v>
      </c>
      <c r="R657" t="b">
        <v>0</v>
      </c>
      <c r="S657" t="s">
        <v>2466</v>
      </c>
      <c r="T657" t="s">
        <v>992</v>
      </c>
      <c r="U657" t="s">
        <v>1140</v>
      </c>
      <c r="V657" t="s">
        <v>995</v>
      </c>
      <c r="W657" t="s">
        <v>1034</v>
      </c>
      <c r="X657" t="s">
        <v>2467</v>
      </c>
    </row>
    <row r="658" spans="1:24" x14ac:dyDescent="0.25">
      <c r="A658" t="s">
        <v>42</v>
      </c>
      <c r="B658" t="s">
        <v>2474</v>
      </c>
      <c r="C658" t="s">
        <v>331</v>
      </c>
      <c r="E658" t="s">
        <v>2471</v>
      </c>
      <c r="F658">
        <v>39777</v>
      </c>
      <c r="G658" t="s">
        <v>1051</v>
      </c>
      <c r="H658" t="s">
        <v>1490</v>
      </c>
      <c r="I658" t="s">
        <v>1457</v>
      </c>
      <c r="J658" t="s">
        <v>1423</v>
      </c>
      <c r="K658" t="s">
        <v>1132</v>
      </c>
      <c r="L658" t="s">
        <v>1133</v>
      </c>
      <c r="M658" t="s">
        <v>1028</v>
      </c>
      <c r="N658" t="s">
        <v>1134</v>
      </c>
      <c r="O658" t="s">
        <v>992</v>
      </c>
      <c r="P658" t="s">
        <v>1120</v>
      </c>
      <c r="Q658" t="b">
        <v>1</v>
      </c>
      <c r="R658" t="b">
        <v>0</v>
      </c>
      <c r="S658" t="s">
        <v>2466</v>
      </c>
      <c r="T658" t="s">
        <v>992</v>
      </c>
      <c r="U658" t="s">
        <v>1140</v>
      </c>
      <c r="V658" t="s">
        <v>995</v>
      </c>
      <c r="W658" t="s">
        <v>1034</v>
      </c>
      <c r="X658" t="s">
        <v>2467</v>
      </c>
    </row>
    <row r="659" spans="1:24" x14ac:dyDescent="0.25">
      <c r="A659" t="s">
        <v>42</v>
      </c>
      <c r="B659" t="s">
        <v>2475</v>
      </c>
      <c r="C659" t="s">
        <v>332</v>
      </c>
      <c r="E659" t="s">
        <v>2465</v>
      </c>
      <c r="F659">
        <v>6331</v>
      </c>
      <c r="G659" t="s">
        <v>1051</v>
      </c>
      <c r="H659" t="s">
        <v>1506</v>
      </c>
      <c r="I659" t="s">
        <v>1500</v>
      </c>
      <c r="J659" t="s">
        <v>1423</v>
      </c>
      <c r="K659" t="s">
        <v>1087</v>
      </c>
      <c r="L659" t="s">
        <v>1088</v>
      </c>
      <c r="M659" t="s">
        <v>1056</v>
      </c>
      <c r="N659" t="s">
        <v>1089</v>
      </c>
      <c r="O659" t="s">
        <v>992</v>
      </c>
      <c r="P659" t="s">
        <v>1058</v>
      </c>
      <c r="Q659" t="b">
        <v>1</v>
      </c>
      <c r="R659" t="b">
        <v>0</v>
      </c>
      <c r="S659" t="s">
        <v>2466</v>
      </c>
      <c r="T659" t="s">
        <v>992</v>
      </c>
      <c r="U659" t="s">
        <v>1140</v>
      </c>
      <c r="V659" t="s">
        <v>995</v>
      </c>
      <c r="W659" t="s">
        <v>1034</v>
      </c>
      <c r="X659" t="s">
        <v>2467</v>
      </c>
    </row>
    <row r="660" spans="1:24" x14ac:dyDescent="0.25">
      <c r="A660" t="s">
        <v>42</v>
      </c>
      <c r="B660" t="s">
        <v>2476</v>
      </c>
      <c r="C660" t="s">
        <v>332</v>
      </c>
      <c r="E660" t="s">
        <v>2469</v>
      </c>
      <c r="F660">
        <v>7286</v>
      </c>
      <c r="G660" t="s">
        <v>1051</v>
      </c>
      <c r="H660" t="s">
        <v>1514</v>
      </c>
      <c r="I660" t="s">
        <v>1500</v>
      </c>
      <c r="J660" t="s">
        <v>1423</v>
      </c>
      <c r="K660" t="s">
        <v>1117</v>
      </c>
      <c r="L660" t="s">
        <v>1118</v>
      </c>
      <c r="M660" t="s">
        <v>1056</v>
      </c>
      <c r="N660" t="s">
        <v>1119</v>
      </c>
      <c r="O660" t="s">
        <v>992</v>
      </c>
      <c r="P660" t="s">
        <v>1090</v>
      </c>
      <c r="Q660" t="b">
        <v>1</v>
      </c>
      <c r="R660" t="b">
        <v>0</v>
      </c>
      <c r="S660" t="s">
        <v>2466</v>
      </c>
      <c r="T660" t="s">
        <v>992</v>
      </c>
      <c r="U660" t="s">
        <v>1140</v>
      </c>
      <c r="V660" t="s">
        <v>995</v>
      </c>
      <c r="W660" t="s">
        <v>1034</v>
      </c>
      <c r="X660" t="s">
        <v>2467</v>
      </c>
    </row>
    <row r="661" spans="1:24" x14ac:dyDescent="0.25">
      <c r="A661" t="s">
        <v>42</v>
      </c>
      <c r="B661" t="s">
        <v>2477</v>
      </c>
      <c r="C661" t="s">
        <v>332</v>
      </c>
      <c r="E661" t="s">
        <v>2471</v>
      </c>
      <c r="F661">
        <v>5718</v>
      </c>
      <c r="G661" t="s">
        <v>1051</v>
      </c>
      <c r="H661" t="s">
        <v>1522</v>
      </c>
      <c r="I661" t="s">
        <v>1500</v>
      </c>
      <c r="J661" t="s">
        <v>1423</v>
      </c>
      <c r="K661" t="s">
        <v>1132</v>
      </c>
      <c r="L661" t="s">
        <v>1133</v>
      </c>
      <c r="M661" t="s">
        <v>1028</v>
      </c>
      <c r="N661" t="s">
        <v>1134</v>
      </c>
      <c r="O661" t="s">
        <v>992</v>
      </c>
      <c r="P661" t="s">
        <v>1120</v>
      </c>
      <c r="Q661" t="b">
        <v>1</v>
      </c>
      <c r="R661" t="b">
        <v>0</v>
      </c>
      <c r="S661" t="s">
        <v>2466</v>
      </c>
      <c r="T661" t="s">
        <v>992</v>
      </c>
      <c r="U661" t="s">
        <v>1140</v>
      </c>
      <c r="V661" t="s">
        <v>995</v>
      </c>
      <c r="W661" t="s">
        <v>1034</v>
      </c>
      <c r="X661" t="s">
        <v>2467</v>
      </c>
    </row>
    <row r="662" spans="1:24" x14ac:dyDescent="0.25">
      <c r="A662" t="s">
        <v>42</v>
      </c>
      <c r="B662" t="s">
        <v>2478</v>
      </c>
      <c r="C662" t="s">
        <v>335</v>
      </c>
      <c r="E662" t="s">
        <v>2465</v>
      </c>
      <c r="F662">
        <v>43715</v>
      </c>
      <c r="G662" t="s">
        <v>1051</v>
      </c>
      <c r="H662" t="s">
        <v>1581</v>
      </c>
      <c r="I662" t="s">
        <v>1572</v>
      </c>
      <c r="J662" t="s">
        <v>1423</v>
      </c>
      <c r="K662" t="s">
        <v>1087</v>
      </c>
      <c r="L662" t="s">
        <v>1088</v>
      </c>
      <c r="M662" t="s">
        <v>1056</v>
      </c>
      <c r="N662" t="s">
        <v>1089</v>
      </c>
      <c r="O662" t="s">
        <v>992</v>
      </c>
      <c r="P662" t="s">
        <v>1058</v>
      </c>
      <c r="Q662" t="b">
        <v>1</v>
      </c>
      <c r="R662" t="b">
        <v>0</v>
      </c>
      <c r="S662" t="s">
        <v>2466</v>
      </c>
      <c r="T662" t="s">
        <v>992</v>
      </c>
      <c r="U662" t="s">
        <v>1140</v>
      </c>
      <c r="V662" t="s">
        <v>995</v>
      </c>
      <c r="W662" t="s">
        <v>1034</v>
      </c>
      <c r="X662" t="s">
        <v>2467</v>
      </c>
    </row>
    <row r="663" spans="1:24" x14ac:dyDescent="0.25">
      <c r="A663" t="s">
        <v>42</v>
      </c>
      <c r="B663" t="s">
        <v>2479</v>
      </c>
      <c r="C663" t="s">
        <v>335</v>
      </c>
      <c r="E663" t="s">
        <v>2469</v>
      </c>
      <c r="F663">
        <v>45680</v>
      </c>
      <c r="G663" t="s">
        <v>1051</v>
      </c>
      <c r="H663" t="s">
        <v>1593</v>
      </c>
      <c r="I663" t="s">
        <v>1572</v>
      </c>
      <c r="J663" t="s">
        <v>1423</v>
      </c>
      <c r="K663" t="s">
        <v>1117</v>
      </c>
      <c r="L663" t="s">
        <v>1118</v>
      </c>
      <c r="M663" t="s">
        <v>1056</v>
      </c>
      <c r="N663" t="s">
        <v>1119</v>
      </c>
      <c r="O663" t="s">
        <v>992</v>
      </c>
      <c r="P663" t="s">
        <v>1090</v>
      </c>
      <c r="Q663" t="b">
        <v>1</v>
      </c>
      <c r="R663" t="b">
        <v>0</v>
      </c>
      <c r="S663" t="s">
        <v>2466</v>
      </c>
      <c r="T663" t="s">
        <v>992</v>
      </c>
      <c r="U663" t="s">
        <v>1140</v>
      </c>
      <c r="V663" t="s">
        <v>995</v>
      </c>
      <c r="W663" t="s">
        <v>1034</v>
      </c>
      <c r="X663" t="s">
        <v>2467</v>
      </c>
    </row>
    <row r="664" spans="1:24" x14ac:dyDescent="0.25">
      <c r="A664" t="s">
        <v>42</v>
      </c>
      <c r="B664" t="s">
        <v>2480</v>
      </c>
      <c r="C664" t="s">
        <v>335</v>
      </c>
      <c r="E664" t="s">
        <v>2471</v>
      </c>
      <c r="F664">
        <v>49834</v>
      </c>
      <c r="G664" t="s">
        <v>1051</v>
      </c>
      <c r="H664" t="s">
        <v>1605</v>
      </c>
      <c r="I664" t="s">
        <v>1572</v>
      </c>
      <c r="J664" t="s">
        <v>1423</v>
      </c>
      <c r="K664" t="s">
        <v>1132</v>
      </c>
      <c r="L664" t="s">
        <v>1133</v>
      </c>
      <c r="M664" t="s">
        <v>1028</v>
      </c>
      <c r="N664" t="s">
        <v>1134</v>
      </c>
      <c r="O664" t="s">
        <v>992</v>
      </c>
      <c r="P664" t="s">
        <v>1120</v>
      </c>
      <c r="Q664" t="b">
        <v>1</v>
      </c>
      <c r="R664" t="b">
        <v>0</v>
      </c>
      <c r="S664" t="s">
        <v>2466</v>
      </c>
      <c r="T664" t="s">
        <v>992</v>
      </c>
      <c r="U664" t="s">
        <v>1140</v>
      </c>
      <c r="V664" t="s">
        <v>995</v>
      </c>
      <c r="W664" t="s">
        <v>1034</v>
      </c>
      <c r="X664" t="s">
        <v>2467</v>
      </c>
    </row>
    <row r="665" spans="1:24" x14ac:dyDescent="0.25">
      <c r="A665" t="s">
        <v>42</v>
      </c>
      <c r="B665" t="s">
        <v>2481</v>
      </c>
      <c r="C665" t="s">
        <v>336</v>
      </c>
      <c r="E665" t="s">
        <v>2465</v>
      </c>
      <c r="F665">
        <v>0</v>
      </c>
      <c r="G665" t="s">
        <v>1051</v>
      </c>
      <c r="H665" t="s">
        <v>1614</v>
      </c>
      <c r="I665" t="s">
        <v>1615</v>
      </c>
      <c r="J665" t="s">
        <v>1423</v>
      </c>
      <c r="K665" t="s">
        <v>992</v>
      </c>
      <c r="L665" t="s">
        <v>992</v>
      </c>
      <c r="M665" t="s">
        <v>992</v>
      </c>
      <c r="N665" t="s">
        <v>992</v>
      </c>
      <c r="O665" t="s">
        <v>992</v>
      </c>
      <c r="P665" t="s">
        <v>992</v>
      </c>
      <c r="Q665" t="b">
        <v>1</v>
      </c>
      <c r="R665" t="b">
        <v>0</v>
      </c>
      <c r="S665" t="s">
        <v>2466</v>
      </c>
      <c r="T665" t="s">
        <v>992</v>
      </c>
      <c r="U665" t="s">
        <v>1140</v>
      </c>
      <c r="V665" t="s">
        <v>995</v>
      </c>
      <c r="W665" t="s">
        <v>1034</v>
      </c>
      <c r="X665" t="s">
        <v>2467</v>
      </c>
    </row>
    <row r="666" spans="1:24" x14ac:dyDescent="0.25">
      <c r="A666" t="s">
        <v>42</v>
      </c>
      <c r="B666" t="s">
        <v>2482</v>
      </c>
      <c r="C666" t="s">
        <v>336</v>
      </c>
      <c r="E666" t="s">
        <v>2469</v>
      </c>
      <c r="F666">
        <v>0</v>
      </c>
      <c r="G666" t="s">
        <v>1051</v>
      </c>
      <c r="H666" t="s">
        <v>1614</v>
      </c>
      <c r="I666" t="s">
        <v>1615</v>
      </c>
      <c r="J666" t="s">
        <v>1423</v>
      </c>
      <c r="K666" t="s">
        <v>992</v>
      </c>
      <c r="L666" t="s">
        <v>992</v>
      </c>
      <c r="M666" t="s">
        <v>992</v>
      </c>
      <c r="N666" t="s">
        <v>992</v>
      </c>
      <c r="O666" t="s">
        <v>992</v>
      </c>
      <c r="P666" t="s">
        <v>992</v>
      </c>
      <c r="Q666" t="b">
        <v>1</v>
      </c>
      <c r="R666" t="b">
        <v>0</v>
      </c>
      <c r="S666" t="s">
        <v>2466</v>
      </c>
      <c r="T666" t="s">
        <v>992</v>
      </c>
      <c r="U666" t="s">
        <v>1140</v>
      </c>
      <c r="V666" t="s">
        <v>995</v>
      </c>
      <c r="W666" t="s">
        <v>1034</v>
      </c>
      <c r="X666" t="s">
        <v>2467</v>
      </c>
    </row>
    <row r="667" spans="1:24" x14ac:dyDescent="0.25">
      <c r="A667" t="s">
        <v>42</v>
      </c>
      <c r="B667" t="s">
        <v>2483</v>
      </c>
      <c r="C667" t="s">
        <v>336</v>
      </c>
      <c r="E667" t="s">
        <v>2471</v>
      </c>
      <c r="F667">
        <v>13301</v>
      </c>
      <c r="G667" t="s">
        <v>1051</v>
      </c>
      <c r="H667" t="s">
        <v>1637</v>
      </c>
      <c r="I667" t="s">
        <v>1638</v>
      </c>
      <c r="J667" t="s">
        <v>1423</v>
      </c>
      <c r="K667" t="s">
        <v>1132</v>
      </c>
      <c r="L667" t="s">
        <v>1133</v>
      </c>
      <c r="M667" t="s">
        <v>1028</v>
      </c>
      <c r="N667" t="s">
        <v>1134</v>
      </c>
      <c r="O667" t="s">
        <v>992</v>
      </c>
      <c r="P667" t="s">
        <v>1120</v>
      </c>
      <c r="Q667" t="b">
        <v>1</v>
      </c>
      <c r="R667" t="b">
        <v>0</v>
      </c>
      <c r="S667" t="s">
        <v>2466</v>
      </c>
      <c r="T667" t="s">
        <v>992</v>
      </c>
      <c r="U667" t="s">
        <v>1140</v>
      </c>
      <c r="V667" t="s">
        <v>995</v>
      </c>
      <c r="W667" t="s">
        <v>1034</v>
      </c>
      <c r="X667" t="s">
        <v>2467</v>
      </c>
    </row>
    <row r="668" spans="1:24" x14ac:dyDescent="0.25">
      <c r="A668" t="s">
        <v>42</v>
      </c>
      <c r="B668" t="s">
        <v>2484</v>
      </c>
      <c r="C668" t="s">
        <v>337</v>
      </c>
      <c r="E668" t="s">
        <v>2465</v>
      </c>
      <c r="F668">
        <v>0</v>
      </c>
      <c r="G668" t="s">
        <v>1051</v>
      </c>
      <c r="H668" t="s">
        <v>1646</v>
      </c>
      <c r="I668" t="s">
        <v>337</v>
      </c>
      <c r="J668" t="s">
        <v>1423</v>
      </c>
      <c r="K668" t="s">
        <v>992</v>
      </c>
      <c r="L668" t="s">
        <v>992</v>
      </c>
      <c r="M668" t="s">
        <v>992</v>
      </c>
      <c r="N668" t="s">
        <v>992</v>
      </c>
      <c r="O668" t="s">
        <v>992</v>
      </c>
      <c r="P668" t="s">
        <v>992</v>
      </c>
      <c r="Q668" t="b">
        <v>1</v>
      </c>
      <c r="R668" t="b">
        <v>0</v>
      </c>
      <c r="S668" t="s">
        <v>2466</v>
      </c>
      <c r="T668" t="s">
        <v>992</v>
      </c>
      <c r="U668" t="s">
        <v>1140</v>
      </c>
      <c r="V668" t="s">
        <v>995</v>
      </c>
      <c r="W668" t="s">
        <v>1034</v>
      </c>
      <c r="X668" t="s">
        <v>2467</v>
      </c>
    </row>
    <row r="669" spans="1:24" x14ac:dyDescent="0.25">
      <c r="A669" t="s">
        <v>42</v>
      </c>
      <c r="B669" t="s">
        <v>2485</v>
      </c>
      <c r="C669" t="s">
        <v>337</v>
      </c>
      <c r="E669" t="s">
        <v>2469</v>
      </c>
      <c r="F669">
        <v>0</v>
      </c>
      <c r="G669" t="s">
        <v>1051</v>
      </c>
      <c r="H669" t="s">
        <v>1646</v>
      </c>
      <c r="I669" t="s">
        <v>337</v>
      </c>
      <c r="J669" t="s">
        <v>1423</v>
      </c>
      <c r="K669" t="s">
        <v>992</v>
      </c>
      <c r="L669" t="s">
        <v>992</v>
      </c>
      <c r="M669" t="s">
        <v>992</v>
      </c>
      <c r="N669" t="s">
        <v>992</v>
      </c>
      <c r="O669" t="s">
        <v>992</v>
      </c>
      <c r="P669" t="s">
        <v>992</v>
      </c>
      <c r="Q669" t="b">
        <v>1</v>
      </c>
      <c r="R669" t="b">
        <v>0</v>
      </c>
      <c r="S669" t="s">
        <v>2466</v>
      </c>
      <c r="T669" t="s">
        <v>992</v>
      </c>
      <c r="U669" t="s">
        <v>1140</v>
      </c>
      <c r="V669" t="s">
        <v>995</v>
      </c>
      <c r="W669" t="s">
        <v>1034</v>
      </c>
      <c r="X669" t="s">
        <v>2467</v>
      </c>
    </row>
    <row r="670" spans="1:24" x14ac:dyDescent="0.25">
      <c r="A670" t="s">
        <v>42</v>
      </c>
      <c r="B670" t="s">
        <v>2486</v>
      </c>
      <c r="C670" t="s">
        <v>337</v>
      </c>
      <c r="E670" t="s">
        <v>2471</v>
      </c>
      <c r="F670">
        <v>0</v>
      </c>
      <c r="G670" t="s">
        <v>1051</v>
      </c>
      <c r="H670" t="s">
        <v>1646</v>
      </c>
      <c r="I670" t="s">
        <v>337</v>
      </c>
      <c r="J670" t="s">
        <v>1423</v>
      </c>
      <c r="K670" t="s">
        <v>992</v>
      </c>
      <c r="L670" t="s">
        <v>992</v>
      </c>
      <c r="M670" t="s">
        <v>992</v>
      </c>
      <c r="N670" t="s">
        <v>992</v>
      </c>
      <c r="O670" t="s">
        <v>992</v>
      </c>
      <c r="P670" t="s">
        <v>992</v>
      </c>
      <c r="Q670" t="b">
        <v>1</v>
      </c>
      <c r="R670" t="b">
        <v>0</v>
      </c>
      <c r="S670" t="s">
        <v>2466</v>
      </c>
      <c r="T670" t="s">
        <v>992</v>
      </c>
      <c r="U670" t="s">
        <v>1140</v>
      </c>
      <c r="V670" t="s">
        <v>995</v>
      </c>
      <c r="W670" t="s">
        <v>1034</v>
      </c>
      <c r="X670" t="s">
        <v>2467</v>
      </c>
    </row>
    <row r="671" spans="1:24" x14ac:dyDescent="0.25">
      <c r="A671" t="s">
        <v>42</v>
      </c>
      <c r="B671" t="s">
        <v>2487</v>
      </c>
      <c r="C671" t="s">
        <v>341</v>
      </c>
      <c r="E671" t="s">
        <v>2465</v>
      </c>
      <c r="F671">
        <v>62611</v>
      </c>
      <c r="G671" t="s">
        <v>1051</v>
      </c>
      <c r="H671" t="s">
        <v>1719</v>
      </c>
      <c r="I671" t="s">
        <v>1710</v>
      </c>
      <c r="J671" t="s">
        <v>1423</v>
      </c>
      <c r="K671" t="s">
        <v>1087</v>
      </c>
      <c r="L671" t="s">
        <v>1088</v>
      </c>
      <c r="M671" t="s">
        <v>1056</v>
      </c>
      <c r="N671" t="s">
        <v>1089</v>
      </c>
      <c r="O671" t="s">
        <v>992</v>
      </c>
      <c r="P671" t="s">
        <v>1058</v>
      </c>
      <c r="Q671" t="b">
        <v>1</v>
      </c>
      <c r="R671" t="b">
        <v>0</v>
      </c>
      <c r="S671" t="s">
        <v>2466</v>
      </c>
      <c r="T671" t="s">
        <v>992</v>
      </c>
      <c r="U671" t="s">
        <v>1140</v>
      </c>
      <c r="V671" t="s">
        <v>995</v>
      </c>
      <c r="W671" t="s">
        <v>1034</v>
      </c>
      <c r="X671" t="s">
        <v>2467</v>
      </c>
    </row>
    <row r="672" spans="1:24" x14ac:dyDescent="0.25">
      <c r="A672" t="s">
        <v>42</v>
      </c>
      <c r="B672" t="s">
        <v>2488</v>
      </c>
      <c r="C672" t="s">
        <v>341</v>
      </c>
      <c r="E672" t="s">
        <v>2469</v>
      </c>
      <c r="F672">
        <v>68960</v>
      </c>
      <c r="G672" t="s">
        <v>1051</v>
      </c>
      <c r="H672" t="s">
        <v>1731</v>
      </c>
      <c r="I672" t="s">
        <v>1710</v>
      </c>
      <c r="J672" t="s">
        <v>1423</v>
      </c>
      <c r="K672" t="s">
        <v>1117</v>
      </c>
      <c r="L672" t="s">
        <v>1118</v>
      </c>
      <c r="M672" t="s">
        <v>1056</v>
      </c>
      <c r="N672" t="s">
        <v>1119</v>
      </c>
      <c r="O672" t="s">
        <v>992</v>
      </c>
      <c r="P672" t="s">
        <v>1090</v>
      </c>
      <c r="Q672" t="b">
        <v>1</v>
      </c>
      <c r="R672" t="b">
        <v>0</v>
      </c>
      <c r="S672" t="s">
        <v>2466</v>
      </c>
      <c r="T672" t="s">
        <v>992</v>
      </c>
      <c r="U672" t="s">
        <v>1140</v>
      </c>
      <c r="V672" t="s">
        <v>995</v>
      </c>
      <c r="W672" t="s">
        <v>1034</v>
      </c>
      <c r="X672" t="s">
        <v>2467</v>
      </c>
    </row>
    <row r="673" spans="1:24" x14ac:dyDescent="0.25">
      <c r="A673" t="s">
        <v>42</v>
      </c>
      <c r="B673" t="s">
        <v>2489</v>
      </c>
      <c r="C673" t="s">
        <v>341</v>
      </c>
      <c r="E673" t="s">
        <v>2471</v>
      </c>
      <c r="F673">
        <v>69860</v>
      </c>
      <c r="G673" t="s">
        <v>1051</v>
      </c>
      <c r="H673" t="s">
        <v>1743</v>
      </c>
      <c r="I673" t="s">
        <v>1710</v>
      </c>
      <c r="J673" t="s">
        <v>1423</v>
      </c>
      <c r="K673" t="s">
        <v>1132</v>
      </c>
      <c r="L673" t="s">
        <v>1133</v>
      </c>
      <c r="M673" t="s">
        <v>1028</v>
      </c>
      <c r="N673" t="s">
        <v>1134</v>
      </c>
      <c r="O673" t="s">
        <v>992</v>
      </c>
      <c r="P673" t="s">
        <v>1120</v>
      </c>
      <c r="Q673" t="b">
        <v>1</v>
      </c>
      <c r="R673" t="b">
        <v>0</v>
      </c>
      <c r="S673" t="s">
        <v>2466</v>
      </c>
      <c r="T673" t="s">
        <v>992</v>
      </c>
      <c r="U673" t="s">
        <v>1140</v>
      </c>
      <c r="V673" t="s">
        <v>995</v>
      </c>
      <c r="W673" t="s">
        <v>1034</v>
      </c>
      <c r="X673" t="s">
        <v>2467</v>
      </c>
    </row>
    <row r="674" spans="1:24" x14ac:dyDescent="0.25">
      <c r="A674" t="s">
        <v>42</v>
      </c>
      <c r="B674" t="s">
        <v>2490</v>
      </c>
      <c r="C674" t="s">
        <v>333</v>
      </c>
      <c r="E674" t="s">
        <v>2465</v>
      </c>
      <c r="F674">
        <v>77762</v>
      </c>
      <c r="G674" t="s">
        <v>1051</v>
      </c>
      <c r="H674" t="s">
        <v>1538</v>
      </c>
      <c r="I674" t="s">
        <v>1529</v>
      </c>
      <c r="J674" t="s">
        <v>1423</v>
      </c>
      <c r="K674" t="s">
        <v>1087</v>
      </c>
      <c r="L674" t="s">
        <v>1088</v>
      </c>
      <c r="M674" t="s">
        <v>1056</v>
      </c>
      <c r="N674" t="s">
        <v>1089</v>
      </c>
      <c r="O674" t="s">
        <v>992</v>
      </c>
      <c r="P674" t="s">
        <v>1058</v>
      </c>
      <c r="Q674" t="b">
        <v>1</v>
      </c>
      <c r="R674" t="b">
        <v>0</v>
      </c>
      <c r="S674" t="s">
        <v>2466</v>
      </c>
      <c r="T674" t="s">
        <v>992</v>
      </c>
      <c r="U674" t="s">
        <v>1140</v>
      </c>
      <c r="V674" t="s">
        <v>995</v>
      </c>
      <c r="W674" t="s">
        <v>1034</v>
      </c>
      <c r="X674" t="s">
        <v>2467</v>
      </c>
    </row>
    <row r="675" spans="1:24" x14ac:dyDescent="0.25">
      <c r="A675" t="s">
        <v>42</v>
      </c>
      <c r="B675" t="s">
        <v>2491</v>
      </c>
      <c r="C675" t="s">
        <v>333</v>
      </c>
      <c r="E675" t="s">
        <v>2469</v>
      </c>
      <c r="F675">
        <v>82348</v>
      </c>
      <c r="G675" t="s">
        <v>1051</v>
      </c>
      <c r="H675" t="s">
        <v>1550</v>
      </c>
      <c r="I675" t="s">
        <v>1529</v>
      </c>
      <c r="J675" t="s">
        <v>1423</v>
      </c>
      <c r="K675" t="s">
        <v>1117</v>
      </c>
      <c r="L675" t="s">
        <v>1118</v>
      </c>
      <c r="M675" t="s">
        <v>1056</v>
      </c>
      <c r="N675" t="s">
        <v>1119</v>
      </c>
      <c r="O675" t="s">
        <v>992</v>
      </c>
      <c r="P675" t="s">
        <v>1090</v>
      </c>
      <c r="Q675" t="b">
        <v>1</v>
      </c>
      <c r="R675" t="b">
        <v>0</v>
      </c>
      <c r="S675" t="s">
        <v>2466</v>
      </c>
      <c r="T675" t="s">
        <v>992</v>
      </c>
      <c r="U675" t="s">
        <v>1140</v>
      </c>
      <c r="V675" t="s">
        <v>995</v>
      </c>
      <c r="W675" t="s">
        <v>1034</v>
      </c>
      <c r="X675" t="s">
        <v>2467</v>
      </c>
    </row>
    <row r="676" spans="1:24" x14ac:dyDescent="0.25">
      <c r="A676" t="s">
        <v>42</v>
      </c>
      <c r="B676" t="s">
        <v>2492</v>
      </c>
      <c r="C676" t="s">
        <v>333</v>
      </c>
      <c r="E676" t="s">
        <v>2471</v>
      </c>
      <c r="F676">
        <v>66528</v>
      </c>
      <c r="G676" t="s">
        <v>1051</v>
      </c>
      <c r="H676" t="s">
        <v>1562</v>
      </c>
      <c r="I676" t="s">
        <v>1529</v>
      </c>
      <c r="J676" t="s">
        <v>1423</v>
      </c>
      <c r="K676" t="s">
        <v>1132</v>
      </c>
      <c r="L676" t="s">
        <v>1133</v>
      </c>
      <c r="M676" t="s">
        <v>1028</v>
      </c>
      <c r="N676" t="s">
        <v>1134</v>
      </c>
      <c r="O676" t="s">
        <v>992</v>
      </c>
      <c r="P676" t="s">
        <v>1120</v>
      </c>
      <c r="Q676" t="b">
        <v>1</v>
      </c>
      <c r="R676" t="b">
        <v>0</v>
      </c>
      <c r="S676" t="s">
        <v>2466</v>
      </c>
      <c r="T676" t="s">
        <v>992</v>
      </c>
      <c r="U676" t="s">
        <v>1140</v>
      </c>
      <c r="V676" t="s">
        <v>995</v>
      </c>
      <c r="W676" t="s">
        <v>1034</v>
      </c>
      <c r="X676" t="s">
        <v>2467</v>
      </c>
    </row>
    <row r="677" spans="1:24" x14ac:dyDescent="0.25">
      <c r="A677" t="s">
        <v>42</v>
      </c>
      <c r="B677" t="s">
        <v>2493</v>
      </c>
      <c r="C677" t="s">
        <v>338</v>
      </c>
      <c r="E677" t="s">
        <v>2465</v>
      </c>
      <c r="F677">
        <v>165302</v>
      </c>
      <c r="G677" t="s">
        <v>1051</v>
      </c>
      <c r="H677" t="s">
        <v>1682</v>
      </c>
      <c r="I677" t="s">
        <v>1676</v>
      </c>
      <c r="J677" t="s">
        <v>1423</v>
      </c>
      <c r="K677" t="s">
        <v>1087</v>
      </c>
      <c r="L677" t="s">
        <v>1088</v>
      </c>
      <c r="M677" t="s">
        <v>1056</v>
      </c>
      <c r="N677" t="s">
        <v>1089</v>
      </c>
      <c r="O677" t="s">
        <v>992</v>
      </c>
      <c r="P677" t="s">
        <v>1058</v>
      </c>
      <c r="Q677" t="b">
        <v>1</v>
      </c>
      <c r="R677" t="b">
        <v>0</v>
      </c>
      <c r="S677" t="s">
        <v>2466</v>
      </c>
      <c r="T677" t="s">
        <v>992</v>
      </c>
      <c r="U677" t="s">
        <v>1140</v>
      </c>
      <c r="V677" t="s">
        <v>995</v>
      </c>
      <c r="W677" t="s">
        <v>1034</v>
      </c>
      <c r="X677" t="s">
        <v>2467</v>
      </c>
    </row>
    <row r="678" spans="1:24" x14ac:dyDescent="0.25">
      <c r="A678" t="s">
        <v>42</v>
      </c>
      <c r="B678" t="s">
        <v>2494</v>
      </c>
      <c r="C678" t="s">
        <v>338</v>
      </c>
      <c r="E678" t="s">
        <v>2469</v>
      </c>
      <c r="F678">
        <v>166313</v>
      </c>
      <c r="G678" t="s">
        <v>1051</v>
      </c>
      <c r="H678" t="s">
        <v>1690</v>
      </c>
      <c r="I678" t="s">
        <v>1676</v>
      </c>
      <c r="J678" t="s">
        <v>1423</v>
      </c>
      <c r="K678" t="s">
        <v>1117</v>
      </c>
      <c r="L678" t="s">
        <v>1118</v>
      </c>
      <c r="M678" t="s">
        <v>1056</v>
      </c>
      <c r="N678" t="s">
        <v>1119</v>
      </c>
      <c r="O678" t="s">
        <v>992</v>
      </c>
      <c r="P678" t="s">
        <v>1090</v>
      </c>
      <c r="Q678" t="b">
        <v>1</v>
      </c>
      <c r="R678" t="b">
        <v>0</v>
      </c>
      <c r="S678" t="s">
        <v>2466</v>
      </c>
      <c r="T678" t="s">
        <v>992</v>
      </c>
      <c r="U678" t="s">
        <v>1140</v>
      </c>
      <c r="V678" t="s">
        <v>995</v>
      </c>
      <c r="W678" t="s">
        <v>1034</v>
      </c>
      <c r="X678" t="s">
        <v>2467</v>
      </c>
    </row>
    <row r="679" spans="1:24" x14ac:dyDescent="0.25">
      <c r="A679" t="s">
        <v>42</v>
      </c>
      <c r="B679" t="s">
        <v>2495</v>
      </c>
      <c r="C679" t="s">
        <v>338</v>
      </c>
      <c r="E679" t="s">
        <v>2471</v>
      </c>
      <c r="F679">
        <v>148149</v>
      </c>
      <c r="G679" t="s">
        <v>1051</v>
      </c>
      <c r="H679" t="s">
        <v>1701</v>
      </c>
      <c r="I679" t="s">
        <v>1702</v>
      </c>
      <c r="J679" t="s">
        <v>1423</v>
      </c>
      <c r="K679" t="s">
        <v>1132</v>
      </c>
      <c r="L679" t="s">
        <v>1133</v>
      </c>
      <c r="M679" t="s">
        <v>1028</v>
      </c>
      <c r="N679" t="s">
        <v>1134</v>
      </c>
      <c r="O679" t="s">
        <v>992</v>
      </c>
      <c r="P679" t="s">
        <v>1120</v>
      </c>
      <c r="Q679" t="b">
        <v>1</v>
      </c>
      <c r="R679" t="b">
        <v>0</v>
      </c>
      <c r="S679" t="s">
        <v>2466</v>
      </c>
      <c r="T679" t="s">
        <v>992</v>
      </c>
      <c r="U679" t="s">
        <v>1140</v>
      </c>
      <c r="V679" t="s">
        <v>995</v>
      </c>
      <c r="W679" t="s">
        <v>1034</v>
      </c>
      <c r="X679" t="s">
        <v>2467</v>
      </c>
    </row>
    <row r="680" spans="1:24" x14ac:dyDescent="0.25">
      <c r="A680" t="s">
        <v>42</v>
      </c>
      <c r="B680" t="s">
        <v>2496</v>
      </c>
      <c r="C680" t="s">
        <v>342</v>
      </c>
      <c r="E680" t="s">
        <v>2465</v>
      </c>
      <c r="F680">
        <v>74636</v>
      </c>
      <c r="G680" t="s">
        <v>1051</v>
      </c>
      <c r="H680" t="s">
        <v>1762</v>
      </c>
      <c r="I680" t="s">
        <v>1753</v>
      </c>
      <c r="J680" t="s">
        <v>1423</v>
      </c>
      <c r="K680" t="s">
        <v>1087</v>
      </c>
      <c r="L680" t="s">
        <v>1088</v>
      </c>
      <c r="M680" t="s">
        <v>1056</v>
      </c>
      <c r="N680" t="s">
        <v>1089</v>
      </c>
      <c r="O680" t="s">
        <v>992</v>
      </c>
      <c r="P680" t="s">
        <v>1058</v>
      </c>
      <c r="Q680" t="b">
        <v>1</v>
      </c>
      <c r="R680" t="b">
        <v>0</v>
      </c>
      <c r="S680" t="s">
        <v>2466</v>
      </c>
      <c r="T680" t="s">
        <v>992</v>
      </c>
      <c r="U680" t="s">
        <v>1140</v>
      </c>
      <c r="V680" t="s">
        <v>995</v>
      </c>
      <c r="W680" t="s">
        <v>1034</v>
      </c>
      <c r="X680" t="s">
        <v>2467</v>
      </c>
    </row>
    <row r="681" spans="1:24" x14ac:dyDescent="0.25">
      <c r="A681" t="s">
        <v>42</v>
      </c>
      <c r="B681" t="s">
        <v>2497</v>
      </c>
      <c r="C681" t="s">
        <v>342</v>
      </c>
      <c r="E681" t="s">
        <v>2469</v>
      </c>
      <c r="F681">
        <v>99183</v>
      </c>
      <c r="G681" t="s">
        <v>1051</v>
      </c>
      <c r="H681" t="s">
        <v>1773</v>
      </c>
      <c r="I681" t="s">
        <v>1753</v>
      </c>
      <c r="J681" t="s">
        <v>1423</v>
      </c>
      <c r="K681" t="s">
        <v>1117</v>
      </c>
      <c r="L681" t="s">
        <v>1118</v>
      </c>
      <c r="M681" t="s">
        <v>1056</v>
      </c>
      <c r="N681" t="s">
        <v>1119</v>
      </c>
      <c r="O681" t="s">
        <v>992</v>
      </c>
      <c r="P681" t="s">
        <v>1090</v>
      </c>
      <c r="Q681" t="b">
        <v>1</v>
      </c>
      <c r="R681" t="b">
        <v>0</v>
      </c>
      <c r="S681" t="s">
        <v>2466</v>
      </c>
      <c r="T681" t="s">
        <v>992</v>
      </c>
      <c r="U681" t="s">
        <v>1140</v>
      </c>
      <c r="V681" t="s">
        <v>995</v>
      </c>
      <c r="W681" t="s">
        <v>1034</v>
      </c>
      <c r="X681" t="s">
        <v>2467</v>
      </c>
    </row>
    <row r="682" spans="1:24" x14ac:dyDescent="0.25">
      <c r="A682" t="s">
        <v>42</v>
      </c>
      <c r="B682" t="s">
        <v>2498</v>
      </c>
      <c r="C682" t="s">
        <v>342</v>
      </c>
      <c r="E682" t="s">
        <v>2471</v>
      </c>
      <c r="F682">
        <v>86716</v>
      </c>
      <c r="G682" t="s">
        <v>1051</v>
      </c>
      <c r="H682" t="s">
        <v>1785</v>
      </c>
      <c r="I682" t="s">
        <v>1753</v>
      </c>
      <c r="J682" t="s">
        <v>1423</v>
      </c>
      <c r="K682" t="s">
        <v>1132</v>
      </c>
      <c r="L682" t="s">
        <v>1133</v>
      </c>
      <c r="M682" t="s">
        <v>1028</v>
      </c>
      <c r="N682" t="s">
        <v>1134</v>
      </c>
      <c r="O682" t="s">
        <v>992</v>
      </c>
      <c r="P682" t="s">
        <v>1120</v>
      </c>
      <c r="Q682" t="b">
        <v>1</v>
      </c>
      <c r="R682" t="b">
        <v>0</v>
      </c>
      <c r="S682" t="s">
        <v>2466</v>
      </c>
      <c r="T682" t="s">
        <v>992</v>
      </c>
      <c r="U682" t="s">
        <v>1140</v>
      </c>
      <c r="V682" t="s">
        <v>995</v>
      </c>
      <c r="W682" t="s">
        <v>1034</v>
      </c>
      <c r="X682" t="s">
        <v>2467</v>
      </c>
    </row>
    <row r="683" spans="1:24" x14ac:dyDescent="0.25">
      <c r="A683" t="s">
        <v>42</v>
      </c>
      <c r="B683" t="s">
        <v>2499</v>
      </c>
      <c r="C683" t="s">
        <v>343</v>
      </c>
      <c r="E683" t="s">
        <v>2465</v>
      </c>
      <c r="F683">
        <v>8061</v>
      </c>
      <c r="G683" t="s">
        <v>1051</v>
      </c>
      <c r="H683" t="s">
        <v>1801</v>
      </c>
      <c r="I683" t="s">
        <v>1795</v>
      </c>
      <c r="J683" t="s">
        <v>1423</v>
      </c>
      <c r="K683" t="s">
        <v>1087</v>
      </c>
      <c r="L683" t="s">
        <v>1088</v>
      </c>
      <c r="M683" t="s">
        <v>1056</v>
      </c>
      <c r="N683" t="s">
        <v>1089</v>
      </c>
      <c r="O683" t="s">
        <v>992</v>
      </c>
      <c r="P683" t="s">
        <v>1058</v>
      </c>
      <c r="Q683" t="b">
        <v>1</v>
      </c>
      <c r="R683" t="b">
        <v>0</v>
      </c>
      <c r="S683" t="s">
        <v>2466</v>
      </c>
      <c r="T683" t="s">
        <v>992</v>
      </c>
      <c r="U683" t="s">
        <v>1140</v>
      </c>
      <c r="V683" t="s">
        <v>995</v>
      </c>
      <c r="W683" t="s">
        <v>1034</v>
      </c>
      <c r="X683" t="s">
        <v>2467</v>
      </c>
    </row>
    <row r="684" spans="1:24" x14ac:dyDescent="0.25">
      <c r="A684" t="s">
        <v>42</v>
      </c>
      <c r="B684" t="s">
        <v>2500</v>
      </c>
      <c r="C684" t="s">
        <v>343</v>
      </c>
      <c r="E684" t="s">
        <v>2469</v>
      </c>
      <c r="F684">
        <v>8249</v>
      </c>
      <c r="G684" t="s">
        <v>1051</v>
      </c>
      <c r="H684" t="s">
        <v>1809</v>
      </c>
      <c r="I684" t="s">
        <v>1795</v>
      </c>
      <c r="J684" t="s">
        <v>1423</v>
      </c>
      <c r="K684" t="s">
        <v>1117</v>
      </c>
      <c r="L684" t="s">
        <v>1118</v>
      </c>
      <c r="M684" t="s">
        <v>1056</v>
      </c>
      <c r="N684" t="s">
        <v>1119</v>
      </c>
      <c r="O684" t="s">
        <v>992</v>
      </c>
      <c r="P684" t="s">
        <v>1090</v>
      </c>
      <c r="Q684" t="b">
        <v>1</v>
      </c>
      <c r="R684" t="b">
        <v>0</v>
      </c>
      <c r="S684" t="s">
        <v>2466</v>
      </c>
      <c r="T684" t="s">
        <v>992</v>
      </c>
      <c r="U684" t="s">
        <v>1140</v>
      </c>
      <c r="V684" t="s">
        <v>995</v>
      </c>
      <c r="W684" t="s">
        <v>1034</v>
      </c>
      <c r="X684" t="s">
        <v>2467</v>
      </c>
    </row>
    <row r="685" spans="1:24" x14ac:dyDescent="0.25">
      <c r="A685" t="s">
        <v>42</v>
      </c>
      <c r="B685" t="s">
        <v>2501</v>
      </c>
      <c r="C685" t="s">
        <v>343</v>
      </c>
      <c r="E685" t="s">
        <v>2471</v>
      </c>
      <c r="F685">
        <v>9055</v>
      </c>
      <c r="G685" t="s">
        <v>1051</v>
      </c>
      <c r="H685" t="s">
        <v>1820</v>
      </c>
      <c r="I685" t="s">
        <v>1795</v>
      </c>
      <c r="J685" t="s">
        <v>1423</v>
      </c>
      <c r="K685" t="s">
        <v>1132</v>
      </c>
      <c r="L685" t="s">
        <v>1133</v>
      </c>
      <c r="M685" t="s">
        <v>1028</v>
      </c>
      <c r="N685" t="s">
        <v>1134</v>
      </c>
      <c r="O685" t="s">
        <v>992</v>
      </c>
      <c r="P685" t="s">
        <v>1120</v>
      </c>
      <c r="Q685" t="b">
        <v>1</v>
      </c>
      <c r="R685" t="b">
        <v>0</v>
      </c>
      <c r="S685" t="s">
        <v>2466</v>
      </c>
      <c r="T685" t="s">
        <v>992</v>
      </c>
      <c r="U685" t="s">
        <v>1140</v>
      </c>
      <c r="V685" t="s">
        <v>995</v>
      </c>
      <c r="W685" t="s">
        <v>1034</v>
      </c>
      <c r="X685" t="s">
        <v>2467</v>
      </c>
    </row>
    <row r="686" spans="1:24" x14ac:dyDescent="0.25">
      <c r="A686" t="s">
        <v>42</v>
      </c>
      <c r="B686" t="s">
        <v>2502</v>
      </c>
      <c r="C686" t="s">
        <v>346</v>
      </c>
      <c r="E686" t="s">
        <v>2465</v>
      </c>
      <c r="F686">
        <v>95281</v>
      </c>
      <c r="G686" t="s">
        <v>1051</v>
      </c>
      <c r="H686" t="s">
        <v>1834</v>
      </c>
      <c r="I686" t="s">
        <v>1828</v>
      </c>
      <c r="J686" t="s">
        <v>1423</v>
      </c>
      <c r="K686" t="s">
        <v>1087</v>
      </c>
      <c r="L686" t="s">
        <v>1088</v>
      </c>
      <c r="M686" t="s">
        <v>1056</v>
      </c>
      <c r="N686" t="s">
        <v>1089</v>
      </c>
      <c r="O686" t="s">
        <v>992</v>
      </c>
      <c r="P686" t="s">
        <v>1058</v>
      </c>
      <c r="Q686" t="b">
        <v>1</v>
      </c>
      <c r="R686" t="b">
        <v>0</v>
      </c>
      <c r="S686" t="s">
        <v>2466</v>
      </c>
      <c r="T686" t="s">
        <v>992</v>
      </c>
      <c r="U686" t="s">
        <v>1140</v>
      </c>
      <c r="V686" t="s">
        <v>995</v>
      </c>
      <c r="W686" t="s">
        <v>1034</v>
      </c>
      <c r="X686" t="s">
        <v>2467</v>
      </c>
    </row>
    <row r="687" spans="1:24" x14ac:dyDescent="0.25">
      <c r="A687" t="s">
        <v>42</v>
      </c>
      <c r="B687" t="s">
        <v>2503</v>
      </c>
      <c r="C687" t="s">
        <v>346</v>
      </c>
      <c r="E687" t="s">
        <v>2469</v>
      </c>
      <c r="F687">
        <v>85750</v>
      </c>
      <c r="G687" t="s">
        <v>1051</v>
      </c>
      <c r="H687" t="s">
        <v>1842</v>
      </c>
      <c r="I687" t="s">
        <v>1828</v>
      </c>
      <c r="J687" t="s">
        <v>1423</v>
      </c>
      <c r="K687" t="s">
        <v>1117</v>
      </c>
      <c r="L687" t="s">
        <v>1118</v>
      </c>
      <c r="M687" t="s">
        <v>1056</v>
      </c>
      <c r="N687" t="s">
        <v>1119</v>
      </c>
      <c r="O687" t="s">
        <v>992</v>
      </c>
      <c r="P687" t="s">
        <v>1090</v>
      </c>
      <c r="Q687" t="b">
        <v>1</v>
      </c>
      <c r="R687" t="b">
        <v>0</v>
      </c>
      <c r="S687" t="s">
        <v>2466</v>
      </c>
      <c r="T687" t="s">
        <v>992</v>
      </c>
      <c r="U687" t="s">
        <v>1140</v>
      </c>
      <c r="V687" t="s">
        <v>995</v>
      </c>
      <c r="W687" t="s">
        <v>1034</v>
      </c>
      <c r="X687" t="s">
        <v>2467</v>
      </c>
    </row>
    <row r="688" spans="1:24" x14ac:dyDescent="0.25">
      <c r="A688" t="s">
        <v>42</v>
      </c>
      <c r="B688" t="s">
        <v>2504</v>
      </c>
      <c r="C688" t="s">
        <v>346</v>
      </c>
      <c r="E688" t="s">
        <v>2471</v>
      </c>
      <c r="F688">
        <v>78328</v>
      </c>
      <c r="G688" t="s">
        <v>1051</v>
      </c>
      <c r="H688" t="s">
        <v>1853</v>
      </c>
      <c r="I688" t="s">
        <v>1828</v>
      </c>
      <c r="J688" t="s">
        <v>1423</v>
      </c>
      <c r="K688" t="s">
        <v>1132</v>
      </c>
      <c r="L688" t="s">
        <v>1133</v>
      </c>
      <c r="M688" t="s">
        <v>1028</v>
      </c>
      <c r="N688" t="s">
        <v>1134</v>
      </c>
      <c r="O688" t="s">
        <v>992</v>
      </c>
      <c r="P688" t="s">
        <v>1120</v>
      </c>
      <c r="Q688" t="b">
        <v>1</v>
      </c>
      <c r="R688" t="b">
        <v>0</v>
      </c>
      <c r="S688" t="s">
        <v>2466</v>
      </c>
      <c r="T688" t="s">
        <v>992</v>
      </c>
      <c r="U688" t="s">
        <v>1140</v>
      </c>
      <c r="V688" t="s">
        <v>995</v>
      </c>
      <c r="W688" t="s">
        <v>1034</v>
      </c>
      <c r="X688" t="s">
        <v>2467</v>
      </c>
    </row>
    <row r="689" spans="1:24" x14ac:dyDescent="0.25">
      <c r="A689" t="s">
        <v>42</v>
      </c>
      <c r="B689" t="s">
        <v>2505</v>
      </c>
      <c r="C689" t="s">
        <v>348</v>
      </c>
      <c r="E689" t="s">
        <v>2465</v>
      </c>
      <c r="F689">
        <v>49848</v>
      </c>
      <c r="G689" t="s">
        <v>1051</v>
      </c>
      <c r="H689" t="s">
        <v>1897</v>
      </c>
      <c r="I689" t="s">
        <v>1891</v>
      </c>
      <c r="J689" t="s">
        <v>1423</v>
      </c>
      <c r="K689" t="s">
        <v>1087</v>
      </c>
      <c r="L689" t="s">
        <v>1088</v>
      </c>
      <c r="M689" t="s">
        <v>1056</v>
      </c>
      <c r="N689" t="s">
        <v>1089</v>
      </c>
      <c r="O689" t="s">
        <v>992</v>
      </c>
      <c r="P689" t="s">
        <v>1058</v>
      </c>
      <c r="Q689" t="b">
        <v>1</v>
      </c>
      <c r="R689" t="b">
        <v>0</v>
      </c>
      <c r="S689" t="s">
        <v>2466</v>
      </c>
      <c r="T689" t="s">
        <v>992</v>
      </c>
      <c r="U689" t="s">
        <v>1140</v>
      </c>
      <c r="V689" t="s">
        <v>995</v>
      </c>
      <c r="W689" t="s">
        <v>1034</v>
      </c>
      <c r="X689" t="s">
        <v>2467</v>
      </c>
    </row>
    <row r="690" spans="1:24" x14ac:dyDescent="0.25">
      <c r="A690" t="s">
        <v>42</v>
      </c>
      <c r="B690" t="s">
        <v>2506</v>
      </c>
      <c r="C690" t="s">
        <v>348</v>
      </c>
      <c r="E690" t="s">
        <v>2469</v>
      </c>
      <c r="F690">
        <v>45888</v>
      </c>
      <c r="G690" t="s">
        <v>1051</v>
      </c>
      <c r="H690" t="s">
        <v>1905</v>
      </c>
      <c r="I690" t="s">
        <v>1891</v>
      </c>
      <c r="J690" t="s">
        <v>1423</v>
      </c>
      <c r="K690" t="s">
        <v>1117</v>
      </c>
      <c r="L690" t="s">
        <v>1118</v>
      </c>
      <c r="M690" t="s">
        <v>1056</v>
      </c>
      <c r="N690" t="s">
        <v>1119</v>
      </c>
      <c r="O690" t="s">
        <v>992</v>
      </c>
      <c r="P690" t="s">
        <v>1090</v>
      </c>
      <c r="Q690" t="b">
        <v>1</v>
      </c>
      <c r="R690" t="b">
        <v>0</v>
      </c>
      <c r="S690" t="s">
        <v>2466</v>
      </c>
      <c r="T690" t="s">
        <v>992</v>
      </c>
      <c r="U690" t="s">
        <v>1140</v>
      </c>
      <c r="V690" t="s">
        <v>995</v>
      </c>
      <c r="W690" t="s">
        <v>1034</v>
      </c>
      <c r="X690" t="s">
        <v>2467</v>
      </c>
    </row>
    <row r="691" spans="1:24" x14ac:dyDescent="0.25">
      <c r="A691" t="s">
        <v>42</v>
      </c>
      <c r="B691" t="s">
        <v>2507</v>
      </c>
      <c r="C691" t="s">
        <v>348</v>
      </c>
      <c r="E691" t="s">
        <v>2471</v>
      </c>
      <c r="F691">
        <v>41549</v>
      </c>
      <c r="G691" t="s">
        <v>1051</v>
      </c>
      <c r="H691" t="s">
        <v>1916</v>
      </c>
      <c r="I691" t="s">
        <v>1891</v>
      </c>
      <c r="J691" t="s">
        <v>1423</v>
      </c>
      <c r="K691" t="s">
        <v>1132</v>
      </c>
      <c r="L691" t="s">
        <v>1133</v>
      </c>
      <c r="M691" t="s">
        <v>1028</v>
      </c>
      <c r="N691" t="s">
        <v>1134</v>
      </c>
      <c r="O691" t="s">
        <v>992</v>
      </c>
      <c r="P691" t="s">
        <v>1120</v>
      </c>
      <c r="Q691" t="b">
        <v>1</v>
      </c>
      <c r="R691" t="b">
        <v>0</v>
      </c>
      <c r="S691" t="s">
        <v>2466</v>
      </c>
      <c r="T691" t="s">
        <v>992</v>
      </c>
      <c r="U691" t="s">
        <v>1140</v>
      </c>
      <c r="V691" t="s">
        <v>995</v>
      </c>
      <c r="W691" t="s">
        <v>1034</v>
      </c>
      <c r="X691" t="s">
        <v>2467</v>
      </c>
    </row>
    <row r="692" spans="1:24" x14ac:dyDescent="0.25">
      <c r="A692" t="s">
        <v>42</v>
      </c>
      <c r="B692" t="s">
        <v>2508</v>
      </c>
      <c r="C692" t="s">
        <v>351</v>
      </c>
      <c r="E692" t="s">
        <v>2465</v>
      </c>
      <c r="F692">
        <v>73812</v>
      </c>
      <c r="G692" t="s">
        <v>1051</v>
      </c>
      <c r="H692" t="s">
        <v>1933</v>
      </c>
      <c r="I692" t="s">
        <v>1924</v>
      </c>
      <c r="J692" t="s">
        <v>1423</v>
      </c>
      <c r="K692" t="s">
        <v>1087</v>
      </c>
      <c r="L692" t="s">
        <v>1088</v>
      </c>
      <c r="M692" t="s">
        <v>1056</v>
      </c>
      <c r="N692" t="s">
        <v>1089</v>
      </c>
      <c r="O692" t="s">
        <v>992</v>
      </c>
      <c r="P692" t="s">
        <v>1058</v>
      </c>
      <c r="Q692" t="b">
        <v>1</v>
      </c>
      <c r="R692" t="b">
        <v>0</v>
      </c>
      <c r="S692" t="s">
        <v>2466</v>
      </c>
      <c r="T692" t="s">
        <v>992</v>
      </c>
      <c r="U692" t="s">
        <v>1140</v>
      </c>
      <c r="V692" t="s">
        <v>995</v>
      </c>
      <c r="W692" t="s">
        <v>1034</v>
      </c>
      <c r="X692" t="s">
        <v>2467</v>
      </c>
    </row>
    <row r="693" spans="1:24" x14ac:dyDescent="0.25">
      <c r="A693" t="s">
        <v>42</v>
      </c>
      <c r="B693" t="s">
        <v>2509</v>
      </c>
      <c r="C693" t="s">
        <v>351</v>
      </c>
      <c r="E693" t="s">
        <v>2469</v>
      </c>
      <c r="F693">
        <v>83276</v>
      </c>
      <c r="G693" t="s">
        <v>1051</v>
      </c>
      <c r="H693" t="s">
        <v>1945</v>
      </c>
      <c r="I693" t="s">
        <v>1924</v>
      </c>
      <c r="J693" t="s">
        <v>1423</v>
      </c>
      <c r="K693" t="s">
        <v>1117</v>
      </c>
      <c r="L693" t="s">
        <v>1118</v>
      </c>
      <c r="M693" t="s">
        <v>1056</v>
      </c>
      <c r="N693" t="s">
        <v>1119</v>
      </c>
      <c r="O693" t="s">
        <v>992</v>
      </c>
      <c r="P693" t="s">
        <v>1090</v>
      </c>
      <c r="Q693" t="b">
        <v>1</v>
      </c>
      <c r="R693" t="b">
        <v>0</v>
      </c>
      <c r="S693" t="s">
        <v>2466</v>
      </c>
      <c r="T693" t="s">
        <v>992</v>
      </c>
      <c r="U693" t="s">
        <v>1140</v>
      </c>
      <c r="V693" t="s">
        <v>995</v>
      </c>
      <c r="W693" t="s">
        <v>1034</v>
      </c>
      <c r="X693" t="s">
        <v>2467</v>
      </c>
    </row>
    <row r="694" spans="1:24" x14ac:dyDescent="0.25">
      <c r="A694" t="s">
        <v>42</v>
      </c>
      <c r="B694" t="s">
        <v>2510</v>
      </c>
      <c r="C694" t="s">
        <v>351</v>
      </c>
      <c r="E694" t="s">
        <v>2471</v>
      </c>
      <c r="F694">
        <v>93568</v>
      </c>
      <c r="G694" t="s">
        <v>1051</v>
      </c>
      <c r="H694" t="s">
        <v>1957</v>
      </c>
      <c r="I694" t="s">
        <v>1924</v>
      </c>
      <c r="J694" t="s">
        <v>1423</v>
      </c>
      <c r="K694" t="s">
        <v>1132</v>
      </c>
      <c r="L694" t="s">
        <v>1133</v>
      </c>
      <c r="M694" t="s">
        <v>1028</v>
      </c>
      <c r="N694" t="s">
        <v>1134</v>
      </c>
      <c r="O694" t="s">
        <v>992</v>
      </c>
      <c r="P694" t="s">
        <v>1120</v>
      </c>
      <c r="Q694" t="b">
        <v>1</v>
      </c>
      <c r="R694" t="b">
        <v>0</v>
      </c>
      <c r="S694" t="s">
        <v>2466</v>
      </c>
      <c r="T694" t="s">
        <v>992</v>
      </c>
      <c r="U694" t="s">
        <v>1140</v>
      </c>
      <c r="V694" t="s">
        <v>995</v>
      </c>
      <c r="W694" t="s">
        <v>1034</v>
      </c>
      <c r="X694" t="s">
        <v>2467</v>
      </c>
    </row>
    <row r="695" spans="1:24" x14ac:dyDescent="0.25">
      <c r="A695" t="s">
        <v>42</v>
      </c>
      <c r="B695" t="s">
        <v>2511</v>
      </c>
      <c r="C695" t="s">
        <v>352</v>
      </c>
      <c r="E695" t="s">
        <v>2465</v>
      </c>
      <c r="F695">
        <v>-214</v>
      </c>
      <c r="G695" t="s">
        <v>1051</v>
      </c>
      <c r="H695" t="s">
        <v>1973</v>
      </c>
      <c r="I695" t="s">
        <v>1967</v>
      </c>
      <c r="J695" t="s">
        <v>1423</v>
      </c>
      <c r="K695" t="s">
        <v>1087</v>
      </c>
      <c r="L695" t="s">
        <v>1088</v>
      </c>
      <c r="M695" t="s">
        <v>1056</v>
      </c>
      <c r="N695" t="s">
        <v>1089</v>
      </c>
      <c r="O695" t="s">
        <v>992</v>
      </c>
      <c r="P695" t="s">
        <v>1058</v>
      </c>
      <c r="Q695" t="b">
        <v>1</v>
      </c>
      <c r="R695" t="b">
        <v>0</v>
      </c>
      <c r="S695" t="s">
        <v>2466</v>
      </c>
      <c r="T695" t="s">
        <v>992</v>
      </c>
      <c r="U695" t="s">
        <v>1140</v>
      </c>
      <c r="V695" t="s">
        <v>995</v>
      </c>
      <c r="W695" t="s">
        <v>1034</v>
      </c>
      <c r="X695" t="s">
        <v>2467</v>
      </c>
    </row>
    <row r="696" spans="1:24" x14ac:dyDescent="0.25">
      <c r="A696" t="s">
        <v>42</v>
      </c>
      <c r="B696" t="s">
        <v>2512</v>
      </c>
      <c r="C696" t="s">
        <v>352</v>
      </c>
      <c r="E696" t="s">
        <v>2469</v>
      </c>
      <c r="F696">
        <v>-19154</v>
      </c>
      <c r="G696" t="s">
        <v>1051</v>
      </c>
      <c r="H696" t="s">
        <v>1981</v>
      </c>
      <c r="I696" t="s">
        <v>1967</v>
      </c>
      <c r="J696" t="s">
        <v>1423</v>
      </c>
      <c r="K696" t="s">
        <v>1117</v>
      </c>
      <c r="L696" t="s">
        <v>1118</v>
      </c>
      <c r="M696" t="s">
        <v>1056</v>
      </c>
      <c r="N696" t="s">
        <v>1119</v>
      </c>
      <c r="O696" t="s">
        <v>992</v>
      </c>
      <c r="P696" t="s">
        <v>1090</v>
      </c>
      <c r="Q696" t="b">
        <v>1</v>
      </c>
      <c r="R696" t="b">
        <v>0</v>
      </c>
      <c r="S696" t="s">
        <v>2466</v>
      </c>
      <c r="T696" t="s">
        <v>992</v>
      </c>
      <c r="U696" t="s">
        <v>1140</v>
      </c>
      <c r="V696" t="s">
        <v>995</v>
      </c>
      <c r="W696" t="s">
        <v>1034</v>
      </c>
      <c r="X696" t="s">
        <v>2467</v>
      </c>
    </row>
    <row r="697" spans="1:24" x14ac:dyDescent="0.25">
      <c r="A697" t="s">
        <v>42</v>
      </c>
      <c r="B697" t="s">
        <v>2513</v>
      </c>
      <c r="C697" t="s">
        <v>352</v>
      </c>
      <c r="E697" t="s">
        <v>2471</v>
      </c>
      <c r="F697">
        <v>-14264</v>
      </c>
      <c r="G697" t="s">
        <v>1051</v>
      </c>
      <c r="H697" t="s">
        <v>1989</v>
      </c>
      <c r="I697" t="s">
        <v>1967</v>
      </c>
      <c r="J697" t="s">
        <v>1423</v>
      </c>
      <c r="K697" t="s">
        <v>1132</v>
      </c>
      <c r="L697" t="s">
        <v>1133</v>
      </c>
      <c r="M697" t="s">
        <v>1028</v>
      </c>
      <c r="N697" t="s">
        <v>1134</v>
      </c>
      <c r="O697" t="s">
        <v>992</v>
      </c>
      <c r="P697" t="s">
        <v>1120</v>
      </c>
      <c r="Q697" t="b">
        <v>1</v>
      </c>
      <c r="R697" t="b">
        <v>0</v>
      </c>
      <c r="S697" t="s">
        <v>2466</v>
      </c>
      <c r="T697" t="s">
        <v>992</v>
      </c>
      <c r="U697" t="s">
        <v>1140</v>
      </c>
      <c r="V697" t="s">
        <v>995</v>
      </c>
      <c r="W697" t="s">
        <v>1034</v>
      </c>
      <c r="X697" t="s">
        <v>2467</v>
      </c>
    </row>
    <row r="698" spans="1:24" x14ac:dyDescent="0.25">
      <c r="A698" t="s">
        <v>42</v>
      </c>
      <c r="B698" t="s">
        <v>2514</v>
      </c>
      <c r="C698" t="s">
        <v>353</v>
      </c>
      <c r="E698" t="s">
        <v>2465</v>
      </c>
      <c r="F698">
        <v>0</v>
      </c>
      <c r="G698" t="s">
        <v>1051</v>
      </c>
      <c r="H698" t="s">
        <v>1995</v>
      </c>
      <c r="I698" t="s">
        <v>1996</v>
      </c>
      <c r="J698" t="s">
        <v>1423</v>
      </c>
      <c r="K698" t="s">
        <v>992</v>
      </c>
      <c r="L698" t="s">
        <v>992</v>
      </c>
      <c r="M698" t="s">
        <v>992</v>
      </c>
      <c r="N698" t="s">
        <v>992</v>
      </c>
      <c r="O698" t="s">
        <v>992</v>
      </c>
      <c r="P698" t="s">
        <v>992</v>
      </c>
      <c r="Q698" t="b">
        <v>1</v>
      </c>
      <c r="R698" t="b">
        <v>0</v>
      </c>
      <c r="S698" t="s">
        <v>2466</v>
      </c>
      <c r="T698" t="s">
        <v>992</v>
      </c>
      <c r="U698" t="s">
        <v>1140</v>
      </c>
      <c r="V698" t="s">
        <v>995</v>
      </c>
      <c r="W698" t="s">
        <v>1034</v>
      </c>
      <c r="X698" t="s">
        <v>2467</v>
      </c>
    </row>
    <row r="699" spans="1:24" x14ac:dyDescent="0.25">
      <c r="A699" t="s">
        <v>42</v>
      </c>
      <c r="B699" t="s">
        <v>2515</v>
      </c>
      <c r="C699" t="s">
        <v>353</v>
      </c>
      <c r="E699" t="s">
        <v>2469</v>
      </c>
      <c r="F699">
        <v>0</v>
      </c>
      <c r="G699" t="s">
        <v>1051</v>
      </c>
      <c r="H699" t="s">
        <v>1995</v>
      </c>
      <c r="I699" t="s">
        <v>1996</v>
      </c>
      <c r="J699" t="s">
        <v>1423</v>
      </c>
      <c r="K699" t="s">
        <v>992</v>
      </c>
      <c r="L699" t="s">
        <v>992</v>
      </c>
      <c r="M699" t="s">
        <v>992</v>
      </c>
      <c r="N699" t="s">
        <v>992</v>
      </c>
      <c r="O699" t="s">
        <v>992</v>
      </c>
      <c r="P699" t="s">
        <v>992</v>
      </c>
      <c r="Q699" t="b">
        <v>1</v>
      </c>
      <c r="R699" t="b">
        <v>0</v>
      </c>
      <c r="S699" t="s">
        <v>2466</v>
      </c>
      <c r="T699" t="s">
        <v>992</v>
      </c>
      <c r="U699" t="s">
        <v>1140</v>
      </c>
      <c r="V699" t="s">
        <v>995</v>
      </c>
      <c r="W699" t="s">
        <v>1034</v>
      </c>
      <c r="X699" t="s">
        <v>2467</v>
      </c>
    </row>
    <row r="700" spans="1:24" x14ac:dyDescent="0.25">
      <c r="A700" t="s">
        <v>42</v>
      </c>
      <c r="B700" t="s">
        <v>2516</v>
      </c>
      <c r="C700" t="s">
        <v>353</v>
      </c>
      <c r="E700" t="s">
        <v>2471</v>
      </c>
      <c r="F700">
        <v>0</v>
      </c>
      <c r="G700" t="s">
        <v>1051</v>
      </c>
      <c r="H700" t="s">
        <v>1995</v>
      </c>
      <c r="I700" t="s">
        <v>1996</v>
      </c>
      <c r="J700" t="s">
        <v>1423</v>
      </c>
      <c r="K700" t="s">
        <v>992</v>
      </c>
      <c r="L700" t="s">
        <v>992</v>
      </c>
      <c r="M700" t="s">
        <v>992</v>
      </c>
      <c r="N700" t="s">
        <v>992</v>
      </c>
      <c r="O700" t="s">
        <v>992</v>
      </c>
      <c r="P700" t="s">
        <v>992</v>
      </c>
      <c r="Q700" t="b">
        <v>1</v>
      </c>
      <c r="R700" t="b">
        <v>0</v>
      </c>
      <c r="S700" t="s">
        <v>2466</v>
      </c>
      <c r="T700" t="s">
        <v>992</v>
      </c>
      <c r="U700" t="s">
        <v>1140</v>
      </c>
      <c r="V700" t="s">
        <v>995</v>
      </c>
      <c r="W700" t="s">
        <v>1034</v>
      </c>
      <c r="X700" t="s">
        <v>2467</v>
      </c>
    </row>
    <row r="701" spans="1:24" x14ac:dyDescent="0.25">
      <c r="A701" t="s">
        <v>42</v>
      </c>
      <c r="B701" t="s">
        <v>2517</v>
      </c>
      <c r="C701" t="s">
        <v>354</v>
      </c>
      <c r="E701" t="s">
        <v>2465</v>
      </c>
      <c r="F701">
        <v>-11452</v>
      </c>
      <c r="G701" t="s">
        <v>1051</v>
      </c>
      <c r="H701" t="s">
        <v>2032</v>
      </c>
      <c r="I701" t="s">
        <v>2026</v>
      </c>
      <c r="J701" t="s">
        <v>1423</v>
      </c>
      <c r="K701" t="s">
        <v>1087</v>
      </c>
      <c r="L701" t="s">
        <v>1088</v>
      </c>
      <c r="M701" t="s">
        <v>1056</v>
      </c>
      <c r="N701" t="s">
        <v>1089</v>
      </c>
      <c r="O701" t="s">
        <v>992</v>
      </c>
      <c r="P701" t="s">
        <v>1058</v>
      </c>
      <c r="Q701" t="b">
        <v>1</v>
      </c>
      <c r="R701" t="b">
        <v>0</v>
      </c>
      <c r="S701" t="s">
        <v>2466</v>
      </c>
      <c r="T701" t="s">
        <v>992</v>
      </c>
      <c r="U701" t="s">
        <v>1140</v>
      </c>
      <c r="V701" t="s">
        <v>995</v>
      </c>
      <c r="W701" t="s">
        <v>1034</v>
      </c>
      <c r="X701" t="s">
        <v>2467</v>
      </c>
    </row>
    <row r="702" spans="1:24" x14ac:dyDescent="0.25">
      <c r="A702" t="s">
        <v>42</v>
      </c>
      <c r="B702" t="s">
        <v>2518</v>
      </c>
      <c r="C702" t="s">
        <v>354</v>
      </c>
      <c r="E702" t="s">
        <v>2469</v>
      </c>
      <c r="F702">
        <v>-7172</v>
      </c>
      <c r="G702" t="s">
        <v>1051</v>
      </c>
      <c r="H702" t="s">
        <v>2040</v>
      </c>
      <c r="I702" t="s">
        <v>2026</v>
      </c>
      <c r="J702" t="s">
        <v>1423</v>
      </c>
      <c r="K702" t="s">
        <v>1117</v>
      </c>
      <c r="L702" t="s">
        <v>1118</v>
      </c>
      <c r="M702" t="s">
        <v>1056</v>
      </c>
      <c r="N702" t="s">
        <v>1119</v>
      </c>
      <c r="O702" t="s">
        <v>992</v>
      </c>
      <c r="P702" t="s">
        <v>1090</v>
      </c>
      <c r="Q702" t="b">
        <v>1</v>
      </c>
      <c r="R702" t="b">
        <v>0</v>
      </c>
      <c r="S702" t="s">
        <v>2466</v>
      </c>
      <c r="T702" t="s">
        <v>992</v>
      </c>
      <c r="U702" t="s">
        <v>1140</v>
      </c>
      <c r="V702" t="s">
        <v>995</v>
      </c>
      <c r="W702" t="s">
        <v>1034</v>
      </c>
      <c r="X702" t="s">
        <v>2467</v>
      </c>
    </row>
    <row r="703" spans="1:24" x14ac:dyDescent="0.25">
      <c r="A703" t="s">
        <v>42</v>
      </c>
      <c r="B703" t="s">
        <v>2519</v>
      </c>
      <c r="C703" t="s">
        <v>354</v>
      </c>
      <c r="E703" t="s">
        <v>2471</v>
      </c>
      <c r="F703">
        <v>-5571</v>
      </c>
      <c r="G703" t="s">
        <v>1051</v>
      </c>
      <c r="H703" t="s">
        <v>2048</v>
      </c>
      <c r="I703" t="s">
        <v>2026</v>
      </c>
      <c r="J703" t="s">
        <v>1423</v>
      </c>
      <c r="K703" t="s">
        <v>1132</v>
      </c>
      <c r="L703" t="s">
        <v>1133</v>
      </c>
      <c r="M703" t="s">
        <v>1028</v>
      </c>
      <c r="N703" t="s">
        <v>1134</v>
      </c>
      <c r="O703" t="s">
        <v>992</v>
      </c>
      <c r="P703" t="s">
        <v>1120</v>
      </c>
      <c r="Q703" t="b">
        <v>1</v>
      </c>
      <c r="R703" t="b">
        <v>0</v>
      </c>
      <c r="S703" t="s">
        <v>2466</v>
      </c>
      <c r="T703" t="s">
        <v>992</v>
      </c>
      <c r="U703" t="s">
        <v>1140</v>
      </c>
      <c r="V703" t="s">
        <v>995</v>
      </c>
      <c r="W703" t="s">
        <v>1034</v>
      </c>
      <c r="X703" t="s">
        <v>2467</v>
      </c>
    </row>
    <row r="704" spans="1:24" x14ac:dyDescent="0.25">
      <c r="A704" t="s">
        <v>42</v>
      </c>
      <c r="B704" t="s">
        <v>2520</v>
      </c>
      <c r="C704" t="s">
        <v>356</v>
      </c>
      <c r="E704" t="s">
        <v>2465</v>
      </c>
      <c r="F704">
        <v>0</v>
      </c>
      <c r="G704" t="s">
        <v>1051</v>
      </c>
      <c r="H704" t="s">
        <v>2521</v>
      </c>
      <c r="I704" t="s">
        <v>2522</v>
      </c>
      <c r="J704" t="s">
        <v>1423</v>
      </c>
      <c r="K704" t="s">
        <v>992</v>
      </c>
      <c r="L704" t="s">
        <v>992</v>
      </c>
      <c r="M704" t="s">
        <v>992</v>
      </c>
      <c r="N704" t="s">
        <v>992</v>
      </c>
      <c r="O704" t="s">
        <v>992</v>
      </c>
      <c r="P704" t="s">
        <v>992</v>
      </c>
      <c r="Q704" t="b">
        <v>1</v>
      </c>
      <c r="R704" t="b">
        <v>0</v>
      </c>
      <c r="S704" t="s">
        <v>2466</v>
      </c>
      <c r="T704" t="s">
        <v>992</v>
      </c>
      <c r="U704" t="s">
        <v>1140</v>
      </c>
      <c r="V704" t="s">
        <v>995</v>
      </c>
      <c r="W704" t="s">
        <v>1034</v>
      </c>
      <c r="X704" t="s">
        <v>2467</v>
      </c>
    </row>
    <row r="705" spans="1:24" x14ac:dyDescent="0.25">
      <c r="A705" t="s">
        <v>42</v>
      </c>
      <c r="B705" t="s">
        <v>2523</v>
      </c>
      <c r="C705" t="s">
        <v>356</v>
      </c>
      <c r="E705" t="s">
        <v>2469</v>
      </c>
      <c r="F705">
        <v>0</v>
      </c>
      <c r="G705" t="s">
        <v>1051</v>
      </c>
      <c r="H705" t="s">
        <v>2521</v>
      </c>
      <c r="I705" t="s">
        <v>2522</v>
      </c>
      <c r="J705" t="s">
        <v>1423</v>
      </c>
      <c r="K705" t="s">
        <v>992</v>
      </c>
      <c r="L705" t="s">
        <v>992</v>
      </c>
      <c r="M705" t="s">
        <v>992</v>
      </c>
      <c r="N705" t="s">
        <v>992</v>
      </c>
      <c r="O705" t="s">
        <v>992</v>
      </c>
      <c r="P705" t="s">
        <v>992</v>
      </c>
      <c r="Q705" t="b">
        <v>1</v>
      </c>
      <c r="R705" t="b">
        <v>0</v>
      </c>
      <c r="S705" t="s">
        <v>2466</v>
      </c>
      <c r="T705" t="s">
        <v>992</v>
      </c>
      <c r="U705" t="s">
        <v>1140</v>
      </c>
      <c r="V705" t="s">
        <v>995</v>
      </c>
      <c r="W705" t="s">
        <v>1034</v>
      </c>
      <c r="X705" t="s">
        <v>2467</v>
      </c>
    </row>
    <row r="706" spans="1:24" x14ac:dyDescent="0.25">
      <c r="A706" t="s">
        <v>42</v>
      </c>
      <c r="B706" t="s">
        <v>2524</v>
      </c>
      <c r="C706" t="s">
        <v>356</v>
      </c>
      <c r="E706" t="s">
        <v>2471</v>
      </c>
      <c r="F706">
        <v>0</v>
      </c>
      <c r="G706" t="s">
        <v>1051</v>
      </c>
      <c r="H706" t="s">
        <v>2521</v>
      </c>
      <c r="I706" t="s">
        <v>2522</v>
      </c>
      <c r="J706" t="s">
        <v>1423</v>
      </c>
      <c r="K706" t="s">
        <v>992</v>
      </c>
      <c r="L706" t="s">
        <v>992</v>
      </c>
      <c r="M706" t="s">
        <v>992</v>
      </c>
      <c r="N706" t="s">
        <v>992</v>
      </c>
      <c r="O706" t="s">
        <v>992</v>
      </c>
      <c r="P706" t="s">
        <v>992</v>
      </c>
      <c r="Q706" t="b">
        <v>1</v>
      </c>
      <c r="R706" t="b">
        <v>0</v>
      </c>
      <c r="S706" t="s">
        <v>2466</v>
      </c>
      <c r="T706" t="s">
        <v>992</v>
      </c>
      <c r="U706" t="s">
        <v>1140</v>
      </c>
      <c r="V706" t="s">
        <v>995</v>
      </c>
      <c r="W706" t="s">
        <v>1034</v>
      </c>
      <c r="X706" t="s">
        <v>2467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