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4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9" authorId="0">
      <text>
        <r>
          <rPr>
            <b/>
          </rPr>
          <t xml:space="preserve">EDGAR Mapper:
</t>
        </r>
        <r>
          <t xml:space="preserve">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
EDGAR Mapper:
Included SEC interest expense, including operating interest expense when that is the company's presentation. Quarterly value was derived from Interest Expense less 1Q23, 2Q23, 3Q23. Needs review: one or more historical periods were left unchanged because no matching EDGAR fact was found.</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
EDGAR Mapper:
EDGAR mapping:
Source: 10-Q, accession #0001018724-24-000083, filed 2024-05-01
Period: 1Q23 / period ended 2023-03-31
Model row: Model!29 Interest Expense
Mapping type: direct
Concepts used: InterestExpense = 823 mm
Unit conversion: raw USD to $mm
Sign: copied using model sign convention
Confidence: high
Value written: -823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
EDGAR Mapper:
EDGAR mapping:
Source: 10-Q, accession #0001018724-23-000012, filed 2023-08-04
Period: 2Q23 / period ended 2023-06-30
Model row: Model!29 Interest Expense
Mapping type: direct
Concepts used: InterestExpense = 840 mm
Unit conversion: raw USD to $mm
Sign: copied using model sign convention
Confidence: high
Value written: -840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
EDGAR Mapper:
EDGAR mapping:
Source: 10-Q, accession #0001018724-23-000018, filed 2023-10-27
Period: 3Q23 / period ended 2023-09-30
Model row: Model!29 Interest Expense
Mapping type: direct
Concepts used: InterestExpense = 806 mm
Unit conversion: raw USD to $mm
Sign: copied using model sign convention
Confidence: high
Value written: -806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
EDGAR Mapper:
EDGAR mapping:
Source: SEC filing
Period: 4Q23
Model row: Model!29 Interest Expense
Mapping type: direct
Concepts used: InterestExpense = 713 mm
Unit conversion: raw USD to $mm
Sign: copied using model sign convention
Confidence: high
Value written: -713
Notes: Included SEC interest expense, including operating interest expense when that is the company's presentation. Quarterly value was derived from Interest Expense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
EDGAR Mapper:
EDGAR mapping:
Source: 10-Q, accession #0001018724-24-000083, filed 2024-05-01
Period: 1Q24 / period ended 2024-03-31
Model row: Model!29 Interest Expense
Mapping type: direct
Concepts used: InterestExpense = 644 mm
Unit conversion: raw USD to $mm
Sign: copied using model sign convention
Confidence: high
Value written: -644
Notes: Included SEC interest expense, including operating interest expense when that is the company's presentation.</t>
        </r>
      </text>
    </comment>
    <comment ref="L29" authorId="0">
      <text>
        <r>
          <rPr>
            <b/>
            <family val="2"/>
            <sz val="11"/>
            <rFont val="Calibri"/>
          </rPr>
          <t xml:space="preserve">EDGAR Mapper:
</t>
        </r>
        <r>
          <rPr>
            <color theme="1"/>
            <family val="2"/>
            <scheme val="minor"/>
            <sz val="11"/>
            <rFont val="Calibri"/>
          </rP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family val="2"/>
            <sz val="11"/>
            <rFont val="Calibri"/>
          </rPr>
          <t xml:space="preserve">EDGAR Mapper:
</t>
        </r>
        <r>
          <rPr>
            <color theme="1"/>
            <family val="2"/>
            <scheme val="minor"/>
            <sz val="11"/>
            <rFont val="Calibri"/>
          </rP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family val="2"/>
            <sz val="11"/>
            <rFont val="Calibri"/>
          </rPr>
          <t xml:space="preserve">EDGAR Mapper:
</t>
        </r>
        <r>
          <rPr>
            <color theme="1"/>
            <family val="2"/>
            <scheme val="minor"/>
            <sz val="11"/>
            <rFont val="Calibri"/>
          </rP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family val="2"/>
            <sz val="11"/>
            <rFont val="Calibri"/>
          </rPr>
          <t xml:space="preserve">EDGAR Mapper:
</t>
        </r>
        <r>
          <rPr>
            <color theme="1"/>
            <family val="2"/>
            <scheme val="minor"/>
            <sz val="11"/>
            <rFont val="Calibri"/>
          </rP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family val="2"/>
            <sz val="11"/>
            <rFont val="Calibri"/>
          </rPr>
          <t xml:space="preserve">EDGAR Mapper:
</t>
        </r>
        <r>
          <rPr>
            <color theme="1"/>
            <family val="2"/>
            <scheme val="minor"/>
            <sz val="11"/>
            <rFont val="Calibri"/>
          </rP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Needs review: one or more historical periods were left unchanged because no matching EDGAR fact was found.</t>
        </r>
      </text>
    </comment>
    <comment ref="F32" authorId="0">
      <text>
        <r>
          <rPr>
            <b/>
            <family val="2"/>
            <sz val="11"/>
            <rFont val="Calibri"/>
          </rPr>
          <t xml:space="preserve">EDGAR Mapper:
</t>
        </r>
        <r>
          <rPr>
            <color theme="1"/>
            <family val="2"/>
            <scheme val="minor"/>
            <sz val="11"/>
            <rFont val="Calibri"/>
          </rP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family val="2"/>
            <sz val="11"/>
            <rFont val="Calibri"/>
          </rPr>
          <t xml:space="preserve">EDGAR Mapper:
</t>
        </r>
        <r>
          <rPr>
            <color theme="1"/>
            <family val="2"/>
            <scheme val="minor"/>
            <sz val="11"/>
            <rFont val="Calibri"/>
          </rP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family val="2"/>
            <sz val="11"/>
            <rFont val="Calibri"/>
          </rPr>
          <t xml:space="preserve">EDGAR Mapper:
</t>
        </r>
        <r>
          <rPr>
            <color theme="1"/>
            <family val="2"/>
            <scheme val="minor"/>
            <sz val="11"/>
            <rFont val="Calibri"/>
          </rP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family val="2"/>
            <sz val="11"/>
            <rFont val="Calibri"/>
          </rPr>
          <t xml:space="preserve">EDGAR Mapper:
</t>
        </r>
        <r>
          <rPr>
            <color theme="1"/>
            <family val="2"/>
            <scheme val="minor"/>
            <sz val="11"/>
            <rFont val="Calibri"/>
          </rP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family val="2"/>
            <sz val="11"/>
            <rFont val="Calibri"/>
          </rPr>
          <t xml:space="preserve">EDGAR Mapper:
</t>
        </r>
        <r>
          <rPr>
            <color theme="1"/>
            <family val="2"/>
            <scheme val="minor"/>
            <sz val="11"/>
            <rFont val="Calibri"/>
          </rP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family val="2"/>
            <sz val="11"/>
            <rFont val="Calibri"/>
          </rPr>
          <t xml:space="preserve">EDGAR Mapper:
</t>
        </r>
        <r>
          <rPr>
            <color theme="1"/>
            <family val="2"/>
            <scheme val="minor"/>
            <sz val="11"/>
            <rFont val="Calibri"/>
          </rP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family val="2"/>
            <sz val="11"/>
            <rFont val="Calibri"/>
          </rPr>
          <t xml:space="preserve">EDGAR Mapper:
</t>
        </r>
        <r>
          <rPr>
            <color theme="1"/>
            <family val="2"/>
            <scheme val="minor"/>
            <sz val="11"/>
            <rFont val="Calibri"/>
          </rP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family val="2"/>
            <sz val="11"/>
            <rFont val="Calibri"/>
          </rPr>
          <t xml:space="preserve">EDGAR Mapper:
</t>
        </r>
        <r>
          <rPr>
            <color theme="1"/>
            <family val="2"/>
            <scheme val="minor"/>
            <sz val="11"/>
            <rFont val="Calibri"/>
          </rP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family val="2"/>
            <sz val="11"/>
            <rFont val="Calibri"/>
          </rPr>
          <t xml:space="preserve">EDGAR Mapper:
</t>
        </r>
        <r>
          <rPr>
            <color theme="1"/>
            <family val="2"/>
            <scheme val="minor"/>
            <sz val="11"/>
            <rFont val="Calibri"/>
          </rP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family val="2"/>
            <sz val="11"/>
            <rFont val="Calibri"/>
          </rPr>
          <t xml:space="preserve">EDGAR Mapper:
</t>
        </r>
        <r>
          <rPr>
            <color theme="1"/>
            <family val="2"/>
            <scheme val="minor"/>
            <sz val="11"/>
            <rFont val="Calibri"/>
          </rP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 xml:space="preserve">Historicals Solver: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UnderwritingCosts, Communications and Information Technology, Occupancy, Net, Business Development, Professional Fees.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1Q23, 2Q23, 3Q23.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1Q24, 2Q24, 3Q24.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
EDGAR Mapper:
Needs review: one or more historical periods were left unchanged because no matching EDGAR fact was found.</t>
        </r>
      </text>
    </comment>
    <comment ref="F33" authorId="0">
      <text>
        <r>
          <rPr>
            <b/>
            <family val="2"/>
            <sz val="11"/>
            <rFont val="Calibri"/>
          </rPr>
          <t xml:space="preserve">EDGAR Mapper:
</t>
        </r>
        <r>
          <rPr>
            <color theme="1"/>
            <family val="2"/>
            <scheme val="minor"/>
            <sz val="11"/>
            <rFont val="Calibri"/>
          </rP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family val="2"/>
            <sz val="11"/>
            <rFont val="Calibri"/>
          </rPr>
          <t xml:space="preserve">EDGAR Mapper:
</t>
        </r>
        <r>
          <rPr>
            <color theme="1"/>
            <family val="2"/>
            <scheme val="minor"/>
            <sz val="11"/>
            <rFont val="Calibri"/>
          </rP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family val="2"/>
            <sz val="11"/>
            <rFont val="Calibri"/>
          </rPr>
          <t xml:space="preserve">EDGAR Mapper:
</t>
        </r>
        <r>
          <rPr>
            <color theme="1"/>
            <family val="2"/>
            <scheme val="minor"/>
            <sz val="11"/>
            <rFont val="Calibri"/>
          </rP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family val="2"/>
            <sz val="11"/>
            <rFont val="Calibri"/>
          </rPr>
          <t xml:space="preserve">EDGAR Mapper:
</t>
        </r>
        <r>
          <rPr>
            <color theme="1"/>
            <family val="2"/>
            <scheme val="minor"/>
            <sz val="11"/>
            <rFont val="Calibri"/>
          </rP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r>
      </text>
    </comment>
    <comment ref="K33" authorId="0">
      <text>
        <r>
          <rPr>
            <b/>
            <family val="2"/>
            <sz val="11"/>
            <rFont val="Calibri"/>
          </rPr>
          <t xml:space="preserve">EDGAR Mapper:
</t>
        </r>
        <r>
          <rPr>
            <color theme="1"/>
            <family val="2"/>
            <scheme val="minor"/>
            <sz val="11"/>
            <rFont val="Calibri"/>
          </rP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family val="2"/>
            <sz val="11"/>
            <rFont val="Calibri"/>
          </rPr>
          <t xml:space="preserve">EDGAR Mapper:
</t>
        </r>
        <r>
          <rPr>
            <color theme="1"/>
            <family val="2"/>
            <scheme val="minor"/>
            <sz val="11"/>
            <rFont val="Calibri"/>
          </rP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family val="2"/>
            <sz val="11"/>
            <rFont val="Calibri"/>
          </rPr>
          <t xml:space="preserve">EDGAR Mapper:
</t>
        </r>
        <r>
          <rPr>
            <color theme="1"/>
            <family val="2"/>
            <scheme val="minor"/>
            <sz val="11"/>
            <rFont val="Calibri"/>
          </rP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family val="2"/>
            <sz val="11"/>
            <rFont val="Calibri"/>
          </rPr>
          <t xml:space="preserve">EDGAR Mapper:
</t>
        </r>
        <r>
          <rPr>
            <color theme="1"/>
            <family val="2"/>
            <scheme val="minor"/>
            <sz val="11"/>
            <rFont val="Calibri"/>
          </rP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r>
      </text>
    </comment>
    <comment ref="P33" authorId="0">
      <text>
        <r>
          <rPr>
            <b/>
            <family val="2"/>
            <sz val="11"/>
            <rFont val="Calibri"/>
          </rPr>
          <t xml:space="preserve">EDGAR Mapper:
</t>
        </r>
        <r>
          <rPr>
            <color theme="1"/>
            <family val="2"/>
            <scheme val="minor"/>
            <sz val="11"/>
            <rFont val="Calibri"/>
          </rP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family val="2"/>
            <sz val="11"/>
            <rFont val="Calibri"/>
          </rPr>
          <t xml:space="preserve">EDGAR Mapper:
</t>
        </r>
        <r>
          <rPr>
            <color theme="1"/>
            <family val="2"/>
            <scheme val="minor"/>
            <sz val="11"/>
            <rFont val="Calibri"/>
          </rP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C34" authorId="0">
      <text>
        <r>
          <rPr>
            <b/>
          </rPr>
          <t xml:space="preserve">EDGAR Mapper:
</t>
        </r>
        <r>
          <t xml:space="preserve">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
EDGAR Mapper:
EDGAR mapping:
Source: 10-Q, accession #0001018724-24-000083, filed 2024-05-01
Period: 1Q23 / period ended 2023-03-31
Model row: Model!34 Depreciation &amp; Amortization
Mapping type: direct
Concepts used: DepreciationDepletionAndAmortization = 11123 mm
Unit conversion: raw USD to $mm
Sign: inverted because model expects this row as negative
Confidence: high
Value written: -11123</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
EDGAR Mapper:
EDGAR mapping:
Source: 10-Q, accession #0001018724-24-000130, filed 2024-08-02
Period: 2Q23 / period ended 2023-06-30
Model row: Model!34 Depreciation &amp; Amortization
Mapping type: direct
Concepts used: DepreciationDepletionAndAmortization = 11589 mm
Unit conversion: raw USD to $mm
Sign: inverted because model expects this row as negative
Confidence: high
Value written: -11589</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
EDGAR Mapper:
EDGAR mapping:
Source: 10-Q, accession #0001018724-24-000161, filed 2024-11-01
Period: 3Q23 / period ended 2023-09-30
Model row: Model!34 Depreciation &amp; Amortization
Mapping type: direct
Concepts used: DepreciationDepletionAndAmortization = 12131 mm
Unit conversion: raw USD to $mm
Sign: inverted because model expects this row as negative
Confidence: high
Value written: -12131</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
EDGAR Mapper:
EDGAR mapping:
Source: SEC filing
Period: 4Q23
Model row: Model!34 Depreciation &amp; Amortization
Mapping type: direct
Concepts used: DepreciationDepletionAndAmortization = 1135 mm
Unit conversion: raw USD to $mm
Sign: inverted because model expects this row as negative
Confidence: high
Value written: -1135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
EDGAR Mapper:
EDGAR mapping:
Source: 10-Q, accession #0001018724-25-000036, filed 2025-05-02
Period: 1Q24 / period ended 2024-03-31
Model row: Model!34 Depreciation &amp; Amortization
Mapping type: direct
Concepts used: DepreciationDepletionAndAmortization = 11684 mm
Unit conversion: raw USD to $mm
Sign: inverted because model expects this row as negative
Confidence: high
Value written: -11684</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
EDGAR Mapper:
EDGAR mapping:
Source: 10-Q, accession #0001018724-25-000086, filed 2025-08-01
Period: 2Q24 / period ended 2024-06-30
Model row: Model!34 Depreciation &amp; Amortization
Mapping type: direct
Concepts used: DepreciationDepletionAndAmortization = 12038 mm
Unit conversion: raw USD to $mm
Sign: inverted because model expects this row as negative
Confidence: high
Value written: -12038</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
EDGAR Mapper:
EDGAR mapping:
Source: 10-Q, accession #0001018724-25-000123, filed 2025-10-31
Period: 3Q24 / period ended 2024-09-30
Model row: Model!34 Depreciation &amp; Amortization
Mapping type: direct
Concepts used: DepreciationDepletionAndAmortization = 13442 mm
Unit conversion: raw USD to $mm
Sign: inverted because model expects this row as negative
Confidence: high
Value written: -13442</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
EDGAR Mapper:
EDGAR mapping:
Source: SEC filing
Period: 4Q24
Model row: Model!34 Depreciation &amp; Amortization
Mapping type: direct
Concepts used: DepreciationDepletionAndAmortization = 1811 mm
Unit conversion: raw USD to $mm
Sign: inverted because model expects this row as negative
Confidence: high
Value written: -1811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
EDGAR Mapper:
EDGAR mapping:
Source: 10-Q, accession #0001018724-26-000014, filed 2026-04-30
Period: 1Q25 / period ended 2025-03-31
Model row: Model!34 Depreciation &amp; Amortization
Mapping type: direct
Concepts used: DepreciationDepletionAndAmortization = 14262 mm
Unit conversion: raw USD to $mm
Sign: inverted because model expects this row as negative
Confidence: high
Value written: -14262</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
EDGAR Mapper:
EDGAR mapping:
Source: 10-Q, accession #0001018724-25-000086, filed 2025-08-01
Period: 2Q25 / period ended 2025-06-30
Model row: Model!34 Depreciation &amp; Amortization
Mapping type: direct
Concepts used: DepreciationDepletionAndAmortization = 15227 mm
Unit conversion: raw USD to $mm
Sign: inverted because model expects this row as negative
Confidence: high
Value written: -15227</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
EDGAR Mapper:
EDGAR mapping:
Source: 10-Q, accession #0001018724-25-000123, filed 2025-10-31
Period: 3Q25 / period ended 2025-09-30
Model row: Model!34 Depreciation &amp; Amortization
Mapping type: direct
Concepts used: DepreciationDepletionAndAmortization = 16796 mm
Unit conversion: raw USD to $mm
Sign: inverted because model expects this row as negative
Confidence: high
Value written: -16796</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
EDGAR Mapper:
EDGAR mapping:
Source: SEC filing
Period: 4Q25
Model row: Model!34 Depreciation &amp; Amortization
Mapping type: direct
Concepts used: DepreciationDepletionAndAmortization = 3840 mm
Unit conversion: raw USD to $mm
Sign: inverted because model expects this row as negative
Confidence: high
Value written: -3840
Notes: Quarterly value was derived from Depreciation, Depletion and Amortization less 1Q25, 2Q25, 3Q25.</t>
        </r>
      </text>
    </comment>
    <comment ref="C35" authorId="0">
      <text>
        <r>
          <rPr>
            <b/>
          </rPr>
          <t xml:space="preserve">EDGAR Mapper:
</t>
        </r>
        <r>
          <t xml:space="preserve">Historicals Solver: Included cost of sales and other expenses from the SEC non-interest expense table. Included EDGAR line items: Cost of Goods and Services Sold, Other Expenses. Included cost of sales and other expenses from the SEC non-interest expense table. Included EDGAR line items: Cost of Goods and Services Sold (derived Q4), Other Expenses (derived Q4). Quarterly value was derived from Cost of Goods and Services Sold less 1Q23, 2Q23, 3Q23. Included cost of sales and other expenses from the SEC non-interest expense table. Included EDGAR line items: Cost of Goods and Services Sold (derived Q4), Other Expenses (derived Q4). Quarterly value was derived from Cost of Goods and Services Sold less 1Q24, 2Q24, 3Q24. Included cost of sales and other expenses from the SEC non-interest expense table. Included EDGAR line items: Cost of Goods and Services Sold (derived Q4), Other Expenses (derived Q4).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Grouped from EDGAR: Cost of Goods and Services Sold. These were grouped because the model row is broader than the EDGAR operating expense detail available for this company. Grouped from EDGAR: Cost of Goods and Services Sold (derived Q4). These were grouped because the model row is broader than the EDGAR operating expense detail available for this company. Quarterly value was derived from Cost of Goods and Services Sold less 1Q23, 2Q23, 3Q23. Grouped from EDGAR: Cost of Goods and Services Sold (derived Q4). These were grouped because the model row is broader than the EDGAR operating expense detail available for this company. Quarterly value was derived from Cost of Goods and Services Sold less 1Q24, 2Q24, 3Q24. Grouped from EDGAR: Cost of Goods and Services Sold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
EDGAR Mapper:
EDGAR mapping:
Source: 10-Q, accession #0001018724-24-000083, filed 2024-05-01
Period: 1Q23 / period ended 2023-03-31
Model row: Model!35 Other Operating Income (Expense)
Mapping type: grouped
Concepts used: CostOfGoodsAndServicesSold = 67791 mm
Unit conversion: raw USD to $mm
Sign: copied using model sign convention
Confidence: high
Value written: -67791
Notes: Grouped from EDGAR: Cost of Goods and Services Sold.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
EDGAR Mapper:
EDGAR mapping:
Source: 10-Q, accession #0001018724-24-000130, filed 2024-08-02
Period: 2Q23 / period ended 2023-06-30
Model row: Model!35 Other Operating Income (Expense)
Mapping type: grouped
Concepts used: CostOfGoodsAndServicesSold = 69373 mm
Unit conversion: raw USD to $mm
Sign: copied using model sign convention
Confidence: high
Value written: -69373
Notes: Grouped from EDGAR: Cost of Goods and Services Sold.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
EDGAR Mapper:
EDGAR mapping:
Source: 10-Q, accession #0001018724-24-000161, filed 2024-11-01
Period: 3Q23 / period ended 2023-09-30
Model row: Model!35 Other Operating Income (Expense)
Mapping type: grouped
Concepts used: CostOfGoodsAndServicesSold = 75022 mm
Unit conversion: raw USD to $mm
Sign: copied using model sign convention
Confidence: high
Value written: -75022
Notes: Grouped from EDGAR: Cost of Goods and Services Sold.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EDGAR Mapper:
EDGAR mapping:
Source: SEC filing
Period: 4Q23
Model row: Model!35 Other Operating Income (Expense)
Mapping type: grouped
Concepts used: CostOfGoodsAndServicesSold = 92553 mm
Unit conversion: raw USD to $mm
Sign: copied using model sign convention
Confidence: high
Value written: -92553
Notes: Grouped from EDGAR: Cost of Goods and Services Sold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
EDGAR Mapper:
EDGAR mapping:
Source: 10-Q, accession #0001018724-25-000036, filed 2025-05-02
Period: 1Q24 / period ended 2024-03-31
Model row: Model!35 Other Operating Income (Expense)
Mapping type: grouped
Concepts used: CostOfGoodsAndServicesSold = 72633 mm
Unit conversion: raw USD to $mm
Sign: copied using model sign convention
Confidence: high
Value written: -72633
Notes: Grouped from EDGAR: Cost of Goods and Services Sold.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
EDGAR Mapper:
EDGAR mapping:
Source: 10-Q, accession #0001018724-25-000086, filed 2025-08-01
Period: 2Q24 / period ended 2024-06-30
Model row: Model!35 Other Operating Income (Expense)
Mapping type: grouped
Concepts used: CostOfGoodsAndServicesSold = 73785 mm
Unit conversion: raw USD to $mm
Sign: copied using model sign convention
Confidence: high
Value written: -73785
Notes: Grouped from EDGAR: Cost of Goods and Services Sold.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
EDGAR Mapper:
EDGAR mapping:
Source: 10-Q, accession #0001018724-25-000123, filed 2025-10-31
Period: 3Q24 / period ended 2024-09-30
Model row: Model!35 Other Operating Income (Expense)
Mapping type: grouped
Concepts used: CostOfGoodsAndServicesSold = 80977 mm
Unit conversion: raw USD to $mm
Sign: copied using model sign convention
Confidence: high
Value written: -80977
Notes: Grouped from EDGAR: Cost of Goods and Services Sold.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EDGAR Mapper:
EDGAR mapping:
Source: SEC filing
Period: 4Q24
Model row: Model!35 Other Operating Income (Expense)
Mapping type: grouped
Concepts used: CostOfGoodsAndServicesSold = 98893 mm
Unit conversion: raw USD to $mm
Sign: copied using model sign convention
Confidence: high
Value written: -98893
Notes: Grouped from EDGAR: Cost of Goods and Services Sold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
EDGAR Mapper:
EDGAR mapping:
Source: 10-Q, accession #0001018724-26-000014, filed 2026-04-30
Period: 1Q25 / period ended 2025-03-31
Model row: Model!35 Other Operating Income (Expense)
Mapping type: grouped
Concepts used: CostOfGoodsAndServicesSold = 76976 mm
Unit conversion: raw USD to $mm
Sign: copied using model sign convention
Confidence: high
Value written: -76976
Notes: Grouped from EDGAR: Cost of Goods and Services Sold.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
EDGAR Mapper:
EDGAR mapping:
Source: 10-Q, accession #0001018724-25-000086, filed 2025-08-01
Period: 2Q25 / period ended 2025-06-30
Model row: Model!35 Other Operating Income (Expense)
Mapping type: grouped
Concepts used: CostOfGoodsAndServicesSold = 80809 mm
Unit conversion: raw USD to $mm
Sign: copied using model sign convention
Confidence: high
Value written: -80809
Notes: Grouped from EDGAR: Cost of Goods and Services Sold.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
EDGAR Mapper:
EDGAR mapping:
Source: 10-Q, accession #0001018724-25-000123, filed 2025-10-31
Period: 3Q25 / period ended 2025-09-30
Model row: Model!35 Other Operating Income (Expense)
Mapping type: grouped
Concepts used: CostOfGoodsAndServicesSold = 88670 mm
Unit conversion: raw USD to $mm
Sign: copied using model sign convention
Confidence: high
Value written: -88670
Notes: Grouped from EDGAR: Cost of Goods and Services Sold.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EDGAR mapping:
Source: SEC filing
Period: 4Q25
Model row: Model!35 Other Operating Income (Expense)
Mapping type: grouped
Concepts used: CostOfGoodsAndServicesSold = 109959 mm
Unit conversion: raw USD to $mm
Sign: copied using model sign convention
Confidence: high
Value written: -109959
Notes: Grouped from EDGAR: Cost of Goods and Services Sold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
EDGAR Mapper:
Split / partial match: the model row could represent multiple EDGAR interest presentation styles. Needs review.</t>
        </r>
      </text>
    </comment>
    <comment ref="C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41" authorId="0">
      <text>
        <r>
          <rPr>
            <b/>
          </rPr>
          <t xml:space="preserve">EDGAR Mapper:
</t>
        </r>
        <r>
          <t xml:space="preserve">Needs review: one or more historical periods were left unchanged because no matching EDGAR fact was found.
EDGAR Mapper:
Quarterly value was derived from Other Nonoperating Income (Expense) less 1Q23, 2Q23, 3Q23. Quarterly value was derived from Other Nonoperating Income (Expense) less 1Q24, 2Q24, 3Q24. Quarterly value was derived from Other Nonoperating Income (Expense) less 1Q25, 2Q25, 3Q25.</t>
        </r>
      </text>
    </comment>
    <comment ref="F41" authorId="0">
      <text>
        <r>
          <rPr>
            <b/>
          </rPr>
          <t xml:space="preserve">EDGAR Mapper:
</t>
        </r>
        <r>
          <t xml:space="preserve">EDGAR mapping:
Source: 10-Q, accession #0001018724-24-000083, filed 2024-05-01
Period: 1Q23 / period ended 2023-03-31
Model row: Model!41 Other Non-Operating Income (Expense)
Mapping type: direct
Concepts used: OtherNonoperatingIncomeExpense = -443 mm
Unit conversion: raw USD to $mm
Sign: copied using model sign convention
Confidence: high
Value written: -443</t>
        </r>
      </text>
    </comment>
    <comment ref="G41" authorId="0">
      <text>
        <r>
          <rPr>
            <b/>
          </rPr>
          <t xml:space="preserve">EDGAR Mapper:
</t>
        </r>
        <r>
          <t xml:space="preserve">EDGAR mapping:
Source: 10-Q, accession #0001018724-24-000130, filed 2024-08-02
Period: 2Q23 / period ended 2023-06-30
Model row: Model!41 Other Non-Operating Income (Expense)
Mapping type: direct
Concepts used: OtherNonoperatingIncomeExpense = 61 mm
Unit conversion: raw USD to $mm
Sign: copied using model sign convention
Confidence: high
Value written: 61</t>
        </r>
      </text>
    </comment>
    <comment ref="H41" authorId="0">
      <text>
        <r>
          <rPr>
            <b/>
          </rPr>
          <t xml:space="preserve">EDGAR Mapper:
</t>
        </r>
        <r>
          <t xml:space="preserve">EDGAR mapping:
Source: 10-Q, accession #0001018724-24-000161, filed 2024-11-01
Period: 3Q23 / period ended 2023-09-30
Model row: Model!41 Other Non-Operating Income (Expense)
Mapping type: direct
Concepts used: OtherNonoperatingIncomeExpense = 1031 mm
Unit conversion: raw USD to $mm
Sign: copied using model sign convention
Confidence: high
Value written: 1031</t>
        </r>
      </text>
    </comment>
    <comment ref="I41" authorId="0">
      <text>
        <r>
          <rPr>
            <b/>
          </rPr>
          <t xml:space="preserve">EDGAR Mapper:
</t>
        </r>
        <r>
          <t xml:space="preserve">EDGAR mapping:
Source: SEC filing
Period: 4Q23
Model row: Model!41 Other Non-Operating Income (Expense)
Mapping type: direct
Concepts used: OtherNonoperatingIncomeExpense = 289 mm
Unit conversion: raw USD to $mm
Sign: copied using model sign convention
Confidence: high
Value written: 289
Notes: Quarterly value was derived from Other Nonoperating Income (Expense) less 1Q23, 2Q23, 3Q23.</t>
        </r>
      </text>
    </comment>
    <comment ref="K41" authorId="0">
      <text>
        <r>
          <rPr>
            <b/>
          </rPr>
          <t xml:space="preserve">EDGAR Mapper:
</t>
        </r>
        <r>
          <t xml:space="preserve">EDGAR mapping:
Source: 10-Q, accession #0001018724-25-000036, filed 2025-05-02
Period: 1Q24 / period ended 2024-03-31
Model row: Model!41 Other Non-Operating Income (Expense)
Mapping type: direct
Concepts used: OtherNonoperatingIncomeExpense = -2673 mm
Unit conversion: raw USD to $mm
Sign: copied using model sign convention
Confidence: high
Value written: -2673</t>
        </r>
      </text>
    </comment>
    <comment ref="L41" authorId="0">
      <text>
        <r>
          <rPr>
            <b/>
          </rPr>
          <t xml:space="preserve">EDGAR Mapper:
</t>
        </r>
        <r>
          <t xml:space="preserve">EDGAR mapping:
Source: 10-Q, accession #0001018724-25-000086, filed 2025-08-01
Period: 2Q24 / period ended 2024-06-30
Model row: Model!41 Other Non-Operating Income (Expense)
Mapping type: direct
Concepts used: OtherNonoperatingIncomeExpense = -18 mm
Unit conversion: raw USD to $mm
Sign: copied using model sign convention
Confidence: high
Value written: -18</t>
        </r>
      </text>
    </comment>
    <comment ref="M41" authorId="0">
      <text>
        <r>
          <rPr>
            <b/>
          </rPr>
          <t xml:space="preserve">EDGAR Mapper:
</t>
        </r>
        <r>
          <t xml:space="preserve">EDGAR mapping:
Source: 10-Q, accession #0001018724-25-000123, filed 2025-10-31
Period: 3Q24 / period ended 2024-09-30
Model row: Model!41 Other Non-Operating Income (Expense)
Mapping type: direct
Concepts used: OtherNonoperatingIncomeExpense = -27 mm
Unit conversion: raw USD to $mm
Sign: copied using model sign convention
Confidence: high
Value written: -27</t>
        </r>
      </text>
    </comment>
    <comment ref="N41" authorId="0">
      <text>
        <r>
          <rPr>
            <b/>
          </rPr>
          <t xml:space="preserve">EDGAR Mapper:
</t>
        </r>
        <r>
          <t xml:space="preserve">EDGAR mapping:
Source: SEC filing
Period: 4Q24
Model row: Model!41 Other Non-Operating Income (Expense)
Mapping type: direct
Concepts used: OtherNonoperatingIncomeExpense = 468 mm
Unit conversion: raw USD to $mm
Sign: copied using model sign convention
Confidence: high
Value written: 468
Notes: Quarterly value was derived from Other Nonoperating Income (Expense) less 1Q24, 2Q24, 3Q24.</t>
        </r>
      </text>
    </comment>
    <comment ref="P41" authorId="0">
      <text>
        <r>
          <rPr>
            <b/>
          </rPr>
          <t xml:space="preserve">EDGAR Mapper:
</t>
        </r>
        <r>
          <t xml:space="preserve">EDGAR mapping:
Source: 10-Q, accession #0001018724-26-000014, filed 2026-04-30
Period: 1Q25 / period ended 2025-03-31
Model row: Model!41 Other Non-Operating Income (Expense)
Mapping type: direct
Concepts used: OtherNonoperatingIncomeExpense = 2749 mm
Unit conversion: raw USD to $mm
Sign: copied using model sign convention
Confidence: high
Value written: 2749</t>
        </r>
      </text>
    </comment>
    <comment ref="Q41" authorId="0">
      <text>
        <r>
          <rPr>
            <b/>
          </rPr>
          <t xml:space="preserve">EDGAR Mapper:
</t>
        </r>
        <r>
          <t xml:space="preserve">EDGAR mapping:
Source: 10-Q, accession #0001018724-25-000086, filed 2025-08-01
Period: 2Q25 / period ended 2025-06-30
Model row: Model!41 Other Non-Operating Income (Expense)
Mapping type: direct
Concepts used: OtherNonoperatingIncomeExpense = 1117 mm
Unit conversion: raw USD to $mm
Sign: copied using model sign convention
Confidence: high
Value written: 1117</t>
        </r>
      </text>
    </comment>
    <comment ref="R41" authorId="0">
      <text>
        <r>
          <rPr>
            <b/>
          </rPr>
          <t xml:space="preserve">EDGAR Mapper:
</t>
        </r>
        <r>
          <t xml:space="preserve">EDGAR mapping:
Source: 10-Q, accession #0001018724-25-000123, filed 2025-10-31
Period: 3Q25 / period ended 2025-09-30
Model row: Model!41 Other Non-Operating Income (Expense)
Mapping type: direct
Concepts used: OtherNonoperatingIncomeExpense = 10186 mm
Unit conversion: raw USD to $mm
Sign: copied using model sign convention
Confidence: high
Value written: 10186</t>
        </r>
      </text>
    </comment>
    <comment ref="S41" authorId="0">
      <text>
        <r>
          <rPr>
            <b/>
          </rPr>
          <t xml:space="preserve">EDGAR Mapper:
</t>
        </r>
        <r>
          <t xml:space="preserve">EDGAR mapping:
Source: SEC filing
Period: 4Q25
Model row: Model!41 Other Non-Operating Income (Expense)
Mapping type: direct
Concepts used: OtherNonoperatingIncomeExpense = 1177 mm
Unit conversion: raw USD to $mm
Sign: copied using model sign convention
Confidence: high
Value written: 1177
Notes: Quarterly value was derived from Other Nonoperating Income (Expense)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
EDGAR Mapper:
EDGAR mapping:
Source: 10-Q, accession #0001018724-24-000083, filed 2024-05-01
Period: 1Q23 / period ended 2023-03-31
Model row: Model!44 Income Tax Benefit (Expense)
Mapping type: direct
Concepts used: IncomeTaxExpenseBenefit = 948 mm
Unit conversion: raw USD to $mm
Sign: inverted because model expects this row as negative
Confidence: high
Value written: -948</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
EDGAR Mapper:
EDGAR mapping:
Source: 10-Q, accession #0001018724-24-000130, filed 2024-08-02
Period: 2Q23 / period ended 2023-06-30
Model row: Model!44 Income Tax Benefit (Expense)
Mapping type: direct
Concepts used: IncomeTaxExpenseBenefit = 804 mm
Unit conversion: raw USD to $mm
Sign: inverted because model expects this row as negative
Confidence: high
Value written: -804</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
EDGAR Mapper:
EDGAR mapping:
Source: 10-Q, accession #0001018724-24-000161, filed 2024-11-01
Period: 3Q23 / period ended 2023-09-30
Model row: Model!44 Income Tax Benefit (Expense)
Mapping type: direct
Concepts used: IncomeTaxExpenseBenefit = 2306 mm
Unit conversion: raw USD to $mm
Sign: inverted because model expects this row as negative
Confidence: high
Value written: -2306</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
EDGAR Mapper:
EDGAR mapping:
Source: 10-Q, accession #0001018724-25-000036, filed 2025-05-02
Period: 1Q24 / period ended 2024-03-31
Model row: Model!44 Income Tax Benefit (Expense)
Mapping type: direct
Concepts used: IncomeTaxExpenseBenefit = 2467 mm
Unit conversion: raw USD to $mm
Sign: inverted because model expects this row as negative
Confidence: high
Value written: -2467</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
EDGAR Mapper:
EDGAR mapping:
Source: 10-Q, accession #0001018724-25-000086, filed 2025-08-01
Period: 2Q24 / period ended 2024-06-30
Model row: Model!44 Income Tax Benefit (Expense)
Mapping type: direct
Concepts used: IncomeTaxExpenseBenefit = 1767 mm
Unit conversion: raw USD to $mm
Sign: inverted because model expects this row as negative
Confidence: high
Value written: -1767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
EDGAR Mapper:
EDGAR mapping:
Source: 10-Q, accession #0001018724-25-000123, filed 2025-10-31
Period: 3Q24 / period ended 2024-09-30
Model row: Model!44 Income Tax Benefit (Expense)
Mapping type: direct
Concepts used: IncomeTaxExpenseBenefit = 2706 mm
Unit conversion: raw USD to $mm
Sign: inverted because model expects this row as negative
Confidence: high
Value written: -2706</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
EDGAR Mapper:
EDGAR mapping:
Source: 10-Q, accession #0001018724-26-000014, filed 2026-04-30
Period: 1Q25 / period ended 2025-03-31
Model row: Model!44 Income Tax Benefit (Expense)
Mapping type: direct
Concepts used: IncomeTaxExpenseBenefit = 4553 mm
Unit conversion: raw USD to $mm
Sign: inverted because model expects this row as negative
Confidence: high
Value written: -4553</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
EDGAR Mapper:
EDGAR mapping:
Source: 10-Q, accession #0001018724-25-000086, filed 2025-08-01
Period: 2Q25 / period ended 2025-06-30
Model row: Model!44 Income Tax Benefit (Expense)
Mapping type: direct
Concepts used: IncomeTaxExpenseBenefit = 2678 mm
Unit conversion: raw USD to $mm
Sign: inverted because model expects this row as negative
Confidence: high
Value written: -2678</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
EDGAR Mapper:
EDGAR mapping:
Source: 10-Q, accession #0001018724-25-000123, filed 2025-10-31
Period: 3Q25 / period ended 2025-09-30
Model row: Model!44 Income Tax Benefit (Expense)
Mapping type: direct
Concepts used: IncomeTaxExpenseBenefit = 6910 mm
Unit conversion: raw USD to $mm
Sign: inverted because model expects this row as negative
Confidence: high
Value written: -6910</t>
        </r>
      </text>
    </comment>
    <comment ref="C47" authorId="0">
      <text>
        <r>
          <rPr>
            <b/>
          </rPr>
          <t xml:space="preserve">EDGAR Mapper:
</t>
        </r>
        <r>
          <t xml:space="preserve">Split / partial match: EDGAR adjustment detail is not consistently available for this model row. Needs review.
EDGAR Mapper:
Split / partial match: EDGAR adjustment detail is not consistently available for this model row. Needs review.</t>
        </r>
      </text>
    </comment>
    <comment ref="C48" authorId="0">
      <text>
        <r>
          <rPr>
            <b/>
          </rPr>
          <t xml:space="preserve">EDGAR Mapper:
</t>
        </r>
        <r>
          <t xml:space="preserve">Split / partial match: post-tax adjustment rows are model-specific and were preserved unless EDGAR detail is explicitly modeled.
EDGAR Mapper:
Needs review: one or more historical periods were left unchanged because no matching EDGAR fact was found.</t>
        </r>
      </text>
    </comment>
    <comment ref="X48" authorId="0">
      <text>
        <r>
          <rPr>
            <b/>
            <color rgb="FF000000"/>
            <family val="2"/>
            <sz val="9"/>
            <rFont val="Tahoma"/>
          </rPr>
          <t>Keal Brown:</t>
        </r>
        <r>
          <rPr>
            <color rgb="FF000000"/>
            <family val="2"/>
            <sz val="9"/>
            <rFont val="Tahoma"/>
          </rPr>
          <t xml:space="preserve">
</t>
        </r>
        <r>
          <rPr>
            <color rgb="FF000000"/>
            <family val="2"/>
            <sz val="9"/>
            <rFont val="Tahoma"/>
          </rPr>
          <t>Additonal $20.0 mn headwind from MFS</t>
        </r>
      </text>
    </comment>
    <comment ref="C49" authorId="0">
      <text>
        <r>
          <rPr>
            <b/>
          </rPr>
          <t xml:space="preserve">EDGAR Mapper:
</t>
        </r>
        <r>
          <t xml:space="preserve">Historicals Solver: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
EDGAR Mapper:
Split / partial match: this discontinued-operations row is part of a model adjustment bridge and was preserved unless EDGAR detail is explicitly modeled.
EDGAR Mapper:
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 xml:space="preserve">Historicals Solver: Included nonredeemable and redeemable noncontrolling-interest income/loss attributable to non-controlling interests. Included EDGAR line items: Net Income (Loss) Attributable to Nonredeemable Noncontrolling Interest, Net Income (Loss) Attributable to Redeemable Noncontrolling Interest. Included nonredeemable and redeemable noncontrolling-interest income/loss attributable to non-controlling interests. Included EDGAR line items: Net Income (Loss) Attributable to Nonredeemable Noncontrolling Interest, NetIncomeLossAttributableToRedeemableNoncontrollingInterest.
EDGAR Mapper:
Split / partial match: this non-controlling-interest row is part of a model-specific net income bridge and was preserved because the common-shareholder income formula already reconciles.
EDGAR Mapper:
Needs review: one or more historical periods were left unchanged because no matching EDGAR fact was found.</t>
        </r>
      </text>
    </comment>
    <comment ref="C76" authorId="0">
      <text>
        <r>
          <rPr>
            <color theme="1"/>
            <family val="2"/>
            <scheme val="minor"/>
            <sz val="11"/>
            <rFont val="Calibri"/>
          </rP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77" authorId="0">
      <text>
        <r>
          <rPr>
            <color rgb="FF000000"/>
            <family val="2"/>
            <sz val="11"/>
            <rFont val="Calibri"/>
          </rP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C79" authorId="0">
      <text>
        <r>
          <rPr>
            <color theme="1"/>
            <family val="2"/>
            <scheme val="minor"/>
            <sz val="11"/>
            <rFont val="Calibri"/>
          </rPr>
          <t>Historicals Solver: 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C82" authorId="0">
      <text>
        <r>
          <rPr>
            <color theme="1"/>
            <family val="2"/>
            <scheme val="minor"/>
            <sz val="11"/>
            <rFont val="Calibri"/>
          </rPr>
          <t>Historicals Solver: 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C84" authorId="0">
      <text>
        <r>
          <rPr>
            <color theme="1"/>
            <family val="2"/>
            <scheme val="minor"/>
            <sz val="11"/>
            <rFont val="Calibri"/>
          </rP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89" authorId="0">
      <text>
        <r>
          <rPr>
            <color theme="1"/>
            <family val="2"/>
            <scheme val="minor"/>
            <sz val="11"/>
            <rFont val="Calibri"/>
          </rPr>
          <t>Historicals Solver: Calculated as reported line-of-credit or short-term borrowing proceeds less repayments. Included EDGAR line items: Proceeds from Short-term Debt, Repayments of Short-term Debt. Calculated as reported line-of-credit or short-term borrowing proceeds less repayments. Included EDGAR line items: Proceeds from Short-term Debt (derived Q2), Repayments of Short-term Debt (derived Q2). Quarterly value was derived from Proceeds from Short-term Debt less 1Q23. Calculated as reported line-of-credit or short-term borrowing proceeds less repayments. Included EDGAR line items: Proceeds from Short-term Debt (derived Q3), Repayments of Short-term Debt (derived Q3). Quarterly value was derived from Proceeds from Short-term Debt less 1Q23, 2Q23. Calculated as reported line-of-credit or short-term borrowing proceeds less repayments. Included EDGAR line items: Proceeds from Short-term Debt (derived Q4), Repayments of Short-term Debt (derived Q4). Quarterly value was derived from Proceeds from Short-term Debt less 1Q23, 2Q23, 3Q23. Calculated as reported line-of-credit or short-term borrowing proceeds less repayments. Included EDGAR line items: Proceeds from Short-term Debt (derived Q2), Repayments of Short-term Debt (derived Q2). Quarterly value was derived from Proceeds from Short-term Debt less 1Q24. Calculated as reported line-of-credit or short-term borrowing proceeds less repayments. Included EDGAR line items: Proceeds from Short-term Debt (derived Q3), Repayments of Short-term Debt (derived Q3). Quarterly value was derived from Proceeds from Short-term Debt less 1Q24, 2Q24. Calculated as reported line-of-credit or short-term borrowing proceeds less repayments. Included EDGAR line items: Proceeds from Short-term Debt (derived Q4), Repayments of Short-term Debt (derived Q4). Quarterly value was derived from Proceeds from Short-term Debt less 1Q24, 2Q24, 3Q24. Calculated as reported line-of-credit or short-term borrowing proceeds less repayments. Included EDGAR line items: Proceeds from Short-term Debt (derived Q2), Repayments of Short-term Debt (derived Q2). Quarterly value was derived from Proceeds from Short-term Debt less 1Q25. Calculated as reported line-of-credit or short-term borrowing proceeds less repayments. Included EDGAR line items: Proceeds from Short-term Debt (derived Q3), Repayments of Short-term Debt (derived Q3). Quarterly value was derived from Proceeds from Short-term Debt less 1Q25, 2Q25. Calculated as reported line-of-credit or short-term borrowing proceeds less repayments. Included EDGAR line items: Proceeds from Short-term Debt (derived Q4), Repayments of Short-term Debt (derived Q4). Quarterly value was derived from Proceeds from Short-term Debt less 1Q25, 2Q25, 3Q25.</t>
        </r>
      </text>
    </comment>
    <comment ref="C91" authorId="0">
      <text>
        <r>
          <rPr>
            <color theme="1"/>
            <family val="2"/>
            <scheme val="minor"/>
            <sz val="11"/>
            <rFont val="Calibri"/>
          </rPr>
          <t>Historicals Solver: 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C93" authorId="0">
      <text>
        <r>
          <rPr>
            <color theme="1"/>
            <family val="2"/>
            <scheme val="minor"/>
            <sz val="11"/>
            <rFont val="Calibri"/>
          </rP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94" authorId="0">
      <text>
        <r>
          <rPr>
            <color theme="1"/>
            <family val="2"/>
            <scheme val="minor"/>
            <sz val="11"/>
            <rFont val="Calibri"/>
          </rP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98" authorId="0">
      <text>
        <r>
          <rPr>
            <color theme="1"/>
            <family val="2"/>
            <scheme val="minor"/>
            <sz val="11"/>
            <rFont val="Calibri"/>
          </rPr>
          <t>Historicals Solver: 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
EDGAR Mapper:
EDGAR mapping:
Source: 10-Q, accession #0001018724-23-000008, filed 2023-04-28
Period: 1Q23 / period ended 2023-03-31
Model row: Model!120 Cash &amp; Cash Equivalents
Mapping type: direct
Concepts used: CashAndCashEquivalentsAtCarryingValue = 49343 mm
Unit conversion: raw USD to $mm
Sign: copied using model sign convention
Confidence: high
Value written: 49343</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
EDGAR Mapper:
EDGAR mapping:
Source: 10-Q, accession #0001018724-23-000012, filed 2023-08-04
Period: 2Q23 / period ended 2023-06-30
Model row: Model!120 Cash &amp; Cash Equivalents
Mapping type: direct
Concepts used: CashAndCashEquivalentsAtCarryingValue = 49529 mm
Unit conversion: raw USD to $mm
Sign: copied using model sign convention
Confidence: high
Value written: 49529</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
EDGAR Mapper:
EDGAR mapping:
Source: 10-Q, accession #0001018724-23-000018, filed 2023-10-27
Period: 3Q23 / period ended 2023-09-30
Model row: Model!120 Cash &amp; Cash Equivalents
Mapping type: direct
Concepts used: CashAndCashEquivalentsAtCarryingValue = 49605 mm
Unit conversion: raw USD to $mm
Sign: copied using model sign convention
Confidence: high
Value written: 49605</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
EDGAR Mapper:
EDGAR mapping:
Source: 10-K, accession #0001018724-25-000004, filed 2025-02-07
Period: 4Q23 / period ended 2023-12-31
Model row: Model!120 Cash &amp; Cash Equivalents
Mapping type: direct
Concepts used: CashAndCashEquivalentsAtCarryingValue = 73387 mm
Unit conversion: raw USD to $mm
Sign: copied using model sign convention
Confidence: high
Value written: 73387</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
EDGAR Mapper:
EDGAR mapping:
Source: 10-Q, accession #0001018724-24-000083, filed 2024-05-01
Period: 1Q24 / period ended 2024-03-31
Model row: Model!120 Cash &amp; Cash Equivalents
Mapping type: direct
Concepts used: CashAndCashEquivalentsAtCarryingValue = 72852 mm
Unit conversion: raw USD to $mm
Sign: copied using model sign convention
Confidence: high
Value written: 72852</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
EDGAR Mapper:
EDGAR mapping:
Source: 10-Q, accession #0001018724-24-000130, filed 2024-08-02
Period: 2Q24 / period ended 2024-06-30
Model row: Model!120 Cash &amp; Cash Equivalents
Mapping type: direct
Concepts used: CashAndCashEquivalentsAtCarryingValue = 71178 mm
Unit conversion: raw USD to $mm
Sign: copied using model sign convention
Confidence: high
Value written: 71178</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
EDGAR Mapper:
EDGAR mapping:
Source: 10-Q, accession #0001018724-24-000161, filed 2024-11-01
Period: 3Q24 / period ended 2024-09-30
Model row: Model!120 Cash &amp; Cash Equivalents
Mapping type: direct
Concepts used: CashAndCashEquivalentsAtCarryingValue = 75091 mm
Unit conversion: raw USD to $mm
Sign: copied using model sign convention
Confidence: high
Value written: 75091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
EDGAR Mapper:
EDGAR mapping:
Source: 10-K, accession #0001018724-26-000004, filed 2026-02-06
Period: 4Q24 / period ended 2024-12-31
Model row: Model!120 Cash &amp; Cash Equivalents
Mapping type: direct
Concepts used: CashAndCashEquivalentsAtCarryingValue = 78779 mm
Unit conversion: raw USD to $mm
Sign: copied using model sign convention
Confidence: high
Value written: 78779</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
EDGAR Mapper:
EDGAR mapping:
Source: 10-Q, accession #0001018724-25-000036, filed 2025-05-02
Period: 1Q25 / period ended 2025-03-31
Model row: Model!120 Cash &amp; Cash Equivalents
Mapping type: direct
Concepts used: CashAndCashEquivalentsAtCarryingValue = 66207 mm
Unit conversion: raw USD to $mm
Sign: copied using model sign convention
Confidence: high
Value written: 66207</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
EDGAR Mapper:
EDGAR mapping:
Source: 10-Q, accession #0001018724-25-000086, filed 2025-08-01
Period: 2Q25 / period ended 2025-06-30
Model row: Model!120 Cash &amp; Cash Equivalents
Mapping type: direct
Concepts used: CashAndCashEquivalentsAtCarryingValue = 57741 mm
Unit conversion: raw USD to $mm
Sign: copied using model sign convention
Confidence: high
Value written: 57741</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
EDGAR Mapper:
EDGAR mapping:
Source: 10-Q, accession #0001018724-25-000123, filed 2025-10-31
Period: 3Q25 / period ended 2025-09-30
Model row: Model!120 Cash &amp; Cash Equivalents
Mapping type: direct
Concepts used: CashAndCashEquivalentsAtCarryingValue = 66922 mm
Unit conversion: raw USD to $mm
Sign: copied using model sign convention
Confidence: high
Value written: 66922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
EDGAR Mapper:
EDGAR mapping:
Source: 10-K, accession #0001018724-26-000004, filed 2026-02-06
Period: 4Q25 / period ended 2025-12-31
Model row: Model!120 Cash &amp; Cash Equivalents
Mapping type: direct
Concepts used: CashAndCashEquivalentsAtCarryingValue = 86810 mm
Unit conversion: raw USD to $mm
Sign: copied using model sign convention
Confidence: high
Value written: 86810</t>
        </r>
      </text>
    </comment>
    <comment ref="C121" authorId="0">
      <text>
        <r>
          <rPr>
            <b/>
          </rPr>
          <t xml:space="preserve">EDGAR Mapper:
</t>
        </r>
        <r>
          <t xml:space="preserve">Historicals Solver: Included broker-dealer receivables, customer receivables, and fees/interest/other receivables from the SEC filing. Included EDGAR line items: Receivables from Brokers-Dealers and Clearing Organizations, Receivables from Customers, FeesInterestAndOther. Included broker-dealer receivables, customer receivables, and fees/interest/other receivables from the SEC filing. Included EDGAR line items: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
EDGAR Mapper:
Grouped from EDGAR: Accounts Receivable, after Allowance for Credit Loss, Current. Grouped from EDGAR: Accounts Receivable net Current.</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#0001018724-23-000008, filed 2023-04-28
Period: 1Q23 / period ended 2023-03-31
Model row: Model!121 Accounts Receivable
Mapping type: grouped
Concepts used: AccountsReceivableNetCurrent = 37646 mm
Unit conversion: raw USD to $mm
Sign: copied using model sign convention
Confidence: high
Value written: 37646
Notes: Grouped from EDGAR: Accounts Receivable, after Allowance for Credit Loss, Current.</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#0001018724-23-000012, filed 2023-08-04
Period: 2Q23 / period ended 2023-06-30
Model row: Model!121 Accounts Receivable
Mapping type: grouped
Concepts used: AccountsReceivableNetCurrent = 39925 mm
Unit conversion: raw USD to $mm
Sign: copied using model sign convention
Confidence: high
Value written: 39925
Notes: Grouped from EDGAR: Accounts Receivable, after Allowance for Credit Loss, Current.</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#0001018724-23-000018, filed 2023-10-27
Period: 3Q23 / period ended 2023-09-30
Model row: Model!121 Accounts Receivable
Mapping type: grouped
Concepts used: AccountsReceivableNetCurrent = 43420 mm
Unit conversion: raw USD to $mm
Sign: copied using model sign convention
Confidence: high
Value written: 43420
Notes: Grouped from EDGAR: Accounts Receivable, after Allowance for Credit Loss, Current.</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#0001018724-25-000004, filed 2025-02-07
Period: 4Q23 / period ended 2023-12-31
Model row: Model!121 Accounts Receivable
Mapping type: grouped
Concepts used: AccountsReceivableNetCurrent = 52253 mm
Unit conversion: raw USD to $mm
Sign: copied using model sign convention
Confidence: high
Value written: 52253
Notes: Grouped from EDGAR: Accounts Receivable, after Allowance for Credit Loss, Current.</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#0001018724-24-000083, filed 2024-05-01
Period: 1Q24 / period ended 2024-03-31
Model row: Model!121 Accounts Receivable
Mapping type: grouped
Concepts used: AccountsReceivableNetCurrent = 47768 mm
Unit conversion: raw USD to $mm
Sign: copied using model sign convention
Confidence: high
Value written: 47768
Notes: Grouped from EDGAR: Accounts Receivable, after Allowance for Credit Loss, Current.</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#0001018724-24-000130, filed 2024-08-02
Period: 2Q24 / period ended 2024-06-30
Model row: Model!121 Accounts Receivable
Mapping type: grouped
Concepts used: AccountsReceivableNetCurrent = 50106 mm
Unit conversion: raw USD to $mm
Sign: copied using model sign convention
Confidence: high
Value written: 50106
Notes: Grouped from EDGAR: Accounts Receivable, after Allowance for Credit Loss, Current.</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#0001018724-24-000161, filed 2024-11-01
Period: 3Q24 / period ended 2024-09-30
Model row: Model!121 Accounts Receivable
Mapping type: grouped
Concepts used: AccountsReceivableNetCurrent = 51638 mm
Unit conversion: raw USD to $mm
Sign: copied using model sign convention
Confidence: high
Value written: 51638
Notes: Grouped from EDGAR: Accounts Receivable, after Allowance for Credit Loss, Current.</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#0001018724-26-000004, filed 2026-02-06
Period: 4Q24 / period ended 2024-12-31
Model row: Model!121 Accounts Receivable
Mapping type: grouped
Concepts used: AccountsReceivableNetCurrent = 55451 mm
Unit conversion: raw USD to $mm
Sign: copied using model sign convention
Confidence: high
Value written: 55451
Notes: Grouped from EDGAR: Accounts Receivable, after Allowance for Credit Loss, Current.</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#0001018724-25-000036, filed 2025-05-02
Period: 1Q25 / period ended 2025-03-31
Model row: Model!121 Accounts Receivable
Mapping type: grouped
Concepts used: AccountsReceivableNetCurrent = 54216 mm
Unit conversion: raw USD to $mm
Sign: copied using model sign convention
Confidence: high
Value written: 54216
Notes: Grouped from EDGAR: Accounts Receivable, after Allowance for Credit Loss, Current.</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#0001018724-25-000086, filed 2025-08-01
Period: 2Q25 / period ended 2025-06-30
Model row: Model!121 Accounts Receivable
Mapping type: grouped
Concepts used: AccountsReceivableNetCurrent = 57415 mm
Unit conversion: raw USD to $mm
Sign: copied using model sign convention
Confidence: high
Value written: 57415
Notes: Grouped from EDGAR: Accounts Receivable, after Allowance for Credit Loss, Current.</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#0001018724-25-000123, filed 2025-10-31
Period: 3Q25 / period ended 2025-09-30
Model row: Model!121 Accounts Receivable
Mapping type: grouped
Concepts used: AccountsReceivableNetCurrent = 61175 mm
Unit conversion: raw USD to $mm
Sign: copied using model sign convention
Confidence: high
Value written: 61175
Notes: Grouped from EDGAR: Accounts Receivable, after Allowance for Credit Loss, Current.</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
EDGAR Mapper:
EDGAR mapping:
Source: 10-K, accession #0001018724-26-000004, filed 2026-02-06
Period: 4Q25 / period ended 2025-12-31
Model row: Model!121 Accounts Receivable
Mapping type: grouped
Concepts used: AccountsReceivableNetCurrent = 67729 mm
Unit conversion: raw USD to $mm
Sign: copied using model sign convention
Confidence: high
Value written: 67729
Notes: Grouped from EDGAR: Accounts Receivable net Current.</t>
        </r>
      </text>
    </comment>
    <comment ref="C122" authorId="0">
      <text>
        <r>
          <rPr>
            <b/>
            <color rgb="FF000000"/>
            <family val="2"/>
            <sz val="11"/>
            <rFont val="Calibri"/>
          </rPr>
          <t xml:space="preserve">EDGAR Mapper:
</t>
        </r>
        <r>
          <rPr>
            <color rgb="FF000000"/>
            <family val="2"/>
            <sz val="11"/>
            <rFont val="Calibri"/>
          </rPr>
          <t>Needs review: one or more historical periods were left unchanged because no matching EDGAR fact was found.</t>
        </r>
      </text>
    </comment>
    <comment ref="F122" authorId="0">
      <text>
        <r>
          <rPr>
            <b/>
          </rPr>
          <t xml:space="preserve">EDGAR Mapper:
</t>
        </r>
        <r>
          <t xml:space="preserve">EDGAR mapping:
Source: 10-Q, accession #0001018724-23-000008, filed 2023-04-28
Period: 1Q23 / period ended 2023-03-31
Model row: Model!122 Inventory
Mapping type: direct
Concepts used: InventoryNet = 34170 mm
Unit conversion: raw USD to $mm
Sign: copied using model sign convention
Confidence: high
Value written: 34170</t>
        </r>
      </text>
    </comment>
    <comment ref="G122" authorId="0">
      <text>
        <r>
          <rPr>
            <b/>
          </rPr>
          <t xml:space="preserve">EDGAR Mapper:
</t>
        </r>
        <r>
          <t xml:space="preserve">EDGAR mapping:
Source: 10-Q, accession #0001018724-23-000012, filed 2023-08-04
Period: 2Q23 / period ended 2023-06-30
Model row: Model!122 Inventory
Mapping type: direct
Concepts used: InventoryNet = 36587 mm
Unit conversion: raw USD to $mm
Sign: copied using model sign convention
Confidence: high
Value written: 36587</t>
        </r>
      </text>
    </comment>
    <comment ref="H122" authorId="0">
      <text>
        <r>
          <rPr>
            <b/>
          </rPr>
          <t xml:space="preserve">EDGAR Mapper:
</t>
        </r>
        <r>
          <t xml:space="preserve">EDGAR mapping:
Source: 10-Q, accession #0001018724-23-000018, filed 2023-10-27
Period: 3Q23 / period ended 2023-09-30
Model row: Model!122 Inventory
Mapping type: direct
Concepts used: InventoryNet = 35406 mm
Unit conversion: raw USD to $mm
Sign: copied using model sign convention
Confidence: high
Value written: 35406</t>
        </r>
      </text>
    </comment>
    <comment ref="I122" authorId="0">
      <text>
        <r>
          <rPr>
            <b/>
          </rPr>
          <t xml:space="preserve">EDGAR Mapper:
</t>
        </r>
        <r>
          <t xml:space="preserve">EDGAR mapping:
Source: 10-K, accession #0001018724-25-000004, filed 2025-02-07
Period: 4Q23 / period ended 2023-12-31
Model row: Model!122 Inventory
Mapping type: direct
Concepts used: InventoryNet = 33318 mm
Unit conversion: raw USD to $mm
Sign: copied using model sign convention
Confidence: high
Value written: 33318</t>
        </r>
      </text>
    </comment>
    <comment ref="K122" authorId="0">
      <text>
        <r>
          <rPr>
            <b/>
          </rPr>
          <t xml:space="preserve">EDGAR Mapper:
</t>
        </r>
        <r>
          <t xml:space="preserve">EDGAR mapping:
Source: 10-Q, accession #0001018724-24-000083, filed 2024-05-01
Period: 1Q24 / period ended 2024-03-31
Model row: Model!122 Inventory
Mapping type: direct
Concepts used: InventoryNet = 31147 mm
Unit conversion: raw USD to $mm
Sign: copied using model sign convention
Confidence: high
Value written: 31147</t>
        </r>
      </text>
    </comment>
    <comment ref="L122" authorId="0">
      <text>
        <r>
          <rPr>
            <b/>
          </rPr>
          <t xml:space="preserve">EDGAR Mapper:
</t>
        </r>
        <r>
          <t xml:space="preserve">EDGAR mapping:
Source: 10-Q, accession #0001018724-24-000130, filed 2024-08-02
Period: 2Q24 / period ended 2024-06-30
Model row: Model!122 Inventory
Mapping type: direct
Concepts used: InventoryNet = 34109 mm
Unit conversion: raw USD to $mm
Sign: copied using model sign convention
Confidence: high
Value written: 34109</t>
        </r>
      </text>
    </comment>
    <comment ref="M122" authorId="0">
      <text>
        <r>
          <rPr>
            <b/>
          </rPr>
          <t xml:space="preserve">EDGAR Mapper:
</t>
        </r>
        <r>
          <t xml:space="preserve">EDGAR mapping:
Source: 10-Q, accession #0001018724-24-000161, filed 2024-11-01
Period: 3Q24 / period ended 2024-09-30
Model row: Model!122 Inventory
Mapping type: direct
Concepts used: InventoryNet = 36103 mm
Unit conversion: raw USD to $mm
Sign: copied using model sign convention
Confidence: high
Value written: 36103</t>
        </r>
      </text>
    </comment>
    <comment ref="N122" authorId="0">
      <text>
        <r>
          <rPr>
            <b/>
          </rPr>
          <t xml:space="preserve">EDGAR Mapper:
</t>
        </r>
        <r>
          <t xml:space="preserve">EDGAR mapping:
Source: 10-K, accession #0001018724-26-000004, filed 2026-02-06
Period: 4Q24 / period ended 2024-12-31
Model row: Model!122 Inventory
Mapping type: direct
Concepts used: InventoryNet = 34214 mm
Unit conversion: raw USD to $mm
Sign: copied using model sign convention
Confidence: high
Value written: 34214</t>
        </r>
      </text>
    </comment>
    <comment ref="P122" authorId="0">
      <text>
        <r>
          <rPr>
            <b/>
          </rPr>
          <t xml:space="preserve">EDGAR Mapper:
</t>
        </r>
        <r>
          <t xml:space="preserve">EDGAR mapping:
Source: 10-Q, accession #0001018724-25-000036, filed 2025-05-02
Period: 1Q25 / period ended 2025-03-31
Model row: Model!122 Inventory
Mapping type: direct
Concepts used: InventoryNet = 35864 mm
Unit conversion: raw USD to $mm
Sign: copied using model sign convention
Confidence: high
Value written: 35864</t>
        </r>
      </text>
    </comment>
    <comment ref="Q122" authorId="0">
      <text>
        <r>
          <rPr>
            <b/>
          </rPr>
          <t xml:space="preserve">EDGAR Mapper:
</t>
        </r>
        <r>
          <t xml:space="preserve">EDGAR mapping:
Source: 10-Q, accession #0001018724-25-000086, filed 2025-08-01
Period: 2Q25 / period ended 2025-06-30
Model row: Model!122 Inventory
Mapping type: direct
Concepts used: InventoryNet = 40825 mm
Unit conversion: raw USD to $mm
Sign: copied using model sign convention
Confidence: high
Value written: 40825</t>
        </r>
      </text>
    </comment>
    <comment ref="R122" authorId="0">
      <text>
        <r>
          <rPr>
            <b/>
          </rPr>
          <t xml:space="preserve">EDGAR Mapper:
</t>
        </r>
        <r>
          <t xml:space="preserve">EDGAR mapping:
Source: 10-Q, accession #0001018724-25-000123, filed 2025-10-31
Period: 3Q25 / period ended 2025-09-30
Model row: Model!122 Inventory
Mapping type: direct
Concepts used: InventoryNet = 41494 mm
Unit conversion: raw USD to $mm
Sign: copied using model sign convention
Confidence: high
Value written: 41494</t>
        </r>
      </text>
    </comment>
    <comment ref="S122" authorId="0">
      <text>
        <r>
          <rPr>
            <b/>
          </rPr>
          <t xml:space="preserve">EDGAR Mapper:
</t>
        </r>
        <r>
          <t xml:space="preserve">EDGAR mapping:
Source: 10-K, accession #0001018724-26-000004, filed 2026-02-06
Period: 4Q25 / period ended 2025-12-31
Model row: Model!122 Inventory
Mapping type: direct
Concepts used: InventoryNet = 38325 mm
Unit conversion: raw USD to $mm
Sign: copied using model sign convention
Confidence: high
Value written: 38325</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EDGAR line items: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#0001018724-23-000008, filed 2023-04-28
Period: 1Q23 / period ended 2023-03-31
Model row: Model!123 Prepaid &amp; Other Current Assets
Mapping type: grouped
Concepts used: AssetsCurrent = 136221 mm; CashAndCashEquivalentsAtCarryingValue = 49343 mm; AccountsReceivableNetCurrent = 37646 mm; InventoryNet = 34170 mm
Unit conversion: raw USD to $mm
Sign: copied using model sign convention
Confidence: high
Value written: 15062
Notes: Grouped from EDGAR: Assets, Current, Cash and Cash Equivalents, at Carrying Value, Accounts Receivable, after Allowance for Credit Loss, Current, Inventory, Net. Included current assets less separately modeled cash, receivables, and inventory.</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#0001018724-23-000012, filed 2023-08-04
Period: 2Q23 / period ended 2023-06-30
Model row: Model!123 Prepaid &amp; Other Current Assets
Mapping type: grouped
Concepts used: AssetsCurrent = 140482 mm; CashAndCashEquivalentsAtCarryingValue = 49529 mm; AccountsReceivableNetCurrent = 39925 mm; InventoryNet = 36587 mm
Unit conversion: raw USD to $mm
Sign: copied using model sign convention
Confidence: high
Value written: 14441
Notes: Grouped from EDGAR: Assets, Current, Cash and Cash Equivalents, at Carrying Value, Accounts Receivable, after Allowance for Credit Loss, Current, Inventory, Net. Included current assets less separately modeled cash, receivables, and inventory.</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#0001018724-23-000018, filed 2023-10-27
Period: 3Q23 / period ended 2023-09-30
Model row: Model!123 Prepaid &amp; Other Current Assets
Mapping type: grouped
Concepts used: AssetsCurrent = 142995 mm; CashAndCashEquivalentsAtCarryingValue = 49605 mm; AccountsReceivableNetCurrent = 43420 mm; InventoryNet = 35406 mm
Unit conversion: raw USD to $mm
Sign: copied using model sign convention
Confidence: high
Value written: 14564
Notes: Grouped from EDGAR: Assets, Current, Cash and Cash Equivalents, at Carrying Value, Accounts Receivable, after Allowance for Credit Loss, Current, Inventory, Net. Included current assets less separately modeled cash, receivables, and inventory.</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#0001018724-25-000004, filed 2025-02-07
Period: 4Q23 / period ended 2023-12-31
Model row: Model!123 Prepaid &amp; Other Current Assets
Mapping type: grouped
Concepts used: AssetsCurrent = 172351 mm; CashAndCashEquivalentsAtCarryingValue = 73387 mm; AccountsReceivableNetCurrent = 52253 mm; InventoryNet = 33318 mm
Unit conversion: raw USD to $mm
Sign: copied using model sign convention
Confidence: high
Value written: 13393
Notes: Grouped from EDGAR: Assets, Current, Cash and Cash Equivalents, at Carrying Value, Accounts Receivable, after Allowance for Credit Loss, Current, Inventory, Net. Included current assets less separately modeled cash, receivables, and inventory.</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#0001018724-24-000083, filed 2024-05-01
Period: 1Q24 / period ended 2024-03-31
Model row: Model!123 Prepaid &amp; Other Current Assets
Mapping type: grouped
Concepts used: AssetsCurrent = 163989 mm; CashAndCashEquivalentsAtCarryingValue = 72852 mm; AccountsReceivableNetCurrent = 47768 mm; InventoryNet = 31147 mm
Unit conversion: raw USD to $mm
Sign: copied using model sign convention
Confidence: high
Value written: 12222
Notes: Grouped from EDGAR: Assets, Current, Cash and Cash Equivalents, at Carrying Value, Accounts Receivable, after Allowance for Credit Loss, Current, Inventory, Net. Included current assets less separately modeled cash, receivables, and inventory.</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#0001018724-24-000130, filed 2024-08-02
Period: 2Q24 / period ended 2024-06-30
Model row: Model!123 Prepaid &amp; Other Current Assets
Mapping type: grouped
Concepts used: AssetsCurrent = 173307 mm; CashAndCashEquivalentsAtCarryingValue = 71178 mm; AccountsReceivableNetCurrent = 50106 mm; InventoryNet = 34109 mm
Unit conversion: raw USD to $mm
Sign: copied using model sign convention
Confidence: high
Value written: 17914
Notes: Grouped from EDGAR: Assets, Current, Cash and Cash Equivalents, at Carrying Value, Accounts Receivable, after Allowance for Credit Loss, Current, Inventory, Net. Included current assets less separately modeled cash, receivables, and inventory.</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#0001018724-24-000161, filed 2024-11-01
Period: 3Q24 / period ended 2024-09-30
Model row: Model!123 Prepaid &amp; Other Current Assets
Mapping type: grouped
Concepts used: AssetsCurrent = 175792 mm; CashAndCashEquivalentsAtCarryingValue = 75091 mm; AccountsReceivableNetCurrent = 51638 mm; InventoryNet = 36103 mm
Unit conversion: raw USD to $mm
Sign: copied using model sign convention
Confidence: high
Value written: 12960
Notes: Grouped from EDGAR: Assets, Current, Cash and Cash Equivalents, at Carrying Value, Accounts Receivable, after Allowance for Credit Loss, Current, Inventory, Net. Included current assets less separately modeled cash, receivables, and inventory.</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#0001018724-26-000004, filed 2026-02-06
Period: 4Q24 / period ended 2024-12-31
Model row: Model!123 Prepaid &amp; Other Current Assets
Mapping type: grouped
Concepts used: AssetsCurrent = 190867 mm; CashAndCashEquivalentsAtCarryingValue = 78779 mm; AccountsReceivableNetCurrent = 55451 mm; InventoryNet = 34214 mm
Unit conversion: raw USD to $mm
Sign: copied using model sign convention
Confidence: high
Value written: 22423
Notes: Grouped from EDGAR: Assets, Current, Cash and Cash Equivalents, at Carrying Value, Accounts Receivable, after Allowance for Credit Loss, Current, Inventory, Net. Included current assets less separately modeled cash, receivables, and inventory.</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#0001018724-25-000036, filed 2025-05-02
Period: 1Q25 / period ended 2025-03-31
Model row: Model!123 Prepaid &amp; Other Current Assets
Mapping type: grouped
Concepts used: AssetsCurrent = 184645 mm; CashAndCashEquivalentsAtCarryingValue = 66207 mm; AccountsReceivableNetCurrent = 54216 mm; InventoryNet = 35864 mm
Unit conversion: raw USD to $mm
Sign: copied using model sign convention
Confidence: high
Value written: 28358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#0001018724-25-000086, filed 2025-08-01
Period: 2Q25 / period ended 2025-06-30
Model row: Model!123 Prepaid &amp; Other Current Assets
Mapping type: grouped
Concepts used: AssetsCurrent = 191420 mm; CashAndCashEquivalentsAtCarryingValue = 57741 mm; AccountsReceivableNetCurrent = 57415 mm; InventoryNet = 40825 mm
Unit conversion: raw USD to $mm
Sign: copied using model sign convention
Confidence: high
Value written: 35439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#0001018724-25-000123, filed 2025-10-31
Period: 3Q25 / period ended 2025-09-30
Model row: Model!123 Prepaid &amp; Other Current Assets
Mapping type: grouped
Concepts used: AssetsCurrent = 196866 mm; CashAndCashEquivalentsAtCarryingValue = 66922 mm; AccountsReceivableNetCurrent = 61175 mm; InventoryNet = 41494 mm
Unit conversion: raw USD to $mm
Sign: copied using model sign convention
Confidence: high
Value written: 27275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#0001018724-26-000014, filed 2026-04-30
Period: 4Q25 / period ended 2025-12-31
Model row: Model!123 Prepaid &amp; Other Current Assets
Mapping type: grouped
Concepts used: AssetsCurrent = 229083 mm; CashAndCashEquivalentsAtCarryingValue = 86810 mm; AccountsReceivableNetCurrent = 67729 mm; InventoryNet = 38325 mm
Unit conversion: raw USD to $mm
Sign: copied using model sign convention
Confidence: high
Value written: 36219
Notes: Grouped from EDGAR: Assets, Current, Cash and Cash Equivalents At Carrying Value, Accounts Receivable net Current, Inventory net. Included current assets less separately modeled cash, receivables, and inventory.</t>
        </r>
      </text>
    </comment>
    <comment ref="C125" authorId="0">
      <text>
        <r>
          <rPr>
            <b/>
            <color rgb="FF000000"/>
            <family val="2"/>
            <sz val="11"/>
            <rFont val="Calibri"/>
          </rPr>
          <t xml:space="preserve">EDGAR Mapper:
</t>
        </r>
        <r>
          <rPr>
            <color rgb="FF000000"/>
            <family val="2"/>
            <sz val="11"/>
            <rFont val="Calibri"/>
          </rP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
EDGAR Mapper:
Unused / no confident match: no reliable EDGAR line item or logical grouping was identified for this model row.</t>
        </r>
      </text>
    </comment>
    <comment ref="G126"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family val="2"/>
            <sz val="11"/>
            <rFont val="Calibri"/>
          </rPr>
          <t xml:space="preserve">EDGAR Mapper:
</t>
        </r>
        <r>
          <rPr>
            <color theme="1"/>
            <family val="2"/>
            <scheme val="minor"/>
            <sz val="11"/>
            <rFont val="Calibri"/>
          </rP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family val="2"/>
            <sz val="11"/>
            <rFont val="Calibri"/>
          </rPr>
          <t xml:space="preserve">EDGAR Mapper:
</t>
        </r>
        <r>
          <rPr>
            <color theme="1"/>
            <family val="2"/>
            <scheme val="minor"/>
            <sz val="11"/>
            <rFont val="Calibri"/>
          </rP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family val="2"/>
            <sz val="11"/>
            <rFont val="Calibri"/>
          </rPr>
          <t xml:space="preserve">EDGAR Mapper:
</t>
        </r>
        <r>
          <rPr>
            <color theme="1"/>
            <family val="2"/>
            <scheme val="minor"/>
            <sz val="11"/>
            <rFont val="Calibri"/>
          </rP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family val="2"/>
            <sz val="11"/>
            <rFont val="Calibri"/>
          </rPr>
          <t xml:space="preserve">EDGAR Mapper:
</t>
        </r>
        <r>
          <rPr>
            <color theme="1"/>
            <family val="2"/>
            <scheme val="minor"/>
            <sz val="11"/>
            <rFont val="Calibri"/>
          </rP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family val="2"/>
            <sz val="11"/>
            <rFont val="Calibri"/>
          </rPr>
          <t xml:space="preserve">EDGAR Mapper:
</t>
        </r>
        <r>
          <rPr>
            <color theme="1"/>
            <family val="2"/>
            <scheme val="minor"/>
            <sz val="11"/>
            <rFont val="Calibri"/>
          </rP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family val="2"/>
            <sz val="11"/>
            <rFont val="Calibri"/>
          </rPr>
          <t xml:space="preserve">EDGAR Mapper:
</t>
        </r>
        <r>
          <rPr>
            <color theme="1"/>
            <family val="2"/>
            <scheme val="minor"/>
            <sz val="11"/>
            <rFont val="Calibri"/>
          </rP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family val="2"/>
            <sz val="11"/>
            <rFont val="Calibri"/>
          </rPr>
          <t xml:space="preserve">EDGAR Mapper:
</t>
        </r>
        <r>
          <rPr>
            <color theme="1"/>
            <family val="2"/>
            <scheme val="minor"/>
            <sz val="11"/>
            <rFont val="Calibri"/>
          </rP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
EDGAR Mapper:
Grouped from EDGAR: Finite-Lived Intangible Assets, Net. Needs review: one or more historical periods were left unchanged because no matching EDGAR fact was found.</t>
        </r>
      </text>
    </comment>
    <comment ref="F127" authorId="0">
      <text>
        <r>
          <rPr>
            <b/>
            <family val="2"/>
            <sz val="11"/>
            <rFont val="Calibri"/>
          </rPr>
          <t xml:space="preserve">EDGAR Mapper:
</t>
        </r>
        <r>
          <rPr>
            <color theme="1"/>
            <family val="2"/>
            <scheme val="minor"/>
            <sz val="11"/>
            <rFont val="Calibri"/>
          </rP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family val="2"/>
            <sz val="11"/>
            <rFont val="Calibri"/>
          </rPr>
          <t xml:space="preserve">EDGAR Mapper:
</t>
        </r>
        <r>
          <rPr>
            <color theme="1"/>
            <family val="2"/>
            <scheme val="minor"/>
            <sz val="11"/>
            <rFont val="Calibri"/>
          </rP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family val="2"/>
            <sz val="11"/>
            <rFont val="Calibri"/>
          </rPr>
          <t xml:space="preserve">EDGAR Mapper:
</t>
        </r>
        <r>
          <rPr>
            <color theme="1"/>
            <family val="2"/>
            <scheme val="minor"/>
            <sz val="11"/>
            <rFont val="Calibri"/>
          </rP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10-K, accession #0001018724-25-000004, filed 2025-02-07
Period: 4Q23 / period ended 2023-12-31
Model row: Model!127 Intangible Assets, Net
Mapping type: grouped
Concepts used: FiniteLivedIntangibleAssetsNet = 6540 mm
Unit conversion: raw USD to $mm
Sign: copied using model sign convention
Confidence: high
Value written: 6540
Notes: Grouped from EDGAR: Finite-Lived Intangible Assets, Net.</t>
        </r>
      </text>
    </comment>
    <comment ref="K127" authorId="0">
      <text>
        <r>
          <rPr>
            <b/>
            <family val="2"/>
            <sz val="11"/>
            <rFont val="Calibri"/>
          </rPr>
          <t xml:space="preserve">EDGAR Mapper:
</t>
        </r>
        <r>
          <rPr>
            <color theme="1"/>
            <family val="2"/>
            <scheme val="minor"/>
            <sz val="11"/>
            <rFont val="Calibri"/>
          </rP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family val="2"/>
            <sz val="11"/>
            <rFont val="Calibri"/>
          </rPr>
          <t xml:space="preserve">EDGAR Mapper:
</t>
        </r>
        <r>
          <rPr>
            <color theme="1"/>
            <family val="2"/>
            <scheme val="minor"/>
            <sz val="11"/>
            <rFont val="Calibri"/>
          </rP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family val="2"/>
            <sz val="11"/>
            <rFont val="Calibri"/>
          </rPr>
          <t xml:space="preserve">EDGAR Mapper:
</t>
        </r>
        <r>
          <rPr>
            <color theme="1"/>
            <family val="2"/>
            <scheme val="minor"/>
            <sz val="11"/>
            <rFont val="Calibri"/>
          </rP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10-K, accession #0001018724-26-000004, filed 2026-02-06
Period: 4Q24 / period ended 2024-12-31
Model row: Model!127 Intangible Assets, Net
Mapping type: grouped
Concepts used: FiniteLivedIntangibleAssetsNet = 7439 mm
Unit conversion: raw USD to $mm
Sign: copied using model sign convention
Confidence: high
Value written: 7439
Notes: Grouped from EDGAR: Finite-Lived Intangible Assets, Net.</t>
        </r>
      </text>
    </comment>
    <comment ref="P127" authorId="0">
      <text>
        <r>
          <rPr>
            <b/>
            <family val="2"/>
            <sz val="11"/>
            <rFont val="Calibri"/>
          </rPr>
          <t xml:space="preserve">EDGAR Mapper:
</t>
        </r>
        <r>
          <rPr>
            <color theme="1"/>
            <family val="2"/>
            <scheme val="minor"/>
            <sz val="11"/>
            <rFont val="Calibri"/>
          </rP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family val="2"/>
            <sz val="11"/>
            <rFont val="Calibri"/>
          </rPr>
          <t xml:space="preserve">EDGAR Mapper:
</t>
        </r>
        <r>
          <rPr>
            <color theme="1"/>
            <family val="2"/>
            <scheme val="minor"/>
            <sz val="11"/>
            <rFont val="Calibri"/>
          </rP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family val="2"/>
            <sz val="11"/>
            <rFont val="Calibri"/>
          </rPr>
          <t xml:space="preserve">EDGAR Mapper:
</t>
        </r>
        <r>
          <rPr>
            <color theme="1"/>
            <family val="2"/>
            <scheme val="minor"/>
            <sz val="11"/>
            <rFont val="Calibri"/>
          </rP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10-K, accession #0001018724-26-000004, filed 2026-02-06
Period: 4Q25 / period ended 2025-12-31
Model row: Model!127 Intangible Assets, Net
Mapping type: grouped
Concepts used: FiniteLivedIntangibleAssetsNet = 8034 mm
Unit conversion: raw USD to $mm
Sign: copied using model sign convention
Confidence: high
Value written: 8034
Notes: Grouped from EDGAR: Finite-Lived Intangible Assets, Net.</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
EDGAR Mapper:
EDGAR mapping:
Source: 10-Q, accession #0001018724-23-000008, filed 2023-04-28
Period: 1Q23 / period ended 2023-03-31
Model row: Model!128 Goodwill
Mapping type: direct
Concepts used: Goodwill = 22749 mm
Unit conversion: raw USD to $mm
Sign: copied using model sign convention
Confidence: high
Value written: 22749</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
EDGAR Mapper:
EDGAR mapping:
Source: 10-Q, accession #0001018724-23-000012, filed 2023-08-04
Period: 2Q23 / period ended 2023-06-30
Model row: Model!128 Goodwill
Mapping type: direct
Concepts used: Goodwill = 22785 mm
Unit conversion: raw USD to $mm
Sign: copied using model sign convention
Confidence: high
Value written: 22785</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
EDGAR Mapper:
EDGAR mapping:
Source: 10-Q, accession #0001018724-23-000018, filed 2023-10-27
Period: 3Q23 / period ended 2023-09-30
Model row: Model!128 Goodwill
Mapping type: direct
Concepts used: Goodwill = 22749 mm
Unit conversion: raw USD to $mm
Sign: copied using model sign convention
Confidence: high
Value written: 22749</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
EDGAR Mapper:
EDGAR mapping:
Source: 10-K, accession #0001018724-26-000004, filed 2026-02-06
Period: 4Q23 / period ended 2023-12-31
Model row: Model!128 Goodwill
Mapping type: direct
Concepts used: Goodwill = 22789 mm
Unit conversion: raw USD to $mm
Sign: copied using model sign convention
Confidence: high
Value written: 22789</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
EDGAR Mapper:
EDGAR mapping:
Source: 10-Q, accession #0001018724-24-000083, filed 2024-05-01
Period: 1Q24 / period ended 2024-03-31
Model row: Model!128 Goodwill
Mapping type: direct
Concepts used: Goodwill = 22770 mm
Unit conversion: raw USD to $mm
Sign: copied using model sign convention
Confidence: high
Value written: 22770</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
EDGAR Mapper:
EDGAR mapping:
Source: 10-Q, accession #0001018724-24-000130, filed 2024-08-02
Period: 2Q24 / period ended 2024-06-30
Model row: Model!128 Goodwill
Mapping type: direct
Concepts used: Goodwill = 22879 mm
Unit conversion: raw USD to $mm
Sign: copied using model sign convention
Confidence: high
Value written: 22879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
EDGAR Mapper:
EDGAR mapping:
Source: 10-Q, accession #0001018724-24-000161, filed 2024-11-01
Period: 3Q24 / period ended 2024-09-30
Model row: Model!128 Goodwill
Mapping type: direct
Concepts used: Goodwill = 23081 mm
Unit conversion: raw USD to $mm
Sign: copied using model sign convention
Confidence: high
Value written: 23081</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
EDGAR Mapper:
EDGAR mapping:
Source: 10-K, accession #0001018724-26-000004, filed 2026-02-06
Period: 4Q24 / period ended 2024-12-31
Model row: Model!128 Goodwill
Mapping type: direct
Concepts used: Goodwill = 23074 mm
Unit conversion: raw USD to $mm
Sign: copied using model sign convention
Confidence: high
Value written: 23074</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
EDGAR Mapper:
EDGAR mapping:
Source: 10-Q, accession #0001018724-25-000036, filed 2025-05-02
Period: 1Q25 / period ended 2025-03-31
Model row: Model!128 Goodwill
Mapping type: direct
Concepts used: Goodwill = 23089 mm
Unit conversion: raw USD to $mm
Sign: copied using model sign convention
Confidence: high
Value written: 23089</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
EDGAR Mapper:
EDGAR mapping:
Source: 10-Q, accession #0001018724-25-000086, filed 2025-08-01
Period: 2Q25 / period ended 2025-06-30
Model row: Model!128 Goodwill
Mapping type: direct
Concepts used: Goodwill = 23155 mm
Unit conversion: raw USD to $mm
Sign: copied using model sign convention
Confidence: high
Value written: 23155</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
EDGAR Mapper:
EDGAR mapping:
Source: 10-Q, accession #0001018724-25-000123, filed 2025-10-31
Period: 3Q25 / period ended 2025-09-30
Model row: Model!128 Goodwill
Mapping type: direct
Concepts used: Goodwill = 23260 mm
Unit conversion: raw USD to $mm
Sign: copied using model sign convention
Confidence: high
Value written: 23260</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
EDGAR Mapper:
EDGAR mapping:
Source: 10-K, accession #0001018724-26-000004, filed 2026-02-06
Period: 4Q25 / period ended 2025-12-31
Model row: Model!128 Goodwill
Mapping type: direct
Concepts used: Goodwill = 23273 mm
Unit conversion: raw USD to $mm
Sign: copied using model sign convention
Confidence: high
Value written: 23273</t>
        </r>
      </text>
    </comment>
    <comment ref="C129" authorId="0">
      <text>
        <r>
          <rPr>
            <b/>
          </rPr>
          <t xml:space="preserve">EDGAR Mapper:
</t>
        </r>
        <r>
          <t xml:space="preserve">Historicals Solver: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CashAndCashEquivalentsAtCarryingValue, ReceivablesFromBrokersDealersAndClearingOrganizations, ReceivablesFromCustomers, FeesInterestAndOther, InventoryNet, CashAndSecuritiesSegregatedUnderSecuritiesExchangeCommissionRegulation, FinancialInstrumentsOwnedAtFairValue, InvestmentsInAffiliatesSubsidiariesAssociatesAndJointVentures, SecuritiesBorrowed, SecuritiesPurchasedUnderAgreementsToResell, SecuritiesReceivedAsCollateral, PropertyPlantAndEquipmentAndOperatingLeaseRightofUseAssetAfterAccumulatedDepreciationAndAmortization, IntangibleAssetsNet,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Grouped from EDGAR: Other Assets, Noncurrent. Included other assets and assets of disposal groups / discontinued operations reported in the SEC filing.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#0001018724-23-000008, filed 2023-04-28
Period: 1Q23 / period ended 2023-03-31
Model row: Model!129 Other Non-Current Assets
Mapping type: direct
Concepts used: OtherAssetsNoncurrent = 46392 mm
Unit conversion: raw USD to $mm
Sign: copied using model sign convention
Confidence: high
Value written: 46392
Notes: Grouped from EDGAR: Other Assets, Noncurrent. Included other assets and assets of disposal groups / discontinued operations reported in the SEC filing.</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#0001018724-23-000012, filed 2023-08-04
Period: 2Q23 / period ended 2023-06-30
Model row: Model!129 Other Non-Current Assets
Mapping type: direct
Concepts used: OtherAssetsNoncurrent = 50224 mm
Unit conversion: raw USD to $mm
Sign: copied using model sign convention
Confidence: high
Value written: 50224
Notes: Grouped from EDGAR: Other Assets, Noncurrent. Included other assets and assets of disposal groups / discontinued operations reported in the SEC filing.</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#0001018724-23-000018, filed 2023-10-27
Period: 3Q23 / period ended 2023-09-30
Model row: Model!129 Other Non-Current Assets
Mapping type: direct
Concepts used: OtherAssetsNoncurrent = 53913 mm
Unit conversion: raw USD to $mm
Sign: copied using model sign convention
Confidence: high
Value written: 53913
Notes: Grouped from EDGAR: Other Assets, Noncurrent. Included other assets and assets of disposal groups / discontinued operations reported in the SEC filing.</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#0001018724-26-000004, filed 2026-02-06
Period: 4Q23 / period ended 2023-12-31
Model row: Model!129 Other Non-Current Assets
Mapping type: grouped
Concepts used: Assets = 527854 mm; CashAndCashEquivalentsAtCarryingValue = 73387 mm; AccountsReceivableNetCurrent = 52253 mm; InventoryNet = 33318 mm; AssetsCurrent = 172351 mm; CashAndCashEquivalentsAtCarryingValue = 73387 mm; AccountsReceivableNetCurrent = 52253 mm; InventoryNet = 33318 mm; PropertyPlantAndEquipmentAndFinanceLeaseRightOfUseAssetAfterAccumulatedDepreciationAndAmortization = 204177 mm; FiniteLivedIntangibleAssetsNet = 6540 mm; Goodwill = 22789 mm
Unit conversion: raw USD to $mm
Sign: copied using model sign convention
Confidence: high
Value written: 121997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#0001018724-24-000083, filed 2024-05-01
Period: 1Q24 / period ended 2024-03-31
Model row: Model!129 Other Non-Current Assets
Mapping type: direct
Concepts used: OtherAssetsNoncurrent = 60947 mm
Unit conversion: raw USD to $mm
Sign: copied using model sign convention
Confidence: high
Value written: 60947
Notes: Grouped from EDGAR: Other Assets, Noncurrent. Included other assets and assets of disposal groups / discontinued operations reported in the SEC filing.</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#0001018724-24-000130, filed 2024-08-02
Period: 2Q24 / period ended 2024-06-30
Model row: Model!129 Other Non-Current Assets
Mapping type: direct
Concepts used: OtherAssetsNoncurrent = 63340 mm
Unit conversion: raw USD to $mm
Sign: copied using model sign convention
Confidence: high
Value written: 63340
Notes: Grouped from EDGAR: Other Assets, Noncurrent. Included other assets and assets of disposal groups / discontinued operations reported in the SEC filing.</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#0001018724-24-000161, filed 2024-11-01
Period: 3Q24 / period ended 2024-09-30
Model row: Model!129 Other Non-Current Assets
Mapping type: direct
Concepts used: OtherAssetsNoncurrent = 71309 mm
Unit conversion: raw USD to $mm
Sign: copied using model sign convention
Confidence: high
Value written: 71309
Notes: Grouped from EDGAR: Other Assets, Noncurrent. Included other assets and assets of disposal groups / discontinued operations reported in the SEC filing.</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#0001018724-26-000004, filed 2026-02-06
Period: 4Q24 / period ended 2024-12-31
Model row: Model!129 Other Non-Current Assets
Mapping type: grouped
Concepts used: Assets = 624894 mm; CashAndCashEquivalentsAtCarryingValue = 78779 mm; AccountsReceivableNetCurrent = 55451 mm; InventoryNet = 34214 mm; AssetsCurrent = 190867 mm; CashAndCashEquivalentsAtCarryingValue = 78779 mm; AccountsReceivableNetCurrent = 55451 mm; InventoryNet = 34214 mm; PropertyPlantAndEquipmentAndFinanceLeaseRightOfUseAssetAfterAccumulatedDepreciationAndAmortization = 252665 mm; FiniteLivedIntangibleAssetsNet = 7439 mm; Goodwill = 23074 mm
Unit conversion: raw USD to $mm
Sign: copied using model sign convention
Confidence: high
Value written: 150849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#0001018724-25-000036, filed 2025-05-02
Period: 1Q25 / period ended 2025-03-31
Model row: Model!129 Other Non-Current Assets
Mapping type: direct
Concepts used: OtherAssetsNoncurrent = 84246 mm
Unit conversion: raw USD to $mm
Sign: copied using model sign convention
Confidence: high
Value written: 84246
Notes: Grouped from EDGAR: Other Assets, Noncurrent. Included other assets and assets of disposal groups / discontinued operations reported in the SEC filing.</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#0001018724-25-000086, filed 2025-08-01
Period: 2Q25 / period ended 2025-06-30
Model row: Model!129 Other Non-Current Assets
Mapping type: direct
Concepts used: OtherAssetsNoncurrent = 87854 mm
Unit conversion: raw USD to $mm
Sign: copied using model sign convention
Confidence: high
Value written: 87854
Notes: Grouped from EDGAR: Other Assets, Noncurrent. Included other assets and assets of disposal groups / discontinued operations reported in the SEC filing.</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#0001018724-25-000123, filed 2025-10-31
Period: 3Q25 / period ended 2025-09-30
Model row: Model!129 Other Non-Current Assets
Mapping type: direct
Concepts used: OtherAssetsNoncurrent = 99904 mm
Unit conversion: raw USD to $mm
Sign: copied using model sign convention
Confidence: high
Value written: 99904
Notes: Grouped from EDGAR: Other Assets, Noncurrent. Included other assets and assets of disposal groups / discontinued operations reported in the SEC filing.</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#0001018724-26-000004, filed 2026-02-06
Period: 4Q25 / period ended 2025-12-31
Model row: Model!129 Other Non-Current Assets
Mapping type: grouped
Concepts used: Assets = 818042 mm; CashAndCashEquivalentsAtCarryingValue = 86810 mm; AccountsReceivableNetCurrent = 67729 mm; InventoryNet = 38325 mm; AssetsCurrent = 229083 mm; CashAndCashEquivalentsAtCarryingValue = 86810 mm; AccountsReceivableNetCurrent = 67729 mm; InventoryNet = 38325 mm; PropertyPlantAndEquipmentAndFinanceLeaseRightOfUseAssetAfterAccumulatedDepreciationAndAmortization = 357025 mm; FiniteLivedIntangibleAssetsNet = 8034 mm; Goodwill = 23273 mm
Unit conversion: raw USD to $mm
Sign: copied using model sign convention
Confidence: high
Value written: 200627
Notes: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
EDGAR Mapper:
EDGAR mapping:
Source: 10-Q, accession #0001018724-23-000008, filed 2023-04-28
Period: 1Q23 / period ended 2023-03-31
Model row: Model!134 Short Term Borrowings
Mapping type: direct
Concepts used: ShortTermBorrowings = 1100 mm
Unit conversion: raw USD to $mm
Sign: copied using model sign convention
Confidence: high
Value written: 1100</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
EDGAR Mapper:
EDGAR mapping:
Source: 10-Q, accession #0001018724-23-000012, filed 2023-08-04
Period: 2Q23 / period ended 2023-06-30
Model row: Model!134 Short Term Borrowings
Mapping type: direct
Concepts used: ShortTermBorrowings = 1100 mm
Unit conversion: raw USD to $mm
Sign: copied using model sign convention
Confidence: high
Value written: 1100</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
EDGAR Mapper:
EDGAR mapping:
Source: 10-Q, accession #0001018724-23-000018, filed 2023-10-27
Period: 3Q23 / period ended 2023-09-30
Model row: Model!134 Short Term Borrowings
Mapping type: direct
Concepts used: ShortTermBorrowings = 166 mm
Unit conversion: raw USD to $mm
Sign: copied using model sign convention
Confidence: high
Value written: 166</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
EDGAR Mapper:
EDGAR mapping:
Source: 10-K, accession #0001018724-25-000004, filed 2025-02-07
Period: 4Q23 / period ended 2023-12-31
Model row: Model!134 Short Term Borrowings
Mapping type: direct
Concepts used: ShortTermBorrowings = 147 mm
Unit conversion: raw USD to $mm
Sign: copied using model sign convention
Confidence: high
Value written: 147</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
EDGAR Mapper:
EDGAR mapping:
Source: 10-Q, accession #0001018724-24-000083, filed 2024-05-01
Period: 1Q24 / period ended 2024-03-31
Model row: Model!134 Short Term Borrowings
Mapping type: direct
Concepts used: ShortTermBorrowings = 50 mm
Unit conversion: raw USD to $mm
Sign: copied using model sign convention
Confidence: high
Value written: 50</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
EDGAR Mapper:
EDGAR mapping:
Source: 10-Q, accession #0001018724-24-000130, filed 2024-08-02
Period: 2Q24 / period ended 2024-06-30
Model row: Model!134 Short Term Borrowings
Mapping type: direct
Concepts used: ShortTermBorrowings = 76 mm
Unit conversion: raw USD to $mm
Sign: copied using model sign convention
Confidence: high
Value written: 76</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
EDGAR Mapper:
EDGAR mapping:
Source: 10-Q, accession #0001018724-24-000161, filed 2024-11-01
Period: 3Q24 / period ended 2024-09-30
Model row: Model!134 Short Term Borrowings
Mapping type: direct
Concepts used: ShortTermBorrowings = 88 mm
Unit conversion: raw USD to $mm
Sign: copied using model sign convention
Confidence: high
Value written: 88</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
EDGAR Mapper:
EDGAR mapping:
Source: 10-K, accession #0001018724-26-000004, filed 2026-02-06
Period: 4Q24 / period ended 2024-12-31
Model row: Model!134 Short Term Borrowings
Mapping type: direct
Concepts used: ShortTermBorrowings = 151 mm
Unit conversion: raw USD to $mm
Sign: copied using model sign convention
Confidence: high
Value written: 151</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
EDGAR Mapper:
EDGAR mapping:
Source: 10-Q, accession #0001018724-25-000036, filed 2025-05-02
Period: 1Q25 / period ended 2025-03-31
Model row: Model!134 Short Term Borrowings
Mapping type: direct
Concepts used: ShortTermBorrowings = 76 mm
Unit conversion: raw USD to $mm
Sign: copied using model sign convention
Confidence: high
Value written: 76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
EDGAR Mapper:
EDGAR mapping:
Source: 10-Q, accession #0001018724-25-000086, filed 2025-08-01
Period: 2Q25 / period ended 2025-06-30
Model row: Model!134 Short Term Borrowings
Mapping type: direct
Concepts used: ShortTermBorrowings = 173 mm
Unit conversion: raw USD to $mm
Sign: copied using model sign convention
Confidence: high
Value written: 173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
EDGAR Mapper:
EDGAR mapping:
Source: 10-Q, accession #0001018724-25-000123, filed 2025-10-31
Period: 3Q25 / period ended 2025-09-30
Model row: Model!134 Short Term Borrowings
Mapping type: direct
Concepts used: ShortTermBorrowings = 220 mm
Unit conversion: raw USD to $mm
Sign: copied using model sign convention
Confidence: high
Value written: 220</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
EDGAR Mapper:
EDGAR mapping:
Source: 10-K, accession #0001018724-26-000004, filed 2026-02-06
Period: 4Q25 / period ended 2025-12-31
Model row: Model!134 Short Term Borrowings
Mapping type: direct
Concepts used: ShortTermBorrowings = 455 mm
Unit conversion: raw USD to $mm
Sign: copied using model sign convention
Confidence: high
Value written: 455</t>
        </r>
      </text>
    </comment>
    <comment ref="C135" authorId="0">
      <text>
        <r>
          <rPr>
            <b/>
          </rPr>
          <t xml:space="preserve">EDGAR Mapper:
</t>
        </r>
        <r>
          <t xml:space="preserve">Historicals Solver: Included broker-dealer and customer payables from the SEC filing. Included EDGAR line items: Broker-Dealer, Payable to Other Broker-Dealer and Clearing Organization, Broker-Dealer, Payable to Customer. Included broker-dealer and customer payables from the SEC filing. Included EDGAR line items: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
EDGAR Mapper:
Grouped from EDGAR: Accounts Payable, Current. Grouped from EDGAR: Accounts Payable Current.</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
EDGAR Mapper:
EDGAR mapping:
Source: 10-Q, accession #0001018724-23-000008, filed 2023-04-28
Period: 1Q23 / period ended 2023-03-31
Model row: Model!135 Accounts Payable
Mapping type: grouped
Concepts used: AccountsPayableCurrent = 66907 mm
Unit conversion: raw USD to $mm
Sign: copied using model sign convention
Confidence: high
Value written: 66907
Notes: Grouped from EDGAR: Accounts Payable, Current.</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
EDGAR Mapper:
EDGAR mapping:
Source: 10-Q, accession #0001018724-23-000012, filed 2023-08-04
Period: 2Q23 / period ended 2023-06-30
Model row: Model!135 Accounts Payable
Mapping type: grouped
Concepts used: AccountsPayableCurrent = 69481 mm
Unit conversion: raw USD to $mm
Sign: copied using model sign convention
Confidence: high
Value written: 69481
Notes: Grouped from EDGAR: Accounts Payable, Current.</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
EDGAR Mapper:
EDGAR mapping:
Source: 10-Q, accession #0001018724-23-000018, filed 2023-10-27
Period: 3Q23 / period ended 2023-09-30
Model row: Model!135 Accounts Payable
Mapping type: grouped
Concepts used: AccountsPayableCurrent = 72004 mm
Unit conversion: raw USD to $mm
Sign: copied using model sign convention
Confidence: high
Value written: 72004
Notes: Grouped from EDGAR: Accounts Payable, Current.</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
EDGAR Mapper:
EDGAR mapping:
Source: 10-K, accession #0001018724-25-000004, filed 2025-02-07
Period: 4Q23 / period ended 2023-12-31
Model row: Model!135 Accounts Payable
Mapping type: grouped
Concepts used: AccountsPayableCurrent = 84981 mm
Unit conversion: raw USD to $mm
Sign: copied using model sign convention
Confidence: high
Value written: 84981
Notes: Grouped from EDGAR: Accounts Payable, Current.</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
EDGAR Mapper:
EDGAR mapping:
Source: 10-Q, accession #0001018724-24-000083, filed 2024-05-01
Period: 1Q24 / period ended 2024-03-31
Model row: Model!135 Accounts Payable
Mapping type: grouped
Concepts used: AccountsPayableCurrent = 73068 mm
Unit conversion: raw USD to $mm
Sign: copied using model sign convention
Confidence: high
Value written: 73068
Notes: Grouped from EDGAR: Accounts Payable, Current.</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
EDGAR Mapper:
EDGAR mapping:
Source: 10-Q, accession #0001018724-24-000130, filed 2024-08-02
Period: 2Q24 / period ended 2024-06-30
Model row: Model!135 Accounts Payable
Mapping type: grouped
Concepts used: AccountsPayableCurrent = 81817 mm
Unit conversion: raw USD to $mm
Sign: copied using model sign convention
Confidence: high
Value written: 81817
Notes: Grouped from EDGAR: Accounts Payable, Current.</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
EDGAR Mapper:
EDGAR mapping:
Source: 10-Q, accession #0001018724-24-000161, filed 2024-11-01
Period: 3Q24 / period ended 2024-09-30
Model row: Model!135 Accounts Payable
Mapping type: grouped
Concepts used: AccountsPayableCurrent = 84570 mm
Unit conversion: raw USD to $mm
Sign: copied using model sign convention
Confidence: high
Value written: 84570
Notes: Grouped from EDGAR: Accounts Payable, Current.</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
EDGAR Mapper:
EDGAR mapping:
Source: 10-K, accession #0001018724-26-000004, filed 2026-02-06
Period: 4Q24 / period ended 2024-12-31
Model row: Model!135 Accounts Payable
Mapping type: grouped
Concepts used: AccountsPayableCurrent = 94363 mm
Unit conversion: raw USD to $mm
Sign: copied using model sign convention
Confidence: high
Value written: 94363
Notes: Grouped from EDGAR: Accounts Payable, Current.</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
EDGAR Mapper:
EDGAR mapping:
Source: 10-Q, accession #0001018724-25-000036, filed 2025-05-02
Period: 1Q25 / period ended 2025-03-31
Model row: Model!135 Accounts Payable
Mapping type: grouped
Concepts used: AccountsPayableCurrent = 89241 mm
Unit conversion: raw USD to $mm
Sign: copied using model sign convention
Confidence: high
Value written: 89241
Notes: Grouped from EDGAR: Accounts Payable, Current.</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
EDGAR Mapper:
EDGAR mapping:
Source: 10-Q, accession #0001018724-25-000086, filed 2025-08-01
Period: 2Q25 / period ended 2025-06-30
Model row: Model!135 Accounts Payable
Mapping type: grouped
Concepts used: AccountsPayableCurrent = 98285 mm
Unit conversion: raw USD to $mm
Sign: copied using model sign convention
Confidence: high
Value written: 98285
Notes: Grouped from EDGAR: Accounts Payable, Current.</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
EDGAR Mapper:
EDGAR mapping:
Source: 10-Q, accession #0001018724-25-000123, filed 2025-10-31
Period: 3Q25 / period ended 2025-09-30
Model row: Model!135 Accounts Payable
Mapping type: grouped
Concepts used: AccountsPayableCurrent = 106032 mm
Unit conversion: raw USD to $mm
Sign: copied using model sign convention
Confidence: high
Value written: 106032
Notes: Grouped from EDGAR: Accounts Payable, Current.</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
EDGAR Mapper:
EDGAR mapping:
Source: 10-K, accession #0001018724-26-000004, filed 2026-02-06
Period: 4Q25 / period ended 2025-12-31
Model row: Model!135 Accounts Payable
Mapping type: grouped
Concepts used: AccountsPayableCurrent = 121909 mm
Unit conversion: raw USD to $mm
Sign: copied using model sign convention
Confidence: high
Value written: 121909
Notes: Grouped from EDGAR: Accounts Payable Current.</t>
        </r>
      </text>
    </comment>
    <comment ref="C136" authorId="0">
      <text>
        <r>
          <rPr>
            <b/>
          </rPr>
          <t xml:space="preserve">EDGAR Mapper:
</t>
        </r>
        <r>
          <t>Needs review: one or more historical periods were left unchanged because no matching EDGAR fact was found.</t>
        </r>
      </text>
    </comment>
    <comment ref="F136" authorId="0">
      <text>
        <r>
          <rPr>
            <b/>
            <family val="2"/>
            <sz val="11"/>
            <rFont val="Calibri"/>
          </rPr>
          <t xml:space="preserve">EDGAR Mapper:
</t>
        </r>
        <r>
          <rPr>
            <color theme="1"/>
            <family val="2"/>
            <scheme val="minor"/>
            <sz val="11"/>
            <rFont val="Calibri"/>
          </rP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family val="2"/>
            <sz val="11"/>
            <rFont val="Calibri"/>
          </rPr>
          <t xml:space="preserve">EDGAR Mapper:
</t>
        </r>
        <r>
          <rPr>
            <color theme="1"/>
            <family val="2"/>
            <scheme val="minor"/>
            <sz val="11"/>
            <rFont val="Calibri"/>
          </rP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family val="2"/>
            <sz val="11"/>
            <rFont val="Calibri"/>
          </rPr>
          <t xml:space="preserve">EDGAR Mapper:
</t>
        </r>
        <r>
          <rPr>
            <color theme="1"/>
            <family val="2"/>
            <scheme val="minor"/>
            <sz val="11"/>
            <rFont val="Calibri"/>
          </rP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family val="2"/>
            <sz val="11"/>
            <rFont val="Calibri"/>
          </rPr>
          <t xml:space="preserve">EDGAR Mapper:
</t>
        </r>
        <r>
          <rPr>
            <color theme="1"/>
            <family val="2"/>
            <scheme val="minor"/>
            <sz val="11"/>
            <rFont val="Calibri"/>
          </rP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family val="2"/>
            <sz val="11"/>
            <rFont val="Calibri"/>
          </rPr>
          <t xml:space="preserve">EDGAR Mapper:
</t>
        </r>
        <r>
          <rPr>
            <color theme="1"/>
            <family val="2"/>
            <scheme val="minor"/>
            <sz val="11"/>
            <rFont val="Calibri"/>
          </rP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family val="2"/>
            <sz val="11"/>
            <rFont val="Calibri"/>
          </rPr>
          <t xml:space="preserve">EDGAR Mapper:
</t>
        </r>
        <r>
          <rPr>
            <color theme="1"/>
            <family val="2"/>
            <scheme val="minor"/>
            <sz val="11"/>
            <rFont val="Calibri"/>
          </rP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family val="2"/>
            <sz val="11"/>
            <rFont val="Calibri"/>
          </rPr>
          <t xml:space="preserve">EDGAR Mapper:
</t>
        </r>
        <r>
          <rPr>
            <color theme="1"/>
            <family val="2"/>
            <scheme val="minor"/>
            <sz val="11"/>
            <rFont val="Calibri"/>
          </rP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family val="2"/>
            <sz val="11"/>
            <rFont val="Calibri"/>
          </rPr>
          <t xml:space="preserve">EDGAR Mapper:
</t>
        </r>
        <r>
          <rPr>
            <color theme="1"/>
            <family val="2"/>
            <scheme val="minor"/>
            <sz val="11"/>
            <rFont val="Calibri"/>
          </rP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EDGAR line items: Liabilities, Other Short-term Borrowings, Broker-Dealer, Payable to Other Broker-Dealer and Clearing Organization, Broker-Dealer, Payable to Customer, Securities Loaned, Long-term Debt, DeferredTaxLiabilitiesNoncurrent, OtherLiabilitiesNoncurrent. Calculated from total liabilities less separately modeled borrowings, payables, securities loaned, debt, deferred taxes, and other non-current liabilities. Included EDGAR line items: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Grouped from EDGAR: Operating Lease, Liability, Contract with Customer, Liability, Current. Included broker-dealer current liability concepts reported in the SEC filing. Grouped from EDGAR: Operating Lease Liability, Contract With Customer Liability Current. Included broker-dealer current liability concepts reported in the SEC filing.</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#0001018724-23-000008, filed 2023-04-28
Period: 1Q23 / period ended 2023-03-31
Model row: Model!137 Other Current Liabilities
Mapping type: grouped
Concepts used: OperatingLeaseLiability = 71248 mm; ContractWithCustomerLiabilityCurrent = 14281 mm
Unit conversion: raw USD to $mm
Sign: copied using model sign convention
Confidence: high
Value written: 85529
Notes: Grouped from EDGAR: Operating Lease, Liability, Contract with Customer, Liability, Current. Included broker-dealer current liability concepts reported in the SEC filing.</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#0001018724-23-000012, filed 2023-08-04
Period: 2Q23 / period ended 2023-06-30
Model row: Model!137 Other Current Liabilities
Mapping type: grouped
Concepts used: OperatingLeaseLiability = 73370 mm; ContractWithCustomerLiabilityCurrent = 14522 mm
Unit conversion: raw USD to $mm
Sign: copied using model sign convention
Confidence: high
Value written: 87892
Notes: Grouped from EDGAR: Operating Lease, Liability, Contract with Customer, Liability, Current. Included broker-dealer current liability concepts reported in the SEC filing.</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#0001018724-23-000018, filed 2023-10-27
Period: 3Q23 / period ended 2023-09-30
Model row: Model!137 Other Current Liabilities
Mapping type: grouped
Concepts used: OperatingLeaseLiability = 73902 mm; ContractWithCustomerLiabilityCurrent = 14398 mm
Unit conversion: raw USD to $mm
Sign: copied using model sign convention
Confidence: high
Value written: 88300
Notes: Grouped from EDGAR: Operating Lease, Liability, Contract with Customer, Liability, Current. Included broker-dealer current liability concepts reported in the SEC filing.</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#0001018724-25-000004, filed 2025-02-07
Period: 4Q23 / period ended 2023-12-31
Model row: Model!137 Other Current Liabilities
Mapping type: grouped
Concepts used: OperatingLeaseLiability = 75639 mm; ContractWithCustomerLiabilityCurrent = 15227 mm
Unit conversion: raw USD to $mm
Sign: copied using model sign convention
Confidence: high
Value written: 90866
Notes: Grouped from EDGAR: Operating Lease, Liability, Contract with Customer, Liability, Current. Included broker-dealer current liability concepts reported in the SEC filing.</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#0001018724-24-000083, filed 2024-05-01
Period: 1Q24 / period ended 2024-03-31
Model row: Model!137 Other Current Liabilities
Mapping type: grouped
Concepts used: OperatingLeaseLiability = 76019 mm; ContractWithCustomerLiabilityCurrent = 15927 mm
Unit conversion: raw USD to $mm
Sign: copied using model sign convention
Confidence: high
Value written: 91946
Notes: Grouped from EDGAR: Operating Lease, Liability, Contract with Customer, Liability, Current. Included broker-dealer current liability concepts reported in the SEC filing.</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#0001018724-24-000130, filed 2024-08-02
Period: 2Q24 / period ended 2024-06-30
Model row: Model!137 Other Current Liabilities
Mapping type: grouped
Concepts used: OperatingLeaseLiability = 77432 mm; ContractWithCustomerLiabilityCurrent = 16004 mm
Unit conversion: raw USD to $mm
Sign: copied using model sign convention
Confidence: high
Value written: 93436
Notes: Grouped from EDGAR: Operating Lease, Liability, Contract with Customer, Liability, Current. Included broker-dealer current liability concepts reported in the SEC filing.</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#0001018724-24-000161, filed 2024-11-01
Period: 3Q24 / period ended 2024-09-30
Model row: Model!137 Other Current Liabilities
Mapping type: grouped
Concepts used: OperatingLeaseLiability = 79677 mm; ContractWithCustomerLiabilityCurrent = 16305 mm
Unit conversion: raw USD to $mm
Sign: copied using model sign convention
Confidence: high
Value written: 95982
Notes: Grouped from EDGAR: Operating Lease, Liability, Contract with Customer, Liability, Current. Included broker-dealer current liability concepts reported in the SEC filing.</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#0001018724-26-000004, filed 2026-02-06
Period: 4Q24 / period ended 2024-12-31
Model row: Model!137 Other Current Liabilities
Mapping type: grouped
Concepts used: OperatingLeaseLiability = 79596 mm; ContractWithCustomerLiabilityCurrent = 18103 mm
Unit conversion: raw USD to $mm
Sign: copied using model sign convention
Confidence: high
Value written: 97699
Notes: Grouped from EDGAR: Operating Lease, Liability, Contract with Customer, Liability, Current. Included broker-dealer current liability concepts reported in the SEC filing.</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#0001018724-25-000036, filed 2025-05-02
Period: 1Q25 / period ended 2025-03-31
Model row: Model!137 Other Current Liabilities
Mapping type: grouped
Concepts used: OperatingLeaseLiability = 81731 mm; ContractWithCustomerLiabilityCurrent = 20599 mm
Unit conversion: raw USD to $mm
Sign: copied using model sign convention
Confidence: high
Value written: 102330
Notes: Grouped from EDGAR: Operating Lease, Liability, Contract with Customer, Liability, Current. Included broker-dealer current liability concepts reported in the SEC filing.</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#0001018724-25-000086, filed 2025-08-01
Period: 2Q25 / period ended 2025-06-30
Model row: Model!137 Other Current Liabilities
Mapping type: grouped
Concepts used: OperatingLeaseLiability = 84991 mm; ContractWithCustomerLiabilityCurrent = 21662 mm
Unit conversion: raw USD to $mm
Sign: copied using model sign convention
Confidence: high
Value written: 106653
Notes: Grouped from EDGAR: Operating Lease, Liability, Contract with Customer, Liability, Current. Included broker-dealer current liability concepts reported in the SEC filing.</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#0001018724-25-000123, filed 2025-10-31
Period: 3Q25 / period ended 2025-09-30
Model row: Model!137 Other Current Liabilities
Mapping type: grouped
Concepts used: OperatingLeaseLiability = 86233 mm; ContractWithCustomerLiabilityCurrent = 21113 mm
Unit conversion: raw USD to $mm
Sign: copied using model sign convention
Confidence: high
Value written: 107346
Notes: Grouped from EDGAR: Operating Lease, Liability, Contract with Customer, Liability, Current. Included broker-dealer current liability concepts reported in the SEC filing.</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EDGAR mapping:
Source: 10-K, accession #0001018724-26-000004, filed 2026-02-06
Period: 4Q25 / period ended 2025-12-31
Model row: Model!137 Other Current Liabilities
Mapping type: grouped
Concepts used: OperatingLeaseLiability = 89252 mm; ContractWithCustomerLiabilityCurrent = 20576 mm
Unit conversion: raw USD to $mm
Sign: copied using model sign convention
Confidence: high
Value written: 109828
Notes: Grouped from EDGAR: Operating Lease Liability, Contract With Customer Liability Current. Included broker-dealer current liability concepts reported in the SEC filing.</t>
        </r>
      </text>
    </comment>
    <comment ref="C1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1" authorId="0">
      <text>
        <r>
          <rPr>
            <b/>
          </rPr>
          <t xml:space="preserve">EDGAR Mapper:
</t>
        </r>
        <r>
          <t xml:space="preserve">Grouped from EDGAR: Long-term Debt. Grouped from EDGAR: Long Term Debt.
EDGAR Mapper:
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
EDGAR Mapper:
EDGAR mapping:
Source: 10-Q, accession #0001018724-23-000008, filed 2023-04-28
Period: 1Q23 / period ended 2023-03-31
Model row: Model!141 LT Debt (Incl. Current Portion)
Mapping type: grouped
Concepts used: LongTermDebt = 69472 mm
Unit conversion: raw USD to $mm
Sign: copied using model sign convention
Confidence: high
Value written: 69472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
EDGAR Mapper:
EDGAR mapping:
Source: 10-Q, accession #0001018724-23-000012, filed 2023-08-04
Period: 2Q23 / period ended 2023-06-30
Model row: Model!141 LT Debt (Incl. Current Portion)
Mapping type: grouped
Concepts used: LongTermDebt = 67472 mm
Unit conversion: raw USD to $mm
Sign: copied using model sign convention
Confidence: high
Value written: 67472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
EDGAR Mapper:
EDGAR mapping:
Source: 10-Q, accession #0001018724-23-000018, filed 2023-10-27
Period: 3Q23 / period ended 2023-09-30
Model row: Model!141 LT Debt (Incl. Current Portion)
Mapping type: grouped
Concepts used: LongTermDebt = 67472 mm
Unit conversion: raw USD to $mm
Sign: copied using model sign convention
Confidence: high
Value written: 67472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
EDGAR Mapper:
EDGAR mapping:
Source: 10-K, accession #0001018724-25-000004, filed 2025-02-07
Period: 4Q23 / period ended 2023-12-31
Model row: Model!141 LT Debt (Incl. Current Portion)
Mapping type: grouped
Concepts used: LongTermDebt = 67182 mm
Unit conversion: raw USD to $mm
Sign: copied using model sign convention
Confidence: high
Value written: 67182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
EDGAR Mapper:
EDGAR mapping:
Source: 10-Q, accession #0001018724-24-000083, filed 2024-05-01
Period: 1Q24 / period ended 2024-03-31
Model row: Model!141 LT Debt (Incl. Current Portion)
Mapping type: grouped
Concepts used: LongTermDebt = 66852 mm
Unit conversion: raw USD to $mm
Sign: copied using model sign convention
Confidence: high
Value written: 66852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
EDGAR Mapper:
EDGAR mapping:
Source: 10-Q, accession #0001018724-24-000130, filed 2024-08-02
Period: 2Q24 / period ended 2024-06-30
Model row: Model!141 LT Debt (Incl. Current Portion)
Mapping type: grouped
Concepts used: LongTermDebt = 62683 mm
Unit conversion: raw USD to $mm
Sign: copied using model sign convention
Confidence: high
Value written: 62683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
EDGAR Mapper:
EDGAR mapping:
Source: 10-Q, accession #0001018724-24-000161, filed 2024-11-01
Period: 3Q24 / period ended 2024-09-30
Model row: Model!141 LT Debt (Incl. Current Portion)
Mapping type: grouped
Concepts used: LongTermDebt = 60500 mm
Unit conversion: raw USD to $mm
Sign: copied using model sign convention
Confidence: high
Value written: 60500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
EDGAR Mapper:
EDGAR mapping:
Source: 10-K, accession #0001018724-26-000004, filed 2026-02-06
Period: 4Q24 / period ended 2024-12-31
Model row: Model!141 LT Debt (Incl. Current Portion)
Mapping type: grouped
Concepts used: LongTermDebt = 58000 mm
Unit conversion: raw USD to $mm
Sign: copied using model sign convention
Confidence: high
Value written: 58000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
EDGAR Mapper:
EDGAR mapping:
Source: 10-Q, accession #0001018724-25-000036, filed 2025-05-02
Period: 1Q25 / period ended 2025-03-31
Model row: Model!141 LT Debt (Incl. Current Portion)
Mapping type: grouped
Concepts used: LongTermDebt = 58750 mm
Unit conversion: raw USD to $mm
Sign: copied using model sign convention
Confidence: high
Value written: 58750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
EDGAR Mapper:
EDGAR mapping:
Source: 10-Q, accession #0001018724-25-000086, filed 2025-08-01
Period: 2Q25 / period ended 2025-06-30
Model row: Model!141 LT Debt (Incl. Current Portion)
Mapping type: grouped
Concepts used: LongTermDebt = 56082 mm
Unit conversion: raw USD to $mm
Sign: copied using model sign convention
Confidence: high
Value written: 56082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
EDGAR Mapper:
EDGAR mapping:
Source: 10-Q, accession #0001018724-25-000123, filed 2025-10-31
Period: 3Q25 / period ended 2025-09-30
Model row: Model!141 LT Debt (Incl. Current Portion)
Mapping type: grouped
Concepts used: LongTermDebt = 55097 mm
Unit conversion: raw USD to $mm
Sign: copied using model sign convention
Confidence: high
Value written: 55097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
EDGAR Mapper:
EDGAR mapping:
Source: 10-K, accession #0001018724-26-000004, filed 2026-02-06
Period: 4Q25 / period ended 2025-12-31
Model row: Model!141 LT Debt (Incl. Current Portion)
Mapping type: grouped
Concepts used: LongTermDebt = 68836 mm
Unit conversion: raw USD to $mm
Sign: copied using model sign convention
Confidence: high
Value written: 68836
Notes: Grouped from EDGAR: Long Term Debt.</t>
        </r>
      </text>
    </comment>
    <comment ref="C142"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3" authorId="0">
      <text>
        <r>
          <rPr>
            <b/>
          </rPr>
          <t xml:space="preserve">EDGAR Mapper:
</t>
        </r>
        <r>
          <t xml:space="preserve">Needs review: one or more historical periods were left unchanged because no matching EDGAR fact was found.
EDGAR Mapper: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 Grouped from EDGAR: Assets, Liabilities, Current, Long-term Debt, Current Maturities, Short-term Debt, Long-term Debt, Excluding Current Maturities, Long-term Debt, Deferred Tax Liabilities Noncurrent, Stockholders Equity, Noncontrolling Interest In Consolidated Entity. Included total assets less current liabilities, debt, deferred taxes, shareholder equity, and noncontrolling interests. Grouped from EDGAR: Assets, Liabilities Current, Long Term Debt Current, Short Term Borrowings, Long Term Debt Noncurrent, Long Term Debt, Deferred Tax Liabilities Noncurrent, Stockholders Equity, Noncontrolling Interest In Consolidated Entity. Included total assets less current liabilities, debt, deferred taxes, shareholder equity, and noncontrolling interests.</t>
        </r>
      </text>
    </comment>
    <comment ref="F143" authorId="0">
      <text>
        <r>
          <rPr>
            <b/>
          </rPr>
          <t xml:space="preserve">EDGAR Mapper:
</t>
        </r>
        <r>
          <t xml:space="preserve">EDGAR mapping:
Source: 10-Q, accession #0001018724-23-000008, filed 2023-04-28
Period: 1Q23 / period ended 2023-03-31
Model row: Model!143 Other Non-Current Liabilities
Mapping type: grouped
Concepts used: Assets = 464378 mm; LiabilitiesCurrent = 147570 mm; LongTermDebtCurrent = 2000 mm; ShortTermBorrowings = 1100 mm; LongTermDebtCurrent = 2000 mm; LongTermDebtNoncurrent = 67084 mm; LongTermDebt = 69472 mm; DeferredTaxLiabilitiesNoncurrent = 0 mm; StockholdersEquity = 154526 mm; NoncontrollingInterestInConsolidatedEntity = 0 mm
Unit conversion: raw USD to $mm
Sign: copied using model sign convention
Confidence: high
Value written: 24626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G143" authorId="0">
      <text>
        <r>
          <rPr>
            <b/>
          </rPr>
          <t xml:space="preserve">EDGAR Mapper:
</t>
        </r>
        <r>
          <t xml:space="preserve">EDGAR mapping:
Source: 10-Q, accession #0001018724-23-000012, filed 2023-08-04
Period: 2Q23 / period ended 2023-06-30
Model row: Model!143 Other Non-Current Liabilities
Mapping type: grouped
Concepts used: Assets = 477607 mm; LiabilitiesCurrent = 148238 mm; LongTermDebtCurrent = 3997 mm; ShortTermBorrowings = 1100 mm; LongTermDebtCurrent = 3997 mm; LongTermDebtNoncurrent = 63092 mm; LongTermDebt = 67472 mm; DeferredTaxLiabilitiesNoncurrent = 0 mm; StockholdersEquity = 168602 mm; NoncontrollingInterestInConsolidatedEntity = 0 mm
Unit conversion: raw USD to $mm
Sign: copied using model sign convention
Confidence: high
Value written: 29103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H143" authorId="0">
      <text>
        <r>
          <rPr>
            <b/>
          </rPr>
          <t xml:space="preserve">EDGAR Mapper:
</t>
        </r>
        <r>
          <t xml:space="preserve">EDGAR mapping:
Source: 10-Q, accession #0001018724-23-000018, filed 2023-10-27
Period: 3Q23 / period ended 2023-09-30
Model row: Model!143 Other Non-Current Liabilities
Mapping type: grouped
Concepts used: Assets = 486883 mm; LiabilitiesCurrent = 145214 mm; LongTermDebtCurrent = 5995 mm; ShortTermBorrowings = 166 mm; LongTermDebtCurrent = 5995 mm; LongTermDebtNoncurrent = 61098 mm; LongTermDebt = 67472 mm; DeferredTaxLiabilitiesNoncurrent = 0 mm; StockholdersEquity = 182973 mm; NoncontrollingInterestInConsolidatedEntity = 0 mm
Unit conversion: raw USD to $mm
Sign: copied using model sign convention
Confidence: high
Value written: 29960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I143" authorId="0">
      <text>
        <r>
          <rPr>
            <b/>
          </rPr>
          <t xml:space="preserve">EDGAR Mapper:
</t>
        </r>
        <r>
          <t xml:space="preserve">EDGAR mapping:
Source: 10-K, accession #0001018724-26-000004, filed 2026-02-06
Period: 4Q23 / period ended 2023-12-31
Model row: Model!143 Other Non-Current Liabilities
Mapping type: grouped
Concepts used: Assets = 527854 mm; LiabilitiesCurrent = 164917 mm; LongTermDebtCurrent = 8494 mm; ShortTermBorrowings = 147 mm; LongTermDebtCurrent = 8494 mm; LongTermDebtNoncurrent = 58314 mm; LongTermDebt = 67182 mm; DeferredTaxLiabilitiesNoncurrent = 0 mm; StockholdersEquity = 201875 mm; NoncontrollingInterestInConsolidatedEntity = 0 mm
Unit conversion: raw USD to $mm
Sign: copied using model sign convention
Confidence: high
Value written: 35419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K143" authorId="0">
      <text>
        <r>
          <rPr>
            <b/>
          </rPr>
          <t xml:space="preserve">EDGAR Mapper:
</t>
        </r>
        <r>
          <t xml:space="preserve">EDGAR mapping:
Source: 10-Q, accession #0001018724-24-000083, filed 2024-05-01
Period: 1Q24 / period ended 2024-03-31
Model row: Model!143 Other Non-Current Liabilities
Mapping type: grouped
Concepts used: Assets = 530969 mm; LiabilitiesCurrent = 152965 mm; LongTermDebtCurrent = 8848 mm; ShortTermBorrowings = 50 mm; LongTermDebtCurrent = 8848 mm; LongTermDebtNoncurrent = 57634 mm; LongTermDebt = 66852 mm; DeferredTaxLiabilitiesNoncurrent = 0 mm; StockholdersEquity = 216661 mm; NoncontrollingInterestInConsolidatedEntity = 0 mm
Unit conversion: raw USD to $mm
Sign: copied using model sign convention
Confidence: high
Value written: 36807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L143" authorId="0">
      <text>
        <r>
          <rPr>
            <b/>
          </rPr>
          <t xml:space="preserve">EDGAR Mapper:
</t>
        </r>
        <r>
          <t xml:space="preserve">EDGAR mapping:
Source: 10-Q, accession #0001018724-24-000130, filed 2024-08-02
Period: 2Q24 / period ended 2024-06-30
Model row: Model!143 Other Non-Current Liabilities
Mapping type: grouped
Concepts used: Assets = 554818 mm; LiabilitiesCurrent = 158172 mm; LongTermDebtCurrent = 7429 mm; ShortTermBorrowings = 76 mm; LongTermDebtCurrent = 7429 mm; LongTermDebtNoncurrent = 54889 mm; LongTermDebt = 62683 mm; DeferredTaxLiabilitiesNoncurrent = 0 mm; StockholdersEquity = 236447 mm; NoncontrollingInterestInConsolidatedEntity = 0 mm
Unit conversion: raw USD to $mm
Sign: copied using model sign convention
Confidence: high
Value written: 42551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M143" authorId="0">
      <text>
        <r>
          <rPr>
            <b/>
          </rPr>
          <t xml:space="preserve">EDGAR Mapper:
</t>
        </r>
        <r>
          <t xml:space="preserve">EDGAR mapping:
Source: 10-Q, accession #0001018724-24-000161, filed 2024-11-01
Period: 3Q24 / period ended 2024-09-30
Model row: Model!143 Other Non-Current Liabilities
Mapping type: grouped
Concepts used: Assets = 584626 mm; LiabilitiesCurrent = 161477 mm; LongTermDebtCurrent = 5248 mm; ShortTermBorrowings = 88 mm; LongTermDebtCurrent = 5248 mm; LongTermDebtNoncurrent = 54890 mm; LongTermDebt = 60500 mm; DeferredTaxLiabilitiesNoncurrent = 0 mm; StockholdersEquity = 259151 mm; NoncontrollingInterestInConsolidatedEntity = 0 mm
Unit conversion: raw USD to $mm
Sign: copied using model sign convention
Confidence: high
Value written: 48520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N143" authorId="0">
      <text>
        <r>
          <rPr>
            <b/>
          </rPr>
          <t xml:space="preserve">EDGAR Mapper:
</t>
        </r>
        <r>
          <t xml:space="preserve">EDGAR mapping:
Source: 10-K, accession #0001018724-26-000004, filed 2026-02-06
Period: 4Q24 / period ended 2024-12-31
Model row: Model!143 Other Non-Current Liabilities
Mapping type: grouped
Concepts used: Assets = 624894 mm; LiabilitiesCurrent = 179431 mm; LongTermDebtCurrent = 5017 mm; ShortTermBorrowings = 151 mm; LongTermDebtCurrent = 5017 mm; LongTermDebtNoncurrent = 52623 mm; LongTermDebt = 58000 mm; DeferredTaxLiabilitiesNoncurrent = 0 mm; StockholdersEquity = 285970 mm; NoncontrollingInterestInConsolidatedEntity = 0 mm
Unit conversion: raw USD to $mm
Sign: copied using model sign convention
Confidence: high
Value written: 48719
Notes: Grouped from EDGAR: Assets, Liabilities, Current, Long-term Debt, Current Maturities, Short-term Debt, Long-term Debt, Excluding Current Maturities, Long-term Debt, Deferred Tax Liabilities Noncurrent, Stockholders Equity, Noncontrolling Interest In Consolidated Entity. Included total assets less current liabilities, debt, deferred taxes, shareholder equity, and noncontrolling interests.</t>
        </r>
      </text>
    </comment>
    <comment ref="P143" authorId="0">
      <text>
        <r>
          <rPr>
            <b/>
          </rPr>
          <t xml:space="preserve">EDGAR Mapper:
</t>
        </r>
        <r>
          <t xml:space="preserve">EDGAR mapping:
Source: 10-Q, accession #0001018724-25-000036, filed 2025-05-02
Period: 1Q25 / period ended 2025-03-31
Model row: Model!143 Other Non-Current Liabilities
Mapping type: grouped
Concepts used: Assets = 643256 mm; LiabilitiesCurrent = 176171 mm; LongTermDebtCurrent = 5014 mm; ShortTermBorrowings = 76 mm; LongTermDebtCurrent = 5014 mm; LongTermDebtNoncurrent = 53374 mm; LongTermDebt = 58750 mm; DeferredTaxLiabilitiesNoncurrent = 0 mm; StockholdersEquity = 305867 mm; NoncontrollingInterestInConsolidatedEntity = 0 mm
Unit conversion: raw USD to $mm
Sign: copied using model sign convention
Confidence: high
Value written: 49018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Q143" authorId="0">
      <text>
        <r>
          <rPr>
            <b/>
          </rPr>
          <t xml:space="preserve">EDGAR Mapper:
</t>
        </r>
        <r>
          <t xml:space="preserve">EDGAR mapping:
Source: 10-Q, accession #0001018724-25-000086, filed 2025-08-01
Period: 2Q25 / period ended 2025-06-30
Model row: Model!143 Other Non-Current Liabilities
Mapping type: grouped
Concepts used: Assets = 682170 mm; LiabilitiesCurrent = 186921 mm; LongTermDebtCurrent = 5005 mm; ShortTermBorrowings = 173 mm; LongTermDebtCurrent = 5005 mm; LongTermDebtNoncurrent = 50718 mm; LongTermDebt = 56082 mm; DeferredTaxLiabilitiesNoncurrent = 0 mm; StockholdersEquity = 333775 mm; NoncontrollingInterestInConsolidatedEntity = 0 mm
Unit conversion: raw USD to $mm
Sign: copied using model sign convention
Confidence: high
Value written: 54501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R143" authorId="0">
      <text>
        <r>
          <rPr>
            <b/>
          </rPr>
          <t xml:space="preserve">EDGAR Mapper:
</t>
        </r>
        <r>
          <t xml:space="preserve">EDGAR mapping:
Source: 10-Q, accession #0001018724-25-000123, filed 2025-10-31
Period: 3Q25 / period ended 2025-09-30
Model row: Model!143 Other Non-Current Liabilities
Mapping type: grouped
Concepts used: Assets = 727921 mm; LiabilitiesCurrent = 195196 mm; LongTermDebtCurrent = 3997 mm; ShortTermBorrowings = 220 mm; LongTermDebtCurrent = 3997 mm; LongTermDebtNoncurrent = 50742 mm; LongTermDebt = 55097 mm; DeferredTaxLiabilitiesNoncurrent = 0 mm; StockholdersEquity = 369631 mm; NoncontrollingInterestInConsolidatedEntity = 0 mm
Unit conversion: raw USD to $mm
Sign: copied using model sign convention
Confidence: high
Value written: 57035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S143" authorId="0">
      <text>
        <r>
          <rPr>
            <b/>
          </rPr>
          <t xml:space="preserve">EDGAR Mapper:
</t>
        </r>
        <r>
          <t xml:space="preserve">EDGAR mapping:
Source: 10-K, accession #0001018724-26-000004, filed 2026-02-06
Period: 4Q25 / period ended 2025-12-31
Model row: Model!143 Other Non-Current Liabilities
Mapping type: grouped
Concepts used: Assets = 818042 mm; LiabilitiesCurrent = 218005 mm; LongTermDebtCurrent = 2748 mm; ShortTermBorrowings = 455 mm; LongTermDebtCurrent = 2748 mm; LongTermDebtNoncurrent = 65648 mm; LongTermDebt = 68836 mm; DeferredTaxLiabilitiesNoncurrent = 0 mm; StockholdersEquity = 411065 mm; NoncontrollingInterestInConsolidatedEntity = 0 mm
Unit conversion: raw USD to $mm
Sign: copied using model sign convention
Confidence: high
Value written: 54033
Notes: Grouped from EDGAR: Assets, Liabilities Current, Long Term Debt Current, Short Term Borrowings, Long Term Debt Noncurrent, Long Term Debt, Deferred Tax Liabilities Noncurrent, Stockholders Equity, Noncontrolling Interest In Consolidated Entity. Included total assets less current liabilities, debt, deferred taxes, shareholder equity, and noncontrolling interests.</t>
        </r>
      </text>
    </comment>
    <comment ref="C147" authorId="0">
      <text>
        <r>
          <rPr>
            <b/>
          </rPr>
          <t xml:space="preserve">EDGAR Mapper:
</t>
        </r>
        <r>
          <t>Needs review: one or more historical periods were left unchanged because no matching EDGAR fact was found.</t>
        </r>
      </text>
    </comment>
    <comment ref="F147" authorId="0">
      <text>
        <r>
          <rPr>
            <b/>
            <family val="2"/>
            <sz val="11"/>
            <rFont val="Calibri"/>
          </rPr>
          <t xml:space="preserve">EDGAR Mapper:
</t>
        </r>
        <r>
          <rPr>
            <color theme="1"/>
            <family val="2"/>
            <scheme val="minor"/>
            <sz val="11"/>
            <rFont val="Calibri"/>
          </rP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family val="2"/>
            <sz val="11"/>
            <rFont val="Calibri"/>
          </rPr>
          <t xml:space="preserve">EDGAR Mapper:
</t>
        </r>
        <r>
          <rPr>
            <color theme="1"/>
            <family val="2"/>
            <scheme val="minor"/>
            <sz val="11"/>
            <rFont val="Calibri"/>
          </rP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family val="2"/>
            <sz val="11"/>
            <rFont val="Calibri"/>
          </rPr>
          <t xml:space="preserve">EDGAR Mapper:
</t>
        </r>
        <r>
          <rPr>
            <color theme="1"/>
            <family val="2"/>
            <scheme val="minor"/>
            <sz val="11"/>
            <rFont val="Calibri"/>
          </rP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family val="2"/>
            <sz val="11"/>
            <rFont val="Calibri"/>
          </rPr>
          <t xml:space="preserve">EDGAR Mapper:
</t>
        </r>
        <r>
          <rPr>
            <color theme="1"/>
            <family val="2"/>
            <scheme val="minor"/>
            <sz val="11"/>
            <rFont val="Calibri"/>
          </rP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family val="2"/>
            <sz val="11"/>
            <rFont val="Calibri"/>
          </rPr>
          <t xml:space="preserve">EDGAR Mapper:
</t>
        </r>
        <r>
          <rPr>
            <color theme="1"/>
            <family val="2"/>
            <scheme val="minor"/>
            <sz val="11"/>
            <rFont val="Calibri"/>
          </rP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family val="2"/>
            <sz val="11"/>
            <rFont val="Calibri"/>
          </rPr>
          <t xml:space="preserve">EDGAR Mapper:
</t>
        </r>
        <r>
          <rPr>
            <color theme="1"/>
            <family val="2"/>
            <scheme val="minor"/>
            <sz val="11"/>
            <rFont val="Calibri"/>
          </rP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family val="2"/>
            <sz val="11"/>
            <rFont val="Calibri"/>
          </rPr>
          <t xml:space="preserve">EDGAR Mapper:
</t>
        </r>
        <r>
          <rPr>
            <color theme="1"/>
            <family val="2"/>
            <scheme val="minor"/>
            <sz val="11"/>
            <rFont val="Calibri"/>
          </rP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family val="2"/>
            <sz val="11"/>
            <rFont val="Calibri"/>
          </rPr>
          <t xml:space="preserve">EDGAR Mapper:
</t>
        </r>
        <r>
          <rPr>
            <color theme="1"/>
            <family val="2"/>
            <scheme val="minor"/>
            <sz val="11"/>
            <rFont val="Calibri"/>
          </rP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EDGAR line items: Stockholders' Equity Attributable to Parent, Retained Earnings (Accumulated Deficit), TreasuryStockValue, Accumulated Other Comprehensive Income (Loss), Net of Tax. Included stockholders' equity less retained earnings, treasury stock, and AOCI. Included EDGAR line items: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#0001018724-24-000130, filed 2024-08-02
Period: 1Q23 / period ended 2023-03-31
Model row: Model!148 Common Stock &amp; APIC
Mapping type: grouped
Concepts used: StockholdersEquity = 154526 mm; RetainedEarningsAccumulatedDeficit = 86365 mm; TreasuryStockValue = 0 mm; AccumulatedOtherComprehensiveIncomeLossNetOfTax = -3973 mm
Unit conversion: raw USD to $mm
Sign: copied using model sign convention
Confidence: high
Value written: 72134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#0001018724-24-000161, filed 2024-11-01
Period: 2Q23 / period ended 2023-06-30
Model row: Model!148 Common Stock &amp; APIC
Mapping type: grouped
Concepts used: StockholdersEquity = 168602 mm; RetainedEarningsAccumulatedDeficit = 93115 mm; TreasuryStockValue = 0 mm; AccumulatedOtherComprehensiveIncomeLossNetOfTax = -3680 mm
Unit conversion: raw USD to $mm
Sign: copied using model sign convention
Confidence: high
Value written: 79167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#0001018724-24-000161, filed 2024-11-01
Period: 3Q23 / period ended 2023-09-30
Model row: Model!148 Common Stock &amp; APIC
Mapping type: grouped
Concepts used: StockholdersEquity = 182973 mm; RetainedEarningsAccumulatedDeficit = 102994 mm; TreasuryStockValue = 0 mm; AccumulatedOtherComprehensiveIncomeLossNetOfTax = -5003 mm
Unit conversion: raw USD to $mm
Sign: copied using model sign convention
Confidence: high
Value written: 84982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#0001018724-26-000004, filed 2026-02-06
Period: 4Q23 / period ended 2023-12-31
Model row: Model!148 Common Stock &amp; APIC
Mapping type: grouped
Concepts used: StockholdersEquity = 201875 mm; RetainedEarningsAccumulatedDeficit = 113618 mm; TreasuryStockValue = 0 mm; AccumulatedOtherComprehensiveIncomeLossNetOfTax = -3040 mm
Unit conversion: raw USD to $mm
Sign: copied using model sign convention
Confidence: high
Value written: 91297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#0001018724-25-000086, filed 2025-08-01
Period: 1Q24 / period ended 2024-03-31
Model row: Model!148 Common Stock &amp; APIC
Mapping type: grouped
Concepts used: StockholdersEquity = 216661 mm; RetainedEarningsAccumulatedDeficit = 124049 mm; TreasuryStockValue = 0 mm; AccumulatedOtherComprehensiveIncomeLossNetOfTax = -3598 mm
Unit conversion: raw USD to $mm
Sign: copied using model sign convention
Confidence: high
Value written: 96210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#0001018724-25-000123, filed 2025-10-31
Period: 2Q24 / period ended 2024-06-30
Model row: Model!148 Common Stock &amp; APIC
Mapping type: grouped
Concepts used: StockholdersEquity = 236447 mm; RetainedEarningsAccumulatedDeficit = 137534 mm; TreasuryStockValue = 0 mm; AccumulatedOtherComprehensiveIncomeLossNetOfTax = -3993 mm
Unit conversion: raw USD to $mm
Sign: copied using model sign convention
Confidence: high
Value written: 102906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#0001018724-25-000123, filed 2025-10-31
Period: 3Q24 / period ended 2024-09-30
Model row: Model!148 Common Stock &amp; APIC
Mapping type: grouped
Concepts used: StockholdersEquity = 259151 mm; RetainedEarningsAccumulatedDeficit = 152862 mm; TreasuryStockValue = 0 mm; AccumulatedOtherComprehensiveIncomeLossNetOfTax = -1918 mm
Unit conversion: raw USD to $mm
Sign: copied using model sign convention
Confidence: high
Value written: 108207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#0001018724-26-000004, filed 2026-02-06
Period: 4Q24 / period ended 2024-12-31
Model row: Model!148 Common Stock &amp; APIC
Mapping type: grouped
Concepts used: StockholdersEquity = 285970 mm; RetainedEarningsAccumulatedDeficit = 172866 mm; TreasuryStockValue = 0 mm; AccumulatedOtherComprehensiveIncomeLossNetOfTax = -34 mm
Unit conversion: raw USD to $mm
Sign: copied using model sign convention
Confidence: high
Value written: 113138
Notes: Grouped from EDGAR: Stockholders Equity,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#0001018724-26-000014, filed 2026-04-30
Period: 1Q25 / period ended 2025-03-31
Model row: Model!148 Common Stock &amp; APIC
Mapping type: grouped
Concepts used: StockholdersEquity = 305867 mm; RetainedEarningsAccumulatedDeficit = 189993 mm; TreasuryStockValue = 0 mm; AccumulatedOtherComprehensiveIncomeLossNetOfTax = -914 mm
Unit conversion: raw USD to $mm
Sign: copied using model sign convention
Confidence: high
Value written: 116788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#0001018724-25-000123, filed 2025-10-31
Period: 2Q25 / period ended 2025-06-30
Model row: Model!148 Common Stock &amp; APIC
Mapping type: grouped
Concepts used: StockholdersEquity = 333775 mm; RetainedEarningsAccumulatedDeficit = 208157 mm; TreasuryStockValue = 0 mm; AccumulatedOtherComprehensiveIncomeLossNetOfTax = 2420 mm
Unit conversion: raw USD to $mm
Sign: copied using model sign convention
Confidence: high
Value written: 123198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#0001018724-25-000123, filed 2025-10-31
Period: 3Q25 / period ended 2025-09-30
Model row: Model!148 Common Stock &amp; APIC
Mapping type: grouped
Concepts used: StockholdersEquity = 369631 mm; RetainedEarningsAccumulatedDeficit = 229344 mm; TreasuryStockValue = 0 mm; AccumulatedOtherComprehensiveIncomeLossNetOfTax = 12333 mm
Unit conversion: raw USD to $mm
Sign: copied using model sign convention
Confidence: high
Value written: 127954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
EDGAR Mapper:
EDGAR mapping:
Source: 10-K, accession #0001018724-26-000004, filed 2026-02-06
Period: 4Q25 / period ended 2025-12-31
Model row: Model!148 Common Stock &amp; APIC
Mapping type: grouped
Concepts used: StockholdersEquity = 411065 mm; RetainedEarningsAccumulatedDeficit = 250536 mm; TreasuryStockValue = 0 mm; AccumulatedOtherComprehensiveIncomeLossNetOfTax = 28230 mm
Unit conversion: raw USD to $mm
Sign: copied using model sign convention
Confidence: high
Value written: 132299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
EDGAR Mapper:
EDGAR mapping:
Source: 10-Q, accession #0001018724-23-000008, filed 2023-04-28
Period: 1Q23 / period ended 2023-03-31
Model row: Model!149 Retained Earnings
Mapping type: direct
Concepts used: RetainedEarningsAccumulatedDeficit = 86365 mm
Unit conversion: raw USD to $mm
Sign: copied using model sign convention
Confidence: high
Value written: 86365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
EDGAR Mapper:
EDGAR mapping:
Source: 10-Q, accession #0001018724-23-000012, filed 2023-08-04
Period: 2Q23 / period ended 2023-06-30
Model row: Model!149 Retained Earnings
Mapping type: direct
Concepts used: RetainedEarningsAccumulatedDeficit = 93115 mm
Unit conversion: raw USD to $mm
Sign: copied using model sign convention
Confidence: high
Value written: 93115</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
EDGAR Mapper:
EDGAR mapping:
Source: 10-Q, accession #0001018724-23-000018, filed 2023-10-27
Period: 3Q23 / period ended 2023-09-30
Model row: Model!149 Retained Earnings
Mapping type: direct
Concepts used: RetainedEarningsAccumulatedDeficit = 102994 mm
Unit conversion: raw USD to $mm
Sign: copied using model sign convention
Confidence: high
Value written: 102994</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
EDGAR Mapper:
EDGAR mapping:
Source: 10-K, accession #0001018724-25-000004, filed 2025-02-07
Period: 4Q23 / period ended 2023-12-31
Model row: Model!149 Retained Earnings
Mapping type: direct
Concepts used: RetainedEarningsAccumulatedDeficit = 113618 mm
Unit conversion: raw USD to $mm
Sign: copied using model sign convention
Confidence: high
Value written: 113618</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
EDGAR Mapper:
EDGAR mapping:
Source: 10-Q, accession #0001018724-24-000083, filed 2024-05-01
Period: 1Q24 / period ended 2024-03-31
Model row: Model!149 Retained Earnings
Mapping type: direct
Concepts used: RetainedEarningsAccumulatedDeficit = 124049 mm
Unit conversion: raw USD to $mm
Sign: copied using model sign convention
Confidence: high
Value written: 124049</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
EDGAR Mapper:
EDGAR mapping:
Source: 10-Q, accession #0001018724-24-000130, filed 2024-08-02
Period: 2Q24 / period ended 2024-06-30
Model row: Model!149 Retained Earnings
Mapping type: direct
Concepts used: RetainedEarningsAccumulatedDeficit = 137534 mm
Unit conversion: raw USD to $mm
Sign: copied using model sign convention
Confidence: high
Value written: 137534</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
EDGAR Mapper:
EDGAR mapping:
Source: 10-Q, accession #0001018724-24-000161, filed 2024-11-01
Period: 3Q24 / period ended 2024-09-30
Model row: Model!149 Retained Earnings
Mapping type: direct
Concepts used: RetainedEarningsAccumulatedDeficit = 152862 mm
Unit conversion: raw USD to $mm
Sign: copied using model sign convention
Confidence: high
Value written: 152862</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
EDGAR Mapper:
EDGAR mapping:
Source: 10-K, accession #0001018724-26-000004, filed 2026-02-06
Period: 4Q24 / period ended 2024-12-31
Model row: Model!149 Retained Earnings
Mapping type: direct
Concepts used: RetainedEarningsAccumulatedDeficit = 172866 mm
Unit conversion: raw USD to $mm
Sign: copied using model sign convention
Confidence: high
Value written: 172866</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
EDGAR Mapper:
EDGAR mapping:
Source: 10-Q, accession #0001018724-25-000036, filed 2025-05-02
Period: 1Q25 / period ended 2025-03-31
Model row: Model!149 Retained Earnings
Mapping type: direct
Concepts used: RetainedEarningsAccumulatedDeficit = 189993 mm
Unit conversion: raw USD to $mm
Sign: copied using model sign convention
Confidence: high
Value written: 189993</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
EDGAR Mapper:
EDGAR mapping:
Source: 10-Q, accession #0001018724-25-000086, filed 2025-08-01
Period: 2Q25 / period ended 2025-06-30
Model row: Model!149 Retained Earnings
Mapping type: direct
Concepts used: RetainedEarningsAccumulatedDeficit = 208157 mm
Unit conversion: raw USD to $mm
Sign: copied using model sign convention
Confidence: high
Value written: 208157</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
EDGAR Mapper:
EDGAR mapping:
Source: 10-Q, accession #0001018724-25-000123, filed 2025-10-31
Period: 3Q25 / period ended 2025-09-30
Model row: Model!149 Retained Earnings
Mapping type: direct
Concepts used: RetainedEarningsAccumulatedDeficit = 229344 mm
Unit conversion: raw USD to $mm
Sign: copied using model sign convention
Confidence: high
Value written: 229344</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
EDGAR Mapper:
EDGAR mapping:
Source: 10-K, accession #0001018724-26-000004, filed 2026-02-06
Period: 4Q25 / period ended 2025-12-31
Model row: Model!149 Retained Earnings
Mapping type: direct
Concepts used: RetainedEarningsAccumulatedDeficit = 250536 mm
Unit conversion: raw USD to $mm
Sign: copied using model sign convention
Confidence: high
Value written: 250536</t>
        </r>
      </text>
    </comment>
    <comment ref="C150" authorId="0">
      <text>
        <r>
          <rPr>
            <b/>
          </rPr>
          <t xml:space="preserve">EDGAR Mapper:
</t>
        </r>
        <r>
          <t xml:space="preserve">Grouped from EDGAR: Treasury Stock Value.
EDGAR Mapper:
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
EDGAR Mapper:
EDGAR mapping:
Source: 10-Q, accession #0001018724-23-000008, filed 2023-04-28
Period: 1Q23 / period ended 2023-03-31
Model row: Model!151 Accumulated Other Comprehensive Income (AOCI)
Mapping type: direct
Concepts used: AccumulatedOtherComprehensiveIncomeLossNetOfTax = -3973 mm
Unit conversion: raw USD to $mm
Sign: copied using model sign convention
Confidence: high
Value written: -3973</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
EDGAR Mapper:
EDGAR mapping:
Source: 10-Q, accession #0001018724-23-000012, filed 2023-08-04
Period: 2Q23 / period ended 2023-06-30
Model row: Model!151 Accumulated Other Comprehensive Income (AOCI)
Mapping type: direct
Concepts used: AccumulatedOtherComprehensiveIncomeLossNetOfTax = -3680 mm
Unit conversion: raw USD to $mm
Sign: copied using model sign convention
Confidence: high
Value written: -3680</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
EDGAR Mapper:
EDGAR mapping:
Source: 10-Q, accession #0001018724-23-000018, filed 2023-10-27
Period: 3Q23 / period ended 2023-09-30
Model row: Model!151 Accumulated Other Comprehensive Income (AOCI)
Mapping type: direct
Concepts used: AccumulatedOtherComprehensiveIncomeLossNetOfTax = -5003 mm
Unit conversion: raw USD to $mm
Sign: copied using model sign convention
Confidence: high
Value written: -5003</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
EDGAR Mapper:
EDGAR mapping:
Source: 10-K, accession #0001018724-25-000004, filed 2025-02-07
Period: 4Q23 / period ended 2023-12-31
Model row: Model!151 Accumulated Other Comprehensive Income (AOCI)
Mapping type: direct
Concepts used: AccumulatedOtherComprehensiveIncomeLossNetOfTax = -3040 mm
Unit conversion: raw USD to $mm
Sign: copied using model sign convention
Confidence: high
Value written: -3040</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
EDGAR Mapper:
EDGAR mapping:
Source: 10-Q, accession #0001018724-24-000083, filed 2024-05-01
Period: 1Q24 / period ended 2024-03-31
Model row: Model!151 Accumulated Other Comprehensive Income (AOCI)
Mapping type: direct
Concepts used: AccumulatedOtherComprehensiveIncomeLossNetOfTax = -3598 mm
Unit conversion: raw USD to $mm
Sign: copied using model sign convention
Confidence: high
Value written: -3598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
EDGAR Mapper:
EDGAR mapping:
Source: 10-Q, accession #0001018724-24-000130, filed 2024-08-02
Period: 2Q24 / period ended 2024-06-30
Model row: Model!151 Accumulated Other Comprehensive Income (AOCI)
Mapping type: direct
Concepts used: AccumulatedOtherComprehensiveIncomeLossNetOfTax = -3993 mm
Unit conversion: raw USD to $mm
Sign: copied using model sign convention
Confidence: high
Value written: -3993</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
EDGAR Mapper:
EDGAR mapping:
Source: 10-Q, accession #0001018724-24-000161, filed 2024-11-01
Period: 3Q24 / period ended 2024-09-30
Model row: Model!151 Accumulated Other Comprehensive Income (AOCI)
Mapping type: direct
Concepts used: AccumulatedOtherComprehensiveIncomeLossNetOfTax = -1918 mm
Unit conversion: raw USD to $mm
Sign: copied using model sign convention
Confidence: high
Value written: -1918</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
EDGAR Mapper:
EDGAR mapping:
Source: 10-K, accession #0001018724-26-000004, filed 2026-02-06
Period: 4Q24 / period ended 2024-12-31
Model row: Model!151 Accumulated Other Comprehensive Income (AOCI)
Mapping type: direct
Concepts used: AccumulatedOtherComprehensiveIncomeLossNetOfTax = -34 mm
Unit conversion: raw USD to $mm
Sign: copied using model sign convention
Confidence: high
Value written: -34</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
EDGAR Mapper:
EDGAR mapping:
Source: 10-Q, accession #0001018724-25-000036, filed 2025-05-02
Period: 1Q25 / period ended 2025-03-31
Model row: Model!151 Accumulated Other Comprehensive Income (AOCI)
Mapping type: direct
Concepts used: AccumulatedOtherComprehensiveIncomeLossNetOfTax = -914 mm
Unit conversion: raw USD to $mm
Sign: copied using model sign convention
Confidence: high
Value written: -914</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
EDGAR Mapper:
EDGAR mapping:
Source: 10-Q, accession #0001018724-25-000086, filed 2025-08-01
Period: 2Q25 / period ended 2025-06-30
Model row: Model!151 Accumulated Other Comprehensive Income (AOCI)
Mapping type: direct
Concepts used: AccumulatedOtherComprehensiveIncomeLossNetOfTax = 2420 mm
Unit conversion: raw USD to $mm
Sign: copied using model sign convention
Confidence: high
Value written: 2420</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
EDGAR Mapper:
EDGAR mapping:
Source: 10-Q, accession #0001018724-25-000123, filed 2025-10-31
Period: 3Q25 / period ended 2025-09-30
Model row: Model!151 Accumulated Other Comprehensive Income (AOCI)
Mapping type: direct
Concepts used: AccumulatedOtherComprehensiveIncomeLossNetOfTax = 12333 mm
Unit conversion: raw USD to $mm
Sign: copied using model sign convention
Confidence: high
Value written: 12333</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
EDGAR Mapper:
EDGAR mapping:
Source: 10-K, accession #0001018724-26-000004, filed 2026-02-06
Period: 4Q25 / period ended 2025-12-31
Model row: Model!151 Accumulated Other Comprehensive Income (AOCI)
Mapping type: direct
Concepts used: AccumulatedOtherComprehensiveIncomeLossNetOfTax = 28230 mm
Unit conversion: raw USD to $mm
Sign: copied using model sign convention
Confidence: high
Value written: 28230</t>
        </r>
      </text>
    </comment>
    <comment ref="C154" authorId="0">
      <text>
        <r>
          <rPr>
            <b/>
          </rPr>
          <t xml:space="preserve">EDGAR Mapper:
</t>
        </r>
        <r>
          <t>Needs review: one or more historical periods were left unchanged because no matching EDGAR fact was found.</t>
        </r>
      </text>
    </comment>
    <comment ref="F154" authorId="0">
      <text>
        <r>
          <rPr>
            <b/>
            <family val="2"/>
            <sz val="11"/>
            <rFont val="Calibri"/>
          </rPr>
          <t xml:space="preserve">EDGAR Mapper:
</t>
        </r>
        <r>
          <rPr>
            <color theme="1"/>
            <family val="2"/>
            <scheme val="minor"/>
            <sz val="11"/>
            <rFont val="Calibri"/>
          </rP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family val="2"/>
            <sz val="11"/>
            <rFont val="Calibri"/>
          </rPr>
          <t xml:space="preserve">EDGAR Mapper:
</t>
        </r>
        <r>
          <rPr>
            <color theme="1"/>
            <family val="2"/>
            <scheme val="minor"/>
            <sz val="11"/>
            <rFont val="Calibri"/>
          </rP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family val="2"/>
            <sz val="11"/>
            <rFont val="Calibri"/>
          </rPr>
          <t xml:space="preserve">EDGAR Mapper:
</t>
        </r>
        <r>
          <rPr>
            <color theme="1"/>
            <family val="2"/>
            <scheme val="minor"/>
            <sz val="11"/>
            <rFont val="Calibri"/>
          </rP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family val="2"/>
            <sz val="11"/>
            <rFont val="Calibri"/>
          </rPr>
          <t xml:space="preserve">EDGAR Mapper:
</t>
        </r>
        <r>
          <rPr>
            <color theme="1"/>
            <family val="2"/>
            <scheme val="minor"/>
            <sz val="11"/>
            <rFont val="Calibri"/>
          </rP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family val="2"/>
            <sz val="11"/>
            <rFont val="Calibri"/>
          </rPr>
          <t xml:space="preserve">EDGAR Mapper:
</t>
        </r>
        <r>
          <rPr>
            <color theme="1"/>
            <family val="2"/>
            <scheme val="minor"/>
            <sz val="11"/>
            <rFont val="Calibri"/>
          </rP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family val="2"/>
            <sz val="11"/>
            <rFont val="Calibri"/>
          </rPr>
          <t xml:space="preserve">EDGAR Mapper:
</t>
        </r>
        <r>
          <rPr>
            <color theme="1"/>
            <family val="2"/>
            <scheme val="minor"/>
            <sz val="11"/>
            <rFont val="Calibri"/>
          </rP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family val="2"/>
            <sz val="11"/>
            <rFont val="Calibri"/>
          </rPr>
          <t xml:space="preserve">EDGAR Mapper:
</t>
        </r>
        <r>
          <rPr>
            <color theme="1"/>
            <family val="2"/>
            <scheme val="minor"/>
            <sz val="11"/>
            <rFont val="Calibri"/>
          </rP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family val="2"/>
            <sz val="11"/>
            <rFont val="Calibri"/>
          </rPr>
          <t xml:space="preserve">EDGAR Mapper:
</t>
        </r>
        <r>
          <rPr>
            <color theme="1"/>
            <family val="2"/>
            <scheme val="minor"/>
            <sz val="11"/>
            <rFont val="Calibri"/>
          </rP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
EDGAR Mapper:
Needs review: PP&amp;E schedule capex is a roll-forward input and was not overwritten with generic cash-flow capex.
EDGAR Mapper:
Left blank: no schedule-specific EDGAR fact was found for this PP&amp;E / Depreciation Schedule bridge row. Generic cash-flow capex, consolidated D&amp;A, and acquisition cash-flow concepts are not used here.</t>
        </r>
      </text>
    </comment>
    <comment ref="C197" authorId="0">
      <text>
        <r>
          <rPr>
            <b/>
          </rPr>
          <t xml:space="preserve">EDGAR Mapper:
</t>
        </r>
        <r>
          <t xml:space="preserve">Needs review: PP&amp;E depreciation is a roll-forward input and was not overwritten with consolidated depreciation and amortization.
EDGAR Mapper:
Needs review: PP&amp;E depreciation is a roll-forward input and was not overwritten with consolidated depreciation and amortization.
EDGAR Mapper:
Left blank: no schedule-specific EDGAR fact was found for this PP&amp;E / Depreciation Schedule bridge row. Generic cash-flow capex, consolidated D&amp;A, and acquisition cash-flow concepts are not used here.</t>
        </r>
      </text>
    </comment>
    <comment ref="C198" authorId="0">
      <text>
        <r>
          <rPr>
            <b/>
          </rPr>
          <t xml:space="preserve">EDGAR Mapper:
</t>
        </r>
        <r>
          <t xml:space="preserve">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EDGAR Mapper: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
EDGAR Mapper:
Needs review: PP&amp;E schedule acquisition/divestment is a roll-forward input and was not overwritten with generic acquisition cash-flow concepts.
EDGAR Mapper:
Left blank: no schedule-specific EDGAR fact was found for this PP&amp;E / Depreciation Schedule bridge row. Generic cash-flow capex, consolidated D&amp;A, and acquisition cash-flow concepts are not used here.</t>
        </r>
      </text>
    </comment>
    <comment ref="F198" authorId="0">
      <text>
        <r>
          <rPr>
            <b/>
            <family val="2"/>
            <sz val="11"/>
            <rFont val="Calibri"/>
          </rPr>
          <t xml:space="preserve">EDGAR Mapper:
</t>
        </r>
        <r>
          <rPr>
            <color theme="1"/>
            <family val="2"/>
            <scheme val="minor"/>
            <sz val="11"/>
            <rFont val="Calibri"/>
          </rP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family val="2"/>
            <sz val="11"/>
            <rFont val="Calibri"/>
          </rPr>
          <t xml:space="preserve">EDGAR Mapper:
</t>
        </r>
        <r>
          <rPr>
            <color theme="1"/>
            <family val="2"/>
            <scheme val="minor"/>
            <sz val="11"/>
            <rFont val="Calibri"/>
          </rP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21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4" authorId="0">
      <text>
        <r>
          <rPr>
            <b/>
          </rPr>
          <t xml:space="preserve">EDGAR Mapper:
</t>
        </r>
        <r>
          <t xml:space="preserve">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
EDGAR Mapper:
Needs review: share repurchase assumptions were preserved because EDGAR cash-flow repurchase payments may differ from the model's repurchase-price/share-count schedule.
EDGAR Mapper:
Needs review: share repurchase assumptions were preserved because EDGAR cash-flow repurchase payments may differ from the model's repurchase-price/share-count schedule.</t>
        </r>
      </text>
    </comment>
    <comment ref="C248"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9" authorId="0">
      <text>
        <r>
          <rPr>
            <b/>
          </rPr>
          <t xml:space="preserve">EDGAR Mapper:
</t>
        </r>
        <r>
          <t xml:space="preserve">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2Q23, 3Q23. Quarterly value was derived from Share-based Payment Arrangement, Noncash Expense less 1Q24, 2Q24, 3Q24.</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
EDGAR Mapper:
EDGAR mapping:
Source: 10-Q, accession #0001018724-24-000083, filed 2024-05-01
Period: 1Q23 / period ended 2023-03-31
Model row: Model!249 Stock-Based Comp Expense
Mapping type: direct
Concepts used: ShareBasedCompensation = 4748 mm
Unit conversion: raw USD to $mm
Sign: copied using model sign convention
Confidence: high
Value written: 4748</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
EDGAR Mapper:
EDGAR mapping:
Source: 10-Q, accession #0001018724-24-000130, filed 2024-08-02
Period: 2Q23 / period ended 2023-06-30
Model row: Model!249 Stock-Based Comp Expense
Mapping type: direct
Concepts used: ShareBasedCompensation = 7127 mm
Unit conversion: raw USD to $mm
Sign: copied using model sign convention
Confidence: high
Value written: 7127</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
EDGAR Mapper:
EDGAR mapping:
Source: 10-Q, accession #0001018724-24-000161, filed 2024-11-01
Period: 3Q23 / period ended 2023-09-30
Model row: Model!249 Stock-Based Comp Expense
Mapping type: direct
Concepts used: ShareBasedCompensation = 5829 mm
Unit conversion: raw USD to $mm
Sign: copied using model sign convention
Confidence: high
Value written: 5829</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
EDGAR Mapper:
EDGAR mapping:
Source: SEC filing
Period: 4Q23
Model row: Model!249 Stock-Based Comp Expense
Mapping type: direct
Concepts used: ShareBasedCompensation = 713 mm
Unit conversion: raw USD to $mm
Sign: copied using model sign convention
Confidence: high
Value written: 713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
EDGAR Mapper:
EDGAR mapping:
Source: 10-Q, accession #0001018724-25-000036, filed 2025-05-02
Period: 1Q24 / period ended 2024-03-31
Model row: Model!249 Stock-Based Comp Expense
Mapping type: direct
Concepts used: ShareBasedCompensation = 4961 mm
Unit conversion: raw USD to $mm
Sign: copied using model sign convention
Confidence: high
Value written: 4961</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
EDGAR Mapper:
EDGAR mapping:
Source: 10-Q, accession #0001018724-25-000086, filed 2025-08-01
Period: 2Q24 / period ended 2024-06-30
Model row: Model!249 Stock-Based Comp Expense
Mapping type: direct
Concepts used: ShareBasedCompensation = 6722 mm
Unit conversion: raw USD to $mm
Sign: copied using model sign convention
Confidence: high
Value written: 6722</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
EDGAR Mapper:
EDGAR mapping:
Source: 10-Q, accession #0001018724-25-000123, filed 2025-10-31
Period: 3Q24 / period ended 2024-09-30
Model row: Model!249 Stock-Based Comp Expense
Mapping type: direct
Concepts used: ShareBasedCompensation = 5333 mm
Unit conversion: raw USD to $mm
Sign: copied using model sign convention
Confidence: high
Value written: 5333</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
EDGAR Mapper:
EDGAR mapping:
Source: SEC filing
Period: 4Q24
Model row: Model!249 Stock-Based Comp Expense
Mapping type: direct
Concepts used: ShareBasedCompensation = -1324 mm
Unit conversion: raw USD to $mm
Sign: copied using model sign convention
Confidence: high
Value written: -1324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
EDGAR Mapper:
EDGAR mapping:
Source: 10-Q, accession #0001018724-26-000014, filed 2026-04-30
Period: 1Q25 / period ended 2025-03-31
Model row: Model!249 Stock-Based Comp Expense
Mapping type: direct
Concepts used: ShareBasedCompensation = 3689 mm
Unit conversion: raw USD to $mm
Sign: copied using model sign convention
Confidence: high
Value written: 3689</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
EDGAR Mapper:
EDGAR mapping:
Source: 10-Q, accession #0001018724-25-000086, filed 2025-08-01
Period: 2Q25 / period ended 2025-06-30
Model row: Model!249 Stock-Based Comp Expense
Mapping type: direct
Concepts used: ShareBasedCompensation = 6534 mm
Unit conversion: raw USD to $mm
Sign: copied using model sign convention
Confidence: high
Value written: 6534</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
EDGAR Mapper:
EDGAR mapping:
Source: 10-Q, accession #0001018724-25-000123, filed 2025-10-31
Period: 3Q25 / period ended 2025-09-30
Model row: Model!249 Stock-Based Comp Expense
Mapping type: direct
Concepts used: ShareBasedCompensation = 4847 mm
Unit conversion: raw USD to $mm
Sign: copied using model sign convention
Confidence: high
Value written: 4847</t>
        </r>
      </text>
    </comment>
    <comment ref="F254" authorId="0">
      <text>
        <r>
          <rPr>
            <b/>
          </rPr>
          <t xml:space="preserve">EDGAR Mapper:
</t>
        </r>
        <r>
          <t xml:space="preserve">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
EDGAR Mapper:
EDGAR mapping:
Source: 10-Q, accession #0001018724-23-000008, filed 2023-04-28
Period: 1Q23 / period ended 2023-03-31
Model row: Model!254 Retained Earnings
Mapping type: direct
Concepts used: RetainedEarningsAccumulatedDeficit = 86365 mm
Unit conversion: raw USD to $mm
Sign: copied using model sign convention
Confidence: high
Value written: 86365</t>
        </r>
      </text>
    </comment>
    <comment ref="G254" authorId="0">
      <text>
        <r>
          <rPr>
            <b/>
          </rPr>
          <t xml:space="preserve">EDGAR Mapper:
</t>
        </r>
        <r>
          <t xml:space="preserve">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
EDGAR Mapper:
EDGAR mapping:
Source: 10-Q, accession #0001018724-23-000012, filed 2023-08-04
Period: 2Q23 / period ended 2023-06-30
Model row: Model!254 Retained Earnings
Mapping type: direct
Concepts used: RetainedEarningsAccumulatedDeficit = 93115 mm
Unit conversion: raw USD to $mm
Sign: copied using model sign convention
Confidence: high
Value written: 93115</t>
        </r>
      </text>
    </comment>
    <comment ref="H254" authorId="0">
      <text>
        <r>
          <rPr>
            <b/>
          </rPr>
          <t xml:space="preserve">EDGAR Mapper:
</t>
        </r>
        <r>
          <t xml:space="preserve">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
EDGAR Mapper:
EDGAR mapping:
Source: 10-Q, accession #0001018724-23-000018, filed 2023-10-27
Period: 3Q23 / period ended 2023-09-30
Model row: Model!254 Retained Earnings
Mapping type: direct
Concepts used: RetainedEarningsAccumulatedDeficit = 102994 mm
Unit conversion: raw USD to $mm
Sign: copied using model sign convention
Confidence: high
Value written: 102994</t>
        </r>
      </text>
    </comment>
    <comment ref="I254" authorId="0">
      <text>
        <r>
          <rPr>
            <b/>
          </rPr>
          <t xml:space="preserve">EDGAR Mapper:
</t>
        </r>
        <r>
          <t xml:space="preserve">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
EDGAR Mapper:
EDGAR mapping:
Source: 10-K, accession #0001018724-25-000004, filed 2025-02-07
Period: 4Q23 / period ended 2023-12-31
Model row: Model!254 Retained Earnings
Mapping type: direct
Concepts used: RetainedEarningsAccumulatedDeficit = 113618 mm
Unit conversion: raw USD to $mm
Sign: copied using model sign convention
Confidence: high
Value written: 113618</t>
        </r>
      </text>
    </comment>
    <comment ref="K254" authorId="0">
      <text>
        <r>
          <rPr>
            <b/>
          </rPr>
          <t xml:space="preserve">EDGAR Mapper:
</t>
        </r>
        <r>
          <t xml:space="preserve">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
EDGAR Mapper:
EDGAR mapping:
Source: 10-Q, accession #0001018724-24-000083, filed 2024-05-01
Period: 1Q24 / period ended 2024-03-31
Model row: Model!254 Retained Earnings
Mapping type: direct
Concepts used: RetainedEarningsAccumulatedDeficit = 124049 mm
Unit conversion: raw USD to $mm
Sign: copied using model sign convention
Confidence: high
Value written: 124049</t>
        </r>
      </text>
    </comment>
    <comment ref="L254" authorId="0">
      <text>
        <r>
          <rPr>
            <b/>
          </rPr>
          <t xml:space="preserve">EDGAR Mapper:
</t>
        </r>
        <r>
          <t xml:space="preserve">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
EDGAR Mapper:
EDGAR mapping:
Source: 10-Q, accession #0001018724-24-000130, filed 2024-08-02
Period: 2Q24 / period ended 2024-06-30
Model row: Model!254 Retained Earnings
Mapping type: direct
Concepts used: RetainedEarningsAccumulatedDeficit = 137534 mm
Unit conversion: raw USD to $mm
Sign: copied using model sign convention
Confidence: high
Value written: 137534</t>
        </r>
      </text>
    </comment>
    <comment ref="M254" authorId="0">
      <text>
        <r>
          <rPr>
            <b/>
          </rPr>
          <t xml:space="preserve">EDGAR Mapper:
</t>
        </r>
        <r>
          <t xml:space="preserve">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
EDGAR Mapper:
EDGAR mapping:
Source: 10-Q, accession #0001018724-24-000161, filed 2024-11-01
Period: 3Q24 / period ended 2024-09-30
Model row: Model!254 Retained Earnings
Mapping type: direct
Concepts used: RetainedEarningsAccumulatedDeficit = 152862 mm
Unit conversion: raw USD to $mm
Sign: copied using model sign convention
Confidence: high
Value written: 152862</t>
        </r>
      </text>
    </comment>
    <comment ref="N254" authorId="0">
      <text>
        <r>
          <rPr>
            <b/>
          </rPr>
          <t xml:space="preserve">EDGAR Mapper:
</t>
        </r>
        <r>
          <t xml:space="preserve">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
EDGAR Mapper:
EDGAR mapping:
Source: 10-K, accession #0001018724-26-000004, filed 2026-02-06
Period: 4Q24 / period ended 2024-12-31
Model row: Model!254 Retained Earnings
Mapping type: direct
Concepts used: RetainedEarningsAccumulatedDeficit = 172866 mm
Unit conversion: raw USD to $mm
Sign: copied using model sign convention
Confidence: high
Value written: 172866</t>
        </r>
      </text>
    </comment>
    <comment ref="P254" authorId="0">
      <text>
        <r>
          <rPr>
            <b/>
          </rPr>
          <t xml:space="preserve">EDGAR Mapper:
</t>
        </r>
        <r>
          <t xml:space="preserve">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
EDGAR Mapper:
EDGAR mapping:
Source: 10-Q, accession #0001018724-25-000036, filed 2025-05-02
Period: 1Q25 / period ended 2025-03-31
Model row: Model!254 Retained Earnings
Mapping type: direct
Concepts used: RetainedEarningsAccumulatedDeficit = 189993 mm
Unit conversion: raw USD to $mm
Sign: copied using model sign convention
Confidence: high
Value written: 189993</t>
        </r>
      </text>
    </comment>
    <comment ref="Q254" authorId="0">
      <text>
        <r>
          <rPr>
            <b/>
          </rPr>
          <t xml:space="preserve">EDGAR Mapper:
</t>
        </r>
        <r>
          <t xml:space="preserve">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
EDGAR Mapper:
EDGAR mapping:
Source: 10-Q, accession #0001018724-25-000086, filed 2025-08-01
Period: 2Q25 / period ended 2025-06-30
Model row: Model!254 Retained Earnings
Mapping type: direct
Concepts used: RetainedEarningsAccumulatedDeficit = 208157 mm
Unit conversion: raw USD to $mm
Sign: copied using model sign convention
Confidence: high
Value written: 208157</t>
        </r>
      </text>
    </comment>
    <comment ref="R254" authorId="0">
      <text>
        <r>
          <rPr>
            <b/>
          </rPr>
          <t xml:space="preserve">EDGAR Mapper:
</t>
        </r>
        <r>
          <t xml:space="preserve">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
EDGAR Mapper:
EDGAR mapping:
Source: 10-Q, accession #0001018724-25-000123, filed 2025-10-31
Period: 3Q25 / period ended 2025-09-30
Model row: Model!254 Retained Earnings
Mapping type: direct
Concepts used: RetainedEarningsAccumulatedDeficit = 229344 mm
Unit conversion: raw USD to $mm
Sign: copied using model sign convention
Confidence: high
Value written: 229344</t>
        </r>
      </text>
    </comment>
    <comment ref="S254" authorId="0">
      <text>
        <r>
          <rPr>
            <b/>
          </rPr>
          <t xml:space="preserve">EDGAR Mapper:
</t>
        </r>
        <r>
          <t xml:space="preserve">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
EDGAR Mapper:
EDGAR mapping:
Source: 10-K, accession #0001018724-26-000004, filed 2026-02-06
Period: 4Q25 / period ended 2025-12-31
Model row: Model!254 Retained Earnings
Mapping type: direct
Concepts used: RetainedEarningsAccumulatedDeficit = 250536 mm
Unit conversion: raw USD to $mm
Sign: copied using model sign convention
Confidence: high
Value written: 250536</t>
        </r>
      </text>
    </comment>
    <comment ref="C257" authorId="0">
      <text>
        <r>
          <rPr>
            <b/>
          </rPr>
          <t xml:space="preserve">EDGAR Mapper:
</t>
        </r>
        <r>
          <t>Needs review: one or more historical periods were left unchanged because no matching EDGAR fact was found.</t>
        </r>
      </text>
    </comment>
    <comment ref="F257" authorId="0">
      <text>
        <r>
          <rPr>
            <b/>
            <family val="2"/>
            <sz val="11"/>
            <rFont val="Calibri"/>
          </rPr>
          <t xml:space="preserve">EDGAR Mapper:
</t>
        </r>
        <r>
          <rPr>
            <color theme="1"/>
            <family val="2"/>
            <scheme val="minor"/>
            <sz val="11"/>
            <rFont val="Calibri"/>
          </rP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1"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3"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5" authorId="0">
      <text>
        <r>
          <rPr>
            <b/>
            <color rgb="FF000000"/>
            <family val="2"/>
            <sz val="11"/>
            <rFont val="Calibri"/>
          </rPr>
          <t xml:space="preserve">EDGAR Mapper:
</t>
        </r>
        <r>
          <rPr>
            <color rgb="FF000000"/>
            <family val="2"/>
            <sz val="11"/>
            <rFont val="Calibri"/>
          </rPr>
          <t>Needs review: shares outstanding schedule rows use the model's actual share roll-forward and were not overwritten with generic weighted-average share facts.</t>
        </r>
      </text>
    </comment>
    <comment ref="C287" authorId="0">
      <text>
        <r>
          <rPr>
            <b/>
          </rPr>
          <t xml:space="preserve">EDGAR Mapper:
</t>
        </r>
        <r>
          <t xml:space="preserve">Needs review: shares outstanding schedule rows use the model's actual share roll-forward and were not overwritten with generic weighted-average share facts.
EDGAR Mapper:
Needs review: shares outstanding schedule rows use the model's actual share roll-forward and were not overwritten with generic weighted-average share facts.</t>
        </r>
      </text>
    </comment>
    <comment ref="C293" authorId="0">
      <text>
        <r>
          <rPr>
            <b/>
          </rPr>
          <t xml:space="preserve">EDGAR Mapper:
</t>
        </r>
        <r>
          <t xml:space="preserve">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Needs review: one or more historical periods were left unchanged because no matching EDGAR fact was found.</t>
        </r>
      </text>
    </comment>
    <comment ref="F293" authorId="0">
      <text>
        <r>
          <rPr>
            <b/>
            <color rgb="FF000000"/>
            <family val="2"/>
            <sz val="11"/>
            <rFont val="Calibri"/>
          </rPr>
          <t xml:space="preserve">EDGAR Mapper:
</t>
        </r>
        <r>
          <rPr>
            <color rgb="FF000000"/>
            <family val="2"/>
            <sz val="11"/>
            <rFont val="Calibri"/>
          </rPr>
          <t xml:space="preserve">EDGAR mapping:
</t>
        </r>
        <r>
          <rPr>
            <color rgb="FF000000"/>
            <family val="2"/>
            <sz val="11"/>
            <rFont val="Calibri"/>
          </rPr>
          <t xml:space="preserve">Source: 10-Q, accession #0000096223-24-000015, filed 2024-04-05
</t>
        </r>
        <r>
          <rPr>
            <color rgb="FF000000"/>
            <family val="2"/>
            <sz val="11"/>
            <rFont val="Calibri"/>
          </rPr>
          <t xml:space="preserve">Period: 1Q23 / period ended 2023-02-28
</t>
        </r>
        <r>
          <rPr>
            <color rgb="FF000000"/>
            <family val="2"/>
            <sz val="11"/>
            <rFont val="Calibri"/>
          </rPr>
          <t xml:space="preserve">Model row: Model!293 Dividends
</t>
        </r>
        <r>
          <rPr>
            <color rgb="FF000000"/>
            <family val="2"/>
            <sz val="11"/>
            <rFont val="Calibri"/>
          </rPr>
          <t xml:space="preserve">Mapping type: direct
</t>
        </r>
        <r>
          <rPr>
            <color rgb="FF000000"/>
            <family val="2"/>
            <sz val="11"/>
            <rFont val="Calibri"/>
          </rPr>
          <t xml:space="preserve">Concepts used: PaymentsOfDividendsCommonStock = 68.8 mm
</t>
        </r>
        <r>
          <rPr>
            <color rgb="FF000000"/>
            <family val="2"/>
            <sz val="11"/>
            <rFont val="Calibri"/>
          </rPr>
          <t xml:space="preserve">Unit conversion: raw USD to $mm
</t>
        </r>
        <r>
          <rPr>
            <color rgb="FF000000"/>
            <family val="2"/>
            <sz val="11"/>
            <rFont val="Calibri"/>
          </rPr>
          <t xml:space="preserve">Sign: inverted because model expects this row as negative
</t>
        </r>
        <r>
          <rPr>
            <color rgb="FF000000"/>
            <family val="2"/>
            <sz val="11"/>
            <rFont val="Calibri"/>
          </rPr>
          <t xml:space="preserve">Confidence: high
</t>
        </r>
        <r>
          <rPr>
            <color rgb="FF000000"/>
            <family val="2"/>
            <sz val="11"/>
            <rFont val="Calibri"/>
          </rPr>
          <t>Value written: -68.769</t>
        </r>
      </text>
    </comment>
    <comment ref="G293" authorId="0">
      <text>
        <r>
          <rPr>
            <b/>
            <color rgb="FF000000"/>
            <family val="2"/>
            <sz val="11"/>
            <rFont val="Calibri"/>
          </rPr>
          <t xml:space="preserve">EDGAR Mapper:
</t>
        </r>
        <r>
          <rPr>
            <color rgb="FF000000"/>
            <family val="2"/>
            <sz val="11"/>
            <rFont val="Calibri"/>
          </rPr>
          <t xml:space="preserve">EDGAR mapping:
</t>
        </r>
        <r>
          <rPr>
            <color rgb="FF000000"/>
            <family val="2"/>
            <sz val="11"/>
            <rFont val="Calibri"/>
          </rPr>
          <t xml:space="preserve">Source: 10-Q, accession #0000096223-24-000024, filed 2024-07-09
</t>
        </r>
        <r>
          <rPr>
            <color rgb="FF000000"/>
            <family val="2"/>
            <sz val="11"/>
            <rFont val="Calibri"/>
          </rPr>
          <t xml:space="preserve">Period: 2Q23 / period ended 2023-05-31
</t>
        </r>
        <r>
          <rPr>
            <color rgb="FF000000"/>
            <family val="2"/>
            <sz val="11"/>
            <rFont val="Calibri"/>
          </rPr>
          <t xml:space="preserve">Model row: Model!293 Dividends
</t>
        </r>
        <r>
          <rPr>
            <color rgb="FF000000"/>
            <family val="2"/>
            <sz val="11"/>
            <rFont val="Calibri"/>
          </rPr>
          <t xml:space="preserve">Mapping type: direct
</t>
        </r>
        <r>
          <rPr>
            <color rgb="FF000000"/>
            <family val="2"/>
            <sz val="11"/>
            <rFont val="Calibri"/>
          </rPr>
          <t xml:space="preserve">Concepts used: PaymentsOfDividendsCommonStock = 69.9 mm
</t>
        </r>
        <r>
          <rPr>
            <color rgb="FF000000"/>
            <family val="2"/>
            <sz val="11"/>
            <rFont val="Calibri"/>
          </rPr>
          <t xml:space="preserve">Unit conversion: raw USD to $mm
</t>
        </r>
        <r>
          <rPr>
            <color rgb="FF000000"/>
            <family val="2"/>
            <sz val="11"/>
            <rFont val="Calibri"/>
          </rPr>
          <t xml:space="preserve">Sign: inverted because model expects this row as negative
</t>
        </r>
        <r>
          <rPr>
            <color rgb="FF000000"/>
            <family val="2"/>
            <sz val="11"/>
            <rFont val="Calibri"/>
          </rPr>
          <t xml:space="preserve">Confidence: high
</t>
        </r>
        <r>
          <rPr>
            <color rgb="FF000000"/>
            <family val="2"/>
            <sz val="11"/>
            <rFont val="Calibri"/>
          </rPr>
          <t xml:space="preserve">Value written: -69.929
</t>
        </r>
        <r>
          <rPr>
            <color rgb="FF000000"/>
            <family val="2"/>
            <sz val="11"/>
            <rFont val="Calibri"/>
          </rPr>
          <t>Notes: Quarterly value was derived from Payments of Ordinary Dividends, Common Stock less 1Q23.</t>
        </r>
      </text>
    </comment>
    <comment ref="H293" authorId="0">
      <text>
        <r>
          <rPr>
            <b/>
            <family val="2"/>
            <sz val="11"/>
            <rFont val="Calibri"/>
          </rPr>
          <t xml:space="preserve">EDGAR Mapper:
</t>
        </r>
        <r>
          <rPr>
            <color theme="1"/>
            <family val="2"/>
            <scheme val="minor"/>
            <sz val="11"/>
            <rFont val="Calibri"/>
          </rPr>
          <t xml:space="preserve">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93" authorId="0">
      <text>
        <r>
          <rPr>
            <b/>
            <family val="2"/>
            <sz val="11"/>
            <rFont val="Calibri"/>
          </rPr>
          <t xml:space="preserve">EDGAR Mapper:
</t>
        </r>
        <r>
          <rPr>
            <color theme="1"/>
            <family val="2"/>
            <scheme val="minor"/>
            <sz val="11"/>
            <rFont val="Calibri"/>
          </rPr>
          <t xml:space="preserve">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93" authorId="0">
      <text>
        <r>
          <rPr>
            <b/>
            <family val="2"/>
            <sz val="11"/>
            <rFont val="Calibri"/>
          </rPr>
          <t xml:space="preserve">EDGAR Mapper:
</t>
        </r>
        <r>
          <rPr>
            <color theme="1"/>
            <family val="2"/>
            <scheme val="minor"/>
            <sz val="11"/>
            <rFont val="Calibri"/>
          </rPr>
          <t xml:space="preserve">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t>
        </r>
      </text>
    </comment>
    <comment ref="L293" authorId="0">
      <text>
        <r>
          <rPr>
            <b/>
            <family val="2"/>
            <sz val="11"/>
            <rFont val="Calibri"/>
          </rPr>
          <t xml:space="preserve">EDGAR Mapper:
</t>
        </r>
        <r>
          <rPr>
            <color theme="1"/>
            <family val="2"/>
            <scheme val="minor"/>
            <sz val="11"/>
            <rFont val="Calibri"/>
          </rPr>
          <t xml:space="preserve">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93" authorId="0">
      <text>
        <r>
          <rPr>
            <b/>
            <family val="2"/>
            <sz val="11"/>
            <rFont val="Calibri"/>
          </rPr>
          <t xml:space="preserve">EDGAR Mapper:
</t>
        </r>
        <r>
          <rPr>
            <color theme="1"/>
            <family val="2"/>
            <scheme val="minor"/>
            <sz val="11"/>
            <rFont val="Calibri"/>
          </rPr>
          <t xml:space="preserve">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93" authorId="0">
      <text>
        <r>
          <rPr>
            <b/>
            <family val="2"/>
            <sz val="11"/>
            <rFont val="Calibri"/>
          </rPr>
          <t xml:space="preserve">EDGAR Mapper:
</t>
        </r>
        <r>
          <rPr>
            <color theme="1"/>
            <family val="2"/>
            <scheme val="minor"/>
            <sz val="11"/>
            <rFont val="Calibri"/>
          </rPr>
          <t xml:space="preserve">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93" authorId="0">
      <text>
        <r>
          <rPr>
            <b/>
            <family val="2"/>
            <sz val="11"/>
            <rFont val="Calibri"/>
          </rPr>
          <t xml:space="preserve">EDGAR Mapper:
</t>
        </r>
        <r>
          <rPr>
            <color theme="1"/>
            <family val="2"/>
            <scheme val="minor"/>
            <sz val="11"/>
            <rFont val="Calibri"/>
          </rPr>
          <t xml:space="preserve">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t>
        </r>
      </text>
    </comment>
    <comment ref="Q293"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93"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93" authorId="0">
      <text>
        <r>
          <rPr>
            <b/>
            <family val="2"/>
            <sz val="11"/>
            <rFont val="Calibri"/>
          </rPr>
          <t xml:space="preserve">EDGAR Mapper:
</t>
        </r>
        <r>
          <rPr>
            <color theme="1"/>
            <family val="2"/>
            <scheme val="minor"/>
            <sz val="11"/>
            <rFont val="Calibri"/>
          </rPr>
          <t xml:space="preserve">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F295" authorId="0">
      <text>
        <r>
          <rPr>
            <b/>
          </rPr>
          <t xml:space="preserve">EDGAR Mapper:
</t>
        </r>
        <r>
          <t xml:space="preserve">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
EDGAR Mapper:
EDGAR mapping:
Source: 10-K, accession #0001018724-24-000008, filed 2024-02-02
Period: 1Q23 / period ended 2022-12-31
Model row: Model!295 Beginning Cash Balance
Mapping type: direct
Concepts used: CashAndCashEquivalentsAtCarryingValue = 53888 mm
Unit conversion: raw USD to $mm
Sign: copied using model sign convention
Confidence: high
Value written: 53888
Notes: Calculated from 4Q22 ending cash and equivalents.</t>
        </r>
      </text>
    </comment>
    <comment ref="G295" authorId="0">
      <text>
        <r>
          <rPr>
            <b/>
          </rPr>
          <t xml:space="preserve">EDGAR Mapper:
</t>
        </r>
        <r>
          <t xml:space="preserve">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
EDGAR Mapper:
EDGAR mapping:
Source: 10-Q, accession #0001018724-23-000008, filed 2023-04-28
Period: 2Q23 / period ended 2023-03-31
Model row: Model!295 Beginning Cash Balance
Mapping type: direct
Concepts used: CashAndCashEquivalentsAtCarryingValue = 49343 mm
Unit conversion: raw USD to $mm
Sign: copied using model sign convention
Confidence: high
Value written: 49343
Notes: Calculated from 1Q23 ending cash and equivalents.</t>
        </r>
      </text>
    </comment>
    <comment ref="H295" authorId="0">
      <text>
        <r>
          <rPr>
            <b/>
          </rPr>
          <t xml:space="preserve">EDGAR Mapper:
</t>
        </r>
        <r>
          <t xml:space="preserve">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
EDGAR Mapper:
EDGAR mapping:
Source: 10-Q, accession #0001018724-23-000012, filed 2023-08-04
Period: 3Q23 / period ended 2023-06-30
Model row: Model!295 Beginning Cash Balance
Mapping type: direct
Concepts used: CashAndCashEquivalentsAtCarryingValue = 49529 mm
Unit conversion: raw USD to $mm
Sign: copied using model sign convention
Confidence: high
Value written: 49529
Notes: Calculated from 2Q23 ending cash and equivalents.</t>
        </r>
      </text>
    </comment>
    <comment ref="I295" authorId="0">
      <text>
        <r>
          <rPr>
            <b/>
          </rPr>
          <t xml:space="preserve">EDGAR Mapper:
</t>
        </r>
        <r>
          <t xml:space="preserve">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
EDGAR Mapper:
EDGAR mapping:
Source: 10-Q, accession #0001018724-23-000018, filed 2023-10-27
Period: 4Q23 / period ended 2023-09-30
Model row: Model!295 Beginning Cash Balance
Mapping type: direct
Concepts used: CashAndCashEquivalentsAtCarryingValue = 49605 mm
Unit conversion: raw USD to $mm
Sign: copied using model sign convention
Confidence: high
Value written: 49605
Notes: Calculated from 3Q23 ending cash and equivalents.</t>
        </r>
      </text>
    </comment>
    <comment ref="K295" authorId="0">
      <text>
        <r>
          <rPr>
            <b/>
          </rPr>
          <t xml:space="preserve">EDGAR Mapper:
</t>
        </r>
        <r>
          <t xml:space="preserve">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
EDGAR Mapper:
EDGAR mapping:
Source: 10-K, accession #0001018724-25-000004, filed 2025-02-07
Period: 1Q24 / period ended 2023-12-31
Model row: Model!295 Beginning Cash Balance
Mapping type: direct
Concepts used: CashAndCashEquivalentsAtCarryingValue = 73387 mm
Unit conversion: raw USD to $mm
Sign: copied using model sign convention
Confidence: high
Value written: 73387
Notes: Calculated from 4Q23 ending cash and equivalents.</t>
        </r>
      </text>
    </comment>
    <comment ref="L295" authorId="0">
      <text>
        <r>
          <rPr>
            <b/>
          </rPr>
          <t xml:space="preserve">EDGAR Mapper:
</t>
        </r>
        <r>
          <t xml:space="preserve">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
EDGAR Mapper:
EDGAR mapping:
Source: 10-Q, accession #0001018724-24-000083, filed 2024-05-01
Period: 2Q24 / period ended 2024-03-31
Model row: Model!295 Beginning Cash Balance
Mapping type: direct
Concepts used: CashAndCashEquivalentsAtCarryingValue = 72852 mm
Unit conversion: raw USD to $mm
Sign: copied using model sign convention
Confidence: high
Value written: 72852
Notes: Calculated from 1Q24 ending cash and equivalents.</t>
        </r>
      </text>
    </comment>
    <comment ref="M295" authorId="0">
      <text>
        <r>
          <rPr>
            <b/>
          </rPr>
          <t xml:space="preserve">EDGAR Mapper:
</t>
        </r>
        <r>
          <t xml:space="preserve">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
EDGAR Mapper:
EDGAR mapping:
Source: 10-Q, accession #0001018724-24-000130, filed 2024-08-02
Period: 3Q24 / period ended 2024-06-30
Model row: Model!295 Beginning Cash Balance
Mapping type: direct
Concepts used: CashAndCashEquivalentsAtCarryingValue = 71178 mm
Unit conversion: raw USD to $mm
Sign: copied using model sign convention
Confidence: high
Value written: 71178
Notes: Calculated from 2Q24 ending cash and equivalents.</t>
        </r>
      </text>
    </comment>
    <comment ref="N295" authorId="0">
      <text>
        <r>
          <rPr>
            <b/>
          </rPr>
          <t xml:space="preserve">EDGAR Mapper:
</t>
        </r>
        <r>
          <t xml:space="preserve">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
EDGAR Mapper:
EDGAR mapping:
Source: 10-Q, accession #0001018724-24-000161, filed 2024-11-01
Period: 4Q24 / period ended 2024-09-30
Model row: Model!295 Beginning Cash Balance
Mapping type: direct
Concepts used: CashAndCashEquivalentsAtCarryingValue = 75091 mm
Unit conversion: raw USD to $mm
Sign: copied using model sign convention
Confidence: high
Value written: 75091
Notes: Calculated from 3Q24 ending cash and equivalents.</t>
        </r>
      </text>
    </comment>
    <comment ref="P295" authorId="0">
      <text>
        <r>
          <rPr>
            <b/>
          </rPr>
          <t xml:space="preserve">EDGAR Mapper:
</t>
        </r>
        <r>
          <t xml:space="preserve">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
EDGAR Mapper:
EDGAR mapping:
Source: 10-K, accession #0001018724-26-000004, filed 2026-02-06
Period: 1Q25 / period ended 2024-12-31
Model row: Model!295 Beginning Cash Balance
Mapping type: direct
Concepts used: CashAndCashEquivalentsAtCarryingValue = 78779 mm
Unit conversion: raw USD to $mm
Sign: copied using model sign convention
Confidence: high
Value written: 78779
Notes: Calculated from 4Q24 ending cash and equivalents.</t>
        </r>
      </text>
    </comment>
    <comment ref="Q295" authorId="0">
      <text>
        <r>
          <rPr>
            <b/>
          </rPr>
          <t xml:space="preserve">EDGAR Mapper:
</t>
        </r>
        <r>
          <t xml:space="preserve">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
EDGAR Mapper:
EDGAR mapping:
Source: 10-Q, accession #0001018724-25-000036, filed 2025-05-02
Period: 2Q25 / period ended 2025-03-31
Model row: Model!295 Beginning Cash Balance
Mapping type: direct
Concepts used: CashAndCashEquivalentsAtCarryingValue = 66207 mm
Unit conversion: raw USD to $mm
Sign: copied using model sign convention
Confidence: high
Value written: 66207
Notes: Calculated from 1Q25 ending cash and equivalents.</t>
        </r>
      </text>
    </comment>
    <comment ref="R295" authorId="0">
      <text>
        <r>
          <rPr>
            <b/>
          </rPr>
          <t xml:space="preserve">EDGAR Mapper:
</t>
        </r>
        <r>
          <t xml:space="preserve">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
EDGAR Mapper:
EDGAR mapping:
Source: 10-Q, accession #0001018724-25-000086, filed 2025-08-01
Period: 3Q25 / period ended 2025-06-30
Model row: Model!295 Beginning Cash Balance
Mapping type: direct
Concepts used: CashAndCashEquivalentsAtCarryingValue = 57741 mm
Unit conversion: raw USD to $mm
Sign: copied using model sign convention
Confidence: high
Value written: 57741
Notes: Calculated from 2Q25 ending cash and equivalents.</t>
        </r>
      </text>
    </comment>
    <comment ref="S295" authorId="0">
      <text>
        <r>
          <rPr>
            <b/>
          </rPr>
          <t xml:space="preserve">EDGAR Mapper:
</t>
        </r>
        <r>
          <t xml:space="preserve">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
EDGAR Mapper:
EDGAR mapping:
Source: 10-Q, accession #0001018724-25-000123, filed 2025-10-31
Period: 4Q25 / period ended 2025-09-30
Model row: Model!295 Beginning Cash Balance
Mapping type: direct
Concepts used: CashAndCashEquivalentsAtCarryingValue = 66922 mm
Unit conversion: raw USD to $mm
Sign: copied using model sign convention
Confidence: high
Value written: 66922
Notes: Calculated from 3Q25 ending cash and equivalents.</t>
        </r>
      </text>
    </comment>
    <comment ref="C298" authorId="0">
      <text>
        <r>
          <rPr>
            <b/>
          </rPr>
          <t xml:space="preserve">EDGAR Mapper:
</t>
        </r>
        <r>
          <t xml:space="preserve">Grouped from EDGAR: Long-term Debt. Grouped from EDGAR: Long Term Debt.
EDGAR Mapper:
Grouped from EDGAR: Long-term Debt. Grouped from EDGAR: Long Term Debt.</t>
        </r>
      </text>
    </comment>
    <comment ref="F298" authorId="0">
      <text>
        <r>
          <rPr>
            <b/>
          </rPr>
          <t xml:space="preserve">EDGAR Mapper:
</t>
        </r>
        <r>
          <t xml:space="preserve">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
EDGAR Mapper:
EDGAR mapping:
Source: 10-Q, accession #0001018724-23-000008, filed 2023-04-28
Period: 1Q23 / period ended 2023-03-31
Model row: Model!298 LT Debt Issuance
Mapping type: grouped
Concepts used: LongTermDebt = 69472 mm
Unit conversion: raw USD to $mm
Sign: copied using model sign convention
Confidence: high
Value written: 69472
Notes: Grouped from EDGAR: Long-term Debt.</t>
        </r>
      </text>
    </comment>
    <comment ref="G298" authorId="0">
      <text>
        <r>
          <rPr>
            <b/>
          </rPr>
          <t xml:space="preserve">EDGAR Mapper:
</t>
        </r>
        <r>
          <t xml:space="preserve">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
EDGAR Mapper:
EDGAR mapping:
Source: 10-Q, accession #0001018724-23-000012, filed 2023-08-04
Period: 2Q23 / period ended 2023-06-30
Model row: Model!298 LT Debt Issuance
Mapping type: grouped
Concepts used: LongTermDebt = 67472 mm
Unit conversion: raw USD to $mm
Sign: copied using model sign convention
Confidence: high
Value written: 67472
Notes: Grouped from EDGAR: Long-term Debt.</t>
        </r>
      </text>
    </comment>
    <comment ref="H298" authorId="0">
      <text>
        <r>
          <rPr>
            <b/>
          </rPr>
          <t xml:space="preserve">EDGAR Mapper:
</t>
        </r>
        <r>
          <t xml:space="preserve">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
EDGAR Mapper:
EDGAR mapping:
Source: 10-Q, accession #0001018724-23-000018, filed 2023-10-27
Period: 3Q23 / period ended 2023-09-30
Model row: Model!298 LT Debt Issuance
Mapping type: grouped
Concepts used: LongTermDebt = 67472 mm
Unit conversion: raw USD to $mm
Sign: copied using model sign convention
Confidence: high
Value written: 67472
Notes: Grouped from EDGAR: Long-term Debt.</t>
        </r>
      </text>
    </comment>
    <comment ref="I298" authorId="0">
      <text>
        <r>
          <rPr>
            <b/>
          </rPr>
          <t xml:space="preserve">EDGAR Mapper:
</t>
        </r>
        <r>
          <t xml:space="preserve">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
EDGAR Mapper:
EDGAR mapping:
Source: 10-K, accession #0001018724-25-000004, filed 2025-02-07
Period: 4Q23 / period ended 2023-12-31
Model row: Model!298 LT Debt Issuance
Mapping type: grouped
Concepts used: LongTermDebt = 67182 mm
Unit conversion: raw USD to $mm
Sign: copied using model sign convention
Confidence: high
Value written: 67182
Notes: Grouped from EDGAR: Long-term Debt.</t>
        </r>
      </text>
    </comment>
    <comment ref="K298" authorId="0">
      <text>
        <r>
          <rPr>
            <b/>
          </rPr>
          <t xml:space="preserve">EDGAR Mapper:
</t>
        </r>
        <r>
          <t xml:space="preserve">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
EDGAR Mapper:
EDGAR mapping:
Source: 10-Q, accession #0001018724-24-000083, filed 2024-05-01
Period: 1Q24 / period ended 2024-03-31
Model row: Model!298 LT Debt Issuance
Mapping type: grouped
Concepts used: LongTermDebt = 66852 mm
Unit conversion: raw USD to $mm
Sign: copied using model sign convention
Confidence: high
Value written: 66852
Notes: Grouped from EDGAR: Long-term Debt.</t>
        </r>
      </text>
    </comment>
    <comment ref="L298" authorId="0">
      <text>
        <r>
          <rPr>
            <b/>
          </rPr>
          <t xml:space="preserve">EDGAR Mapper:
</t>
        </r>
        <r>
          <t xml:space="preserve">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
EDGAR Mapper:
EDGAR mapping:
Source: 10-Q, accession #0001018724-24-000130, filed 2024-08-02
Period: 2Q24 / period ended 2024-06-30
Model row: Model!298 LT Debt Issuance
Mapping type: grouped
Concepts used: LongTermDebt = 62683 mm
Unit conversion: raw USD to $mm
Sign: copied using model sign convention
Confidence: high
Value written: 62683
Notes: Grouped from EDGAR: Long-term Debt.</t>
        </r>
      </text>
    </comment>
    <comment ref="M298" authorId="0">
      <text>
        <r>
          <rPr>
            <b/>
          </rPr>
          <t xml:space="preserve">EDGAR Mapper:
</t>
        </r>
        <r>
          <t xml:space="preserve">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
EDGAR Mapper:
EDGAR mapping:
Source: 10-Q, accession #0001018724-24-000161, filed 2024-11-01
Period: 3Q24 / period ended 2024-09-30
Model row: Model!298 LT Debt Issuance
Mapping type: grouped
Concepts used: LongTermDebt = 60500 mm
Unit conversion: raw USD to $mm
Sign: copied using model sign convention
Confidence: high
Value written: 60500
Notes: Grouped from EDGAR: Long-term Debt.</t>
        </r>
      </text>
    </comment>
    <comment ref="N298" authorId="0">
      <text>
        <r>
          <rPr>
            <b/>
          </rPr>
          <t xml:space="preserve">EDGAR Mapper:
</t>
        </r>
        <r>
          <t xml:space="preserve">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
EDGAR Mapper:
EDGAR mapping:
Source: 10-K, accession #0001018724-26-000004, filed 2026-02-06
Period: 4Q24 / period ended 2024-12-31
Model row: Model!298 LT Debt Issuance
Mapping type: grouped
Concepts used: LongTermDebt = 58000 mm
Unit conversion: raw USD to $mm
Sign: copied using model sign convention
Confidence: high
Value written: 58000
Notes: Grouped from EDGAR: Long-term Debt.</t>
        </r>
      </text>
    </comment>
    <comment ref="P298" authorId="0">
      <text>
        <r>
          <rPr>
            <b/>
          </rPr>
          <t xml:space="preserve">EDGAR Mapper:
</t>
        </r>
        <r>
          <t xml:space="preserve">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
EDGAR Mapper:
EDGAR mapping:
Source: 10-Q, accession #0001018724-25-000036, filed 2025-05-02
Period: 1Q25 / period ended 2025-03-31
Model row: Model!298 LT Debt Issuance
Mapping type: grouped
Concepts used: LongTermDebt = 58750 mm
Unit conversion: raw USD to $mm
Sign: copied using model sign convention
Confidence: high
Value written: 58750
Notes: Grouped from EDGAR: Long-term Debt.</t>
        </r>
      </text>
    </comment>
    <comment ref="Q298" authorId="0">
      <text>
        <r>
          <rPr>
            <b/>
          </rPr>
          <t xml:space="preserve">EDGAR Mapper:
</t>
        </r>
        <r>
          <t xml:space="preserve">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
EDGAR Mapper:
EDGAR mapping:
Source: 10-Q, accession #0001018724-25-000086, filed 2025-08-01
Period: 2Q25 / period ended 2025-06-30
Model row: Model!298 LT Debt Issuance
Mapping type: grouped
Concepts used: LongTermDebt = 56082 mm
Unit conversion: raw USD to $mm
Sign: copied using model sign convention
Confidence: high
Value written: 56082
Notes: Grouped from EDGAR: Long-term Debt.</t>
        </r>
      </text>
    </comment>
    <comment ref="R298" authorId="0">
      <text>
        <r>
          <rPr>
            <b/>
          </rPr>
          <t xml:space="preserve">EDGAR Mapper:
</t>
        </r>
        <r>
          <t xml:space="preserve">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
EDGAR Mapper:
EDGAR mapping:
Source: 10-Q, accession #0001018724-25-000123, filed 2025-10-31
Period: 3Q25 / period ended 2025-09-30
Model row: Model!298 LT Debt Issuance
Mapping type: grouped
Concepts used: LongTermDebt = 55097 mm
Unit conversion: raw USD to $mm
Sign: copied using model sign convention
Confidence: high
Value written: 55097
Notes: Grouped from EDGAR: Long-term Debt.</t>
        </r>
      </text>
    </comment>
    <comment ref="S298" authorId="0">
      <text>
        <r>
          <rPr>
            <b/>
          </rPr>
          <t xml:space="preserve">EDGAR Mapper:
</t>
        </r>
        <r>
          <t xml:space="preserve">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
EDGAR Mapper:
EDGAR mapping:
Source: 10-K, accession #0001018724-26-000004, filed 2026-02-06
Period: 4Q25 / period ended 2025-12-31
Model row: Model!298 LT Debt Issuance
Mapping type: grouped
Concepts used: LongTermDebt = 68836 mm
Unit conversion: raw USD to $mm
Sign: copied using model sign convention
Confidence: high
Value written: 68836
Notes: Grouped from EDGAR: Long Term Debt.</t>
        </r>
      </text>
    </comment>
    <comment ref="C299" authorId="0">
      <text>
        <r>
          <rPr>
            <b/>
          </rPr>
          <t xml:space="preserve">EDGAR Mapper:
</t>
        </r>
        <r>
          <t xml:space="preserve">Grouped from EDGAR: Long-term Debt. Grouped from EDGAR: Long Term Debt.
EDGAR Mapper:
Grouped from EDGAR: Long-term Debt. Grouped from EDGAR: Long Term Debt.</t>
        </r>
      </text>
    </comment>
    <comment ref="F299" authorId="0">
      <text>
        <r>
          <rPr>
            <b/>
          </rPr>
          <t xml:space="preserve">EDGAR Mapper:
</t>
        </r>
        <r>
          <t xml:space="preserve">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
EDGAR Mapper:
EDGAR mapping:
Source: 10-Q, accession #0001018724-23-000008, filed 2023-04-28
Period: 1Q23 / period ended 2023-03-31
Model row: Model!299 LT Debt Repayment
Mapping type: grouped
Concepts used: LongTermDebt = 69472 mm
Unit conversion: raw USD to $mm
Sign: copied using model sign convention
Confidence: high
Value written: 69472
Notes: Grouped from EDGAR: Long-term Debt.</t>
        </r>
      </text>
    </comment>
    <comment ref="G299" authorId="0">
      <text>
        <r>
          <rPr>
            <b/>
          </rPr>
          <t xml:space="preserve">EDGAR Mapper:
</t>
        </r>
        <r>
          <t xml:space="preserve">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
EDGAR Mapper:
EDGAR mapping:
Source: 10-Q, accession #0001018724-23-000012, filed 2023-08-04
Period: 2Q23 / period ended 2023-06-30
Model row: Model!299 LT Debt Repayment
Mapping type: grouped
Concepts used: LongTermDebt = 67472 mm
Unit conversion: raw USD to $mm
Sign: copied using model sign convention
Confidence: high
Value written: 67472
Notes: Grouped from EDGAR: Long-term Debt.</t>
        </r>
      </text>
    </comment>
    <comment ref="H299" authorId="0">
      <text>
        <r>
          <rPr>
            <b/>
          </rPr>
          <t xml:space="preserve">EDGAR Mapper:
</t>
        </r>
        <r>
          <t xml:space="preserve">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
EDGAR Mapper:
EDGAR mapping:
Source: 10-Q, accession #0001018724-23-000018, filed 2023-10-27
Period: 3Q23 / period ended 2023-09-30
Model row: Model!299 LT Debt Repayment
Mapping type: grouped
Concepts used: LongTermDebt = 67472 mm
Unit conversion: raw USD to $mm
Sign: copied using model sign convention
Confidence: high
Value written: 67472
Notes: Grouped from EDGAR: Long-term Debt.</t>
        </r>
      </text>
    </comment>
    <comment ref="I299" authorId="0">
      <text>
        <r>
          <rPr>
            <b/>
          </rPr>
          <t xml:space="preserve">EDGAR Mapper:
</t>
        </r>
        <r>
          <t xml:space="preserve">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
EDGAR Mapper:
EDGAR mapping:
Source: 10-K, accession #0001018724-25-000004, filed 2025-02-07
Period: 4Q23 / period ended 2023-12-31
Model row: Model!299 LT Debt Repayment
Mapping type: grouped
Concepts used: LongTermDebt = 67182 mm
Unit conversion: raw USD to $mm
Sign: copied using model sign convention
Confidence: high
Value written: 67182
Notes: Grouped from EDGAR: Long-term Debt.</t>
        </r>
      </text>
    </comment>
    <comment ref="K299" authorId="0">
      <text>
        <r>
          <rPr>
            <b/>
          </rPr>
          <t xml:space="preserve">EDGAR Mapper:
</t>
        </r>
        <r>
          <t xml:space="preserve">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
EDGAR Mapper:
EDGAR mapping:
Source: 10-Q, accession #0001018724-24-000083, filed 2024-05-01
Period: 1Q24 / period ended 2024-03-31
Model row: Model!299 LT Debt Repayment
Mapping type: grouped
Concepts used: LongTermDebt = 66852 mm
Unit conversion: raw USD to $mm
Sign: copied using model sign convention
Confidence: high
Value written: 66852
Notes: Grouped from EDGAR: Long-term Debt.</t>
        </r>
      </text>
    </comment>
    <comment ref="L299" authorId="0">
      <text>
        <r>
          <rPr>
            <b/>
          </rPr>
          <t xml:space="preserve">EDGAR Mapper:
</t>
        </r>
        <r>
          <t xml:space="preserve">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
EDGAR Mapper:
EDGAR mapping:
Source: 10-Q, accession #0001018724-24-000130, filed 2024-08-02
Period: 2Q24 / period ended 2024-06-30
Model row: Model!299 LT Debt Repayment
Mapping type: grouped
Concepts used: LongTermDebt = 62683 mm
Unit conversion: raw USD to $mm
Sign: copied using model sign convention
Confidence: high
Value written: 62683
Notes: Grouped from EDGAR: Long-term Debt.</t>
        </r>
      </text>
    </comment>
    <comment ref="M299" authorId="0">
      <text>
        <r>
          <rPr>
            <b/>
          </rPr>
          <t xml:space="preserve">EDGAR Mapper:
</t>
        </r>
        <r>
          <t xml:space="preserve">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
EDGAR Mapper:
EDGAR mapping:
Source: 10-Q, accession #0001018724-24-000161, filed 2024-11-01
Period: 3Q24 / period ended 2024-09-30
Model row: Model!299 LT Debt Repayment
Mapping type: grouped
Concepts used: LongTermDebt = 60500 mm
Unit conversion: raw USD to $mm
Sign: copied using model sign convention
Confidence: high
Value written: 60500
Notes: Grouped from EDGAR: Long-term Debt.</t>
        </r>
      </text>
    </comment>
    <comment ref="N299" authorId="0">
      <text>
        <r>
          <rPr>
            <b/>
          </rPr>
          <t xml:space="preserve">EDGAR Mapper:
</t>
        </r>
        <r>
          <t xml:space="preserve">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
EDGAR Mapper:
EDGAR mapping:
Source: 10-K, accession #0001018724-26-000004, filed 2026-02-06
Period: 4Q24 / period ended 2024-12-31
Model row: Model!299 LT Debt Repayment
Mapping type: grouped
Concepts used: LongTermDebt = 58000 mm
Unit conversion: raw USD to $mm
Sign: copied using model sign convention
Confidence: high
Value written: 58000
Notes: Grouped from EDGAR: Long-term Debt.</t>
        </r>
      </text>
    </comment>
    <comment ref="P299" authorId="0">
      <text>
        <r>
          <rPr>
            <b/>
          </rPr>
          <t xml:space="preserve">EDGAR Mapper:
</t>
        </r>
        <r>
          <t xml:space="preserve">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
EDGAR Mapper:
EDGAR mapping:
Source: 10-Q, accession #0001018724-25-000036, filed 2025-05-02
Period: 1Q25 / period ended 2025-03-31
Model row: Model!299 LT Debt Repayment
Mapping type: grouped
Concepts used: LongTermDebt = 58750 mm
Unit conversion: raw USD to $mm
Sign: copied using model sign convention
Confidence: high
Value written: 58750
Notes: Grouped from EDGAR: Long-term Debt.</t>
        </r>
      </text>
    </comment>
    <comment ref="Q299" authorId="0">
      <text>
        <r>
          <rPr>
            <b/>
          </rPr>
          <t xml:space="preserve">EDGAR Mapper:
</t>
        </r>
        <r>
          <t xml:space="preserve">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
EDGAR Mapper:
EDGAR mapping:
Source: 10-Q, accession #0001018724-25-000086, filed 2025-08-01
Period: 2Q25 / period ended 2025-06-30
Model row: Model!299 LT Debt Repayment
Mapping type: grouped
Concepts used: LongTermDebt = 56082 mm
Unit conversion: raw USD to $mm
Sign: copied using model sign convention
Confidence: high
Value written: 56082
Notes: Grouped from EDGAR: Long-term Debt.</t>
        </r>
      </text>
    </comment>
    <comment ref="R299" authorId="0">
      <text>
        <r>
          <rPr>
            <b/>
          </rPr>
          <t xml:space="preserve">EDGAR Mapper:
</t>
        </r>
        <r>
          <t xml:space="preserve">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
EDGAR Mapper:
EDGAR mapping:
Source: 10-Q, accession #0001018724-25-000123, filed 2025-10-31
Period: 3Q25 / period ended 2025-09-30
Model row: Model!299 LT Debt Repayment
Mapping type: grouped
Concepts used: LongTermDebt = 55097 mm
Unit conversion: raw USD to $mm
Sign: copied using model sign convention
Confidence: high
Value written: 55097
Notes: Grouped from EDGAR: Long-term Debt.</t>
        </r>
      </text>
    </comment>
    <comment ref="S299" authorId="0">
      <text>
        <r>
          <rPr>
            <b/>
          </rPr>
          <t xml:space="preserve">EDGAR Mapper:
</t>
        </r>
        <r>
          <t xml:space="preserve">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
EDGAR Mapper:
EDGAR mapping:
Source: 10-K, accession #0001018724-26-000004, filed 2026-02-06
Period: 4Q25 / period ended 2025-12-31
Model row: Model!299 LT Debt Repayment
Mapping type: grouped
Concepts used: LongTermDebt = 68836 mm
Unit conversion: raw USD to $mm
Sign: copied using model sign convention
Confidence: high
Value written: 68836
Notes: Grouped from EDGAR: Long Term Debt.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8"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 ref="C323"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F35" authorId="0">
      <text>
        <r>
          <rPr>
            <b/>
          </rPr>
          <t xml:space="preserve">EDGAR Mapper:
</t>
        </r>
        <r>
          <t>Needs review: Segment Analysis row was not filled because the template label is blank, generic, or does not confidently match an EDGAR reportable segment.</t>
        </r>
      </text>
    </comment>
    <comment ref="G35" authorId="0">
      <text>
        <r>
          <rPr>
            <b/>
          </rPr>
          <t xml:space="preserve">EDGAR Mapper:
</t>
        </r>
        <r>
          <t>Needs review: Segment Analysis row was not filled because the template label is blank, generic, or does not confidently match an EDGAR reportable segment.</t>
        </r>
      </text>
    </comment>
    <comment ref="H35" authorId="0">
      <text>
        <r>
          <rPr>
            <b/>
          </rPr>
          <t xml:space="preserve">EDGAR Mapper:
</t>
        </r>
        <r>
          <t>Needs review: Segment Analysis row was not filled because the template label is blank, generic, or does not confidently match an EDGAR reportable segment.</t>
        </r>
      </text>
    </comment>
    <comment ref="K35" authorId="0">
      <text>
        <r>
          <rPr>
            <b/>
          </rPr>
          <t xml:space="preserve">EDGAR Mapper:
</t>
        </r>
        <r>
          <t>Needs review: Segment Analysis row was not filled because the template label is blank, generic, or does not confidently match an EDGAR reportable segment.</t>
        </r>
      </text>
    </comment>
    <comment ref="L35" authorId="0">
      <text>
        <r>
          <rPr>
            <b/>
          </rPr>
          <t xml:space="preserve">EDGAR Mapper:
</t>
        </r>
        <r>
          <t>Needs review: Segment Analysis row was not filled because the template label is blank, generic, or does not confidently match an EDGAR reportable segment.</t>
        </r>
      </text>
    </comment>
    <comment ref="M35" authorId="0">
      <text>
        <r>
          <rPr>
            <b/>
          </rPr>
          <t xml:space="preserve">EDGAR Mapper:
</t>
        </r>
        <r>
          <t>Needs review: Segment Analysis row was not filled because the template label is blank, generic, or does not confidently match an EDGAR reportable segment.</t>
        </r>
      </text>
    </comment>
    <comment ref="P35" authorId="0">
      <text>
        <r>
          <rPr>
            <b/>
          </rPr>
          <t xml:space="preserve">EDGAR Mapper:
</t>
        </r>
        <r>
          <t>Needs review: Segment Analysis row was not filled because the template label is blank, generic, or does not confidently match an EDGAR reportable segment.</t>
        </r>
      </text>
    </comment>
    <comment ref="Q35" authorId="0">
      <text>
        <r>
          <rPr>
            <b/>
          </rPr>
          <t xml:space="preserve">EDGAR Mapper:
</t>
        </r>
        <r>
          <t>Needs review: Segment Analysis row was not filled because the template label is blank, generic, or does not confidently match an EDGAR reportable segment.</t>
        </r>
      </text>
    </comment>
    <comment ref="R35" authorId="0">
      <text>
        <r>
          <rPr>
            <b/>
          </rPr>
          <t xml:space="preserve">EDGAR Mapper:
</t>
        </r>
        <r>
          <t>Needs review: Segment Analysis row was not filled because the template label is blank, generic, or does not confidently match an EDGAR reportable segment.</t>
        </r>
      </text>
    </comment>
    <comment ref="F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S53"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<sst xmlns="http://schemas.openxmlformats.org/spreadsheetml/2006/main" count="7788" uniqueCount="2090">
  <si>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</si>
  <si>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</si>
  <si>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</si>
  <si>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</si>
  <si>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</si>
  <si>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</si>
  <si>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</si>
  <si>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</si>
  <si>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</si>
  <si>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</si>
  <si>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</si>
  <si>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</si>
  <si>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</si>
  <si>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</si>
  <si>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</si>
  <si>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</si>
  <si>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</si>
  <si>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</si>
  <si>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</si>
  <si>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</si>
  <si>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</si>
  <si>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</si>
  <si>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</si>
  <si>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</si>
  <si>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</si>
  <si>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</si>
  <si>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</si>
  <si>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</si>
  <si>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</si>
  <si>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</si>
  <si>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</si>
  <si>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</si>
  <si>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</si>
  <si>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</si>
  <si>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</si>
  <si>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</si>
  <si>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</si>
  <si>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</si>
  <si>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</si>
  <si>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</si>
  <si>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</si>
  <si>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</si>
  <si>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</si>
  <si>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</si>
  <si>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</si>
  <si>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</si>
  <si>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</si>
  <si>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</si>
  <si>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</si>
  <si>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</si>
  <si>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</si>
  <si>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</si>
  <si>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</si>
  <si>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</si>
  <si>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</si>
  <si>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</si>
  <si>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</si>
  <si>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</si>
  <si>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</si>
  <si>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</si>
  <si>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</si>
  <si>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</si>
  <si>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</si>
  <si>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</si>
  <si>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</si>
  <si>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</si>
  <si>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</si>
  <si>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</si>
  <si>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</si>
  <si>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</si>
  <si>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</si>
  <si>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</si>
  <si>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</si>
  <si>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</si>
  <si>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</si>
  <si>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</si>
  <si>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</si>
  <si>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</si>
  <si>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</si>
  <si>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</si>
  <si>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</si>
  <si>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</si>
  <si>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</si>
  <si>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</si>
  <si>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</si>
  <si>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</si>
  <si>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</si>
  <si>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</si>
  <si>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</si>
  <si>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</si>
  <si>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</si>
  <si>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</si>
  <si>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</si>
  <si>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</si>
  <si>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</si>
  <si>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</si>
  <si>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</si>
  <si>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</si>
  <si>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</si>
  <si>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</si>
  <si>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</si>
  <si>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</si>
  <si>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</si>
  <si>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</si>
  <si>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</si>
  <si>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</si>
  <si>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</si>
  <si>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</si>
  <si>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</si>
  <si>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</si>
  <si>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</si>
  <si>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</si>
  <si>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</si>
  <si>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</si>
  <si>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</si>
  <si>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</si>
  <si>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</si>
  <si>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</si>
  <si>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</si>
  <si>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</si>
  <si>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</si>
  <si>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</si>
  <si>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</si>
  <si>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</si>
  <si>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</si>
  <si>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</si>
  <si>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</si>
  <si>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</si>
  <si>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</si>
  <si>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</si>
  <si>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</si>
  <si>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</si>
  <si>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</si>
  <si>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</si>
  <si>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</si>
  <si>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</si>
  <si>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</si>
  <si>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</si>
  <si>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</si>
  <si>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</si>
  <si>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</si>
  <si>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</si>
  <si>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</si>
  <si>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</si>
  <si>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</si>
  <si>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</si>
  <si>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</si>
  <si>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</si>
  <si>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</si>
  <si>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</si>
  <si>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</si>
  <si>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</si>
  <si>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</si>
  <si>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</si>
  <si>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</si>
  <si>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</si>
  <si>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</si>
  <si>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</si>
  <si>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</si>
  <si>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</si>
  <si>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</si>
  <si>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</si>
  <si>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</si>
  <si>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</si>
  <si>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</si>
  <si>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</si>
  <si>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</si>
  <si>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</si>
  <si>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</si>
  <si>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</si>
  <si>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</si>
  <si>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</si>
  <si>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</si>
  <si>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</si>
  <si>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</si>
  <si>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</si>
  <si>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</si>
  <si>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</si>
  <si>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</si>
  <si>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</si>
  <si>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</si>
  <si>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</si>
  <si>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</si>
  <si>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</si>
  <si>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</si>
  <si>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</si>
  <si>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</si>
  <si>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</si>
  <si>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</si>
  <si>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</si>
  <si>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</si>
  <si>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</si>
  <si>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</si>
  <si>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</si>
  <si>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</si>
  <si>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</si>
  <si>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</si>
  <si>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</si>
  <si>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</si>
  <si>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</si>
  <si>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</si>
  <si>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</si>
  <si>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</si>
  <si>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</si>
  <si>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</si>
  <si>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</si>
  <si>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</si>
  <si>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</si>
  <si>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</si>
  <si>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</si>
  <si>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</si>
  <si>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</si>
  <si>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</si>
  <si>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</si>
  <si>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</si>
  <si>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</si>
  <si>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</si>
  <si>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</si>
  <si>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</si>
  <si>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</si>
  <si>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</si>
  <si>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</si>
  <si>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</si>
  <si>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</si>
  <si>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</si>
  <si>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</si>
  <si>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</si>
  <si>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</si>
  <si>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</si>
  <si>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</si>
  <si>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</si>
  <si>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</si>
  <si>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</si>
  <si>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</si>
  <si>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</si>
  <si>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</si>
  <si>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</si>
  <si>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</si>
  <si>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</si>
  <si>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</si>
  <si>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</si>
  <si>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</si>
  <si>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</si>
  <si>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</si>
  <si>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</si>
  <si>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</si>
  <si>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</si>
  <si>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</si>
  <si>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</si>
  <si>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</si>
  <si>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</si>
  <si>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</si>
  <si>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</si>
  <si>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</si>
  <si>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</si>
  <si>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</si>
  <si>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</si>
  <si>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</si>
  <si>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</si>
  <si>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</si>
  <si>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</si>
  <si>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</si>
  <si>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</si>
  <si>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</si>
  <si>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</si>
  <si>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</si>
  <si>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</si>
  <si>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</si>
  <si>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</si>
  <si>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</si>
  <si>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</si>
  <si>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</si>
  <si>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</si>
  <si>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</si>
  <si>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</si>
  <si>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</si>
  <si>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</si>
  <si>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</si>
  <si>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</si>
  <si>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</si>
  <si>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</si>
  <si>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</si>
  <si>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</si>
  <si>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</si>
  <si>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</si>
  <si>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</si>
  <si>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</si>
  <si>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</si>
  <si>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</si>
  <si>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</si>
  <si>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</si>
  <si>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</si>
  <si>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</si>
  <si>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</si>
  <si>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</si>
  <si>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</si>
  <si>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</si>
  <si>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</si>
  <si>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</si>
  <si>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</si>
  <si>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</si>
  <si>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</si>
  <si>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</si>
  <si>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</si>
  <si>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</si>
  <si>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</si>
  <si>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</si>
  <si>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</si>
  <si>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</si>
  <si>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</si>
  <si>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</si>
  <si>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</si>
  <si>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</si>
  <si>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</si>
  <si>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</si>
  <si>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</si>
  <si>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</si>
  <si>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</si>
  <si>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</si>
  <si>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</si>
  <si>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</si>
  <si>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</si>
  <si>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</si>
  <si>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</si>
  <si>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</si>
  <si>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</si>
  <si>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</si>
  <si>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</si>
  <si>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</si>
  <si>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</si>
  <si>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</si>
  <si>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</si>
  <si>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</si>
  <si>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</si>
  <si>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</si>
  <si>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</si>
  <si>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</si>
  <si>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</si>
  <si>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</si>
  <si>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</si>
  <si>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</si>
  <si>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</si>
  <si>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</si>
  <si>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</si>
  <si>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</si>
  <si>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</si>
  <si>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</si>
  <si>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</si>
  <si>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</si>
  <si>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</si>
  <si>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</si>
  <si>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</si>
  <si>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</si>
  <si>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</si>
  <si>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</si>
  <si>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</si>
  <si>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</si>
  <si>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</si>
  <si>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</si>
  <si>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</si>
  <si>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</si>
  <si>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</si>
  <si>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</si>
  <si>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</si>
  <si>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</si>
  <si>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</si>
  <si>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</si>
  <si>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</si>
  <si>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</si>
  <si>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</si>
  <si>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</si>
  <si>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</si>
  <si>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</si>
  <si>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</si>
  <si>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</si>
  <si>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</si>
  <si>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</si>
  <si>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</si>
  <si>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</si>
  <si>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</si>
  <si>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</si>
  <si>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</si>
  <si>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</si>
  <si>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</si>
  <si>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</si>
  <si>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</si>
  <si>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</si>
  <si>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</si>
  <si>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</si>
  <si>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</si>
  <si>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</si>
  <si>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</si>
  <si>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</si>
  <si>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</si>
  <si>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</si>
  <si>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</si>
  <si>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</si>
  <si>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</si>
  <si>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</si>
  <si>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</si>
  <si>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</si>
  <si>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</si>
  <si>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</si>
  <si>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</si>
  <si>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</si>
  <si>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</si>
  <si>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</si>
  <si>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</si>
  <si>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</si>
  <si>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</si>
  <si>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</si>
  <si>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</si>
  <si>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</si>
  <si>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</si>
  <si>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</si>
  <si>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</si>
  <si>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</si>
  <si>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</si>
  <si>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</si>
  <si>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</si>
  <si>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</si>
  <si>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</si>
  <si>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</si>
  <si>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</si>
  <si>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</si>
  <si>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</si>
  <si>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</si>
  <si>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</si>
  <si>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</si>
  <si>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</si>
  <si>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</si>
  <si>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</si>
  <si>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</si>
  <si>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</si>
  <si>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</si>
  <si>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</si>
  <si>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</si>
  <si>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</si>
  <si>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</si>
  <si>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</si>
  <si>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</si>
  <si>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</si>
  <si>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</si>
  <si>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</si>
  <si>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</si>
  <si>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</si>
  <si>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</si>
  <si>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</si>
  <si>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</si>
  <si>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</si>
  <si>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</si>
  <si>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</si>
  <si>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</si>
  <si>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</si>
  <si>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</si>
  <si>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</si>
  <si>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</si>
  <si>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</si>
  <si>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</si>
  <si>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</si>
  <si>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</si>
  <si>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</si>
  <si>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</si>
  <si>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</si>
  <si>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</si>
  <si>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</si>
  <si>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</si>
  <si>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</si>
  <si>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</si>
  <si>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</si>
  <si>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</si>
  <si>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</si>
  <si>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</si>
  <si>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</si>
  <si>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</si>
  <si>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</si>
  <si>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</si>
  <si>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</si>
  <si>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</si>
  <si>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</si>
  <si>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</si>
  <si>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</si>
  <si>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</si>
  <si>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</si>
  <si>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</si>
  <si>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</si>
  <si>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</si>
  <si>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</si>
  <si>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</si>
  <si>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</si>
  <si>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</si>
  <si>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</si>
  <si>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</si>
  <si>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</si>
  <si>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</si>
  <si>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</si>
  <si>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</si>
  <si>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</si>
  <si>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</si>
  <si>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</si>
  <si>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</si>
  <si>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</si>
  <si>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</si>
  <si>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</si>
  <si>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</si>
  <si>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</si>
  <si>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</si>
  <si>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</si>
  <si>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</si>
  <si>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</si>
  <si>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</si>
  <si>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</si>
  <si>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</si>
  <si>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</si>
  <si>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</si>
  <si>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</si>
  <si>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</si>
  <si>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</si>
  <si>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</si>
  <si>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</si>
  <si>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</si>
  <si>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</si>
  <si>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</si>
  <si>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</si>
  <si>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</si>
  <si>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</si>
  <si>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</si>
  <si>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</si>
  <si>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</si>
  <si>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</si>
  <si>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</si>
  <si>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</si>
  <si>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</si>
  <si>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</si>
  <si>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</si>
  <si>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</si>
  <si>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</si>
  <si>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</si>
  <si>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</si>
  <si>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</si>
  <si>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</si>
  <si>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</si>
  <si>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</si>
  <si>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</si>
  <si>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</si>
  <si>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</si>
  <si>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</si>
  <si>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</si>
  <si>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</si>
  <si>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</si>
  <si>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</si>
  <si>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</si>
  <si>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</si>
  <si>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</si>
  <si>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</si>
  <si>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</si>
  <si>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</si>
  <si>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</si>
  <si>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</si>
  <si>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</si>
  <si>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</si>
  <si>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</si>
  <si>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</si>
  <si>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</si>
  <si>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</si>
  <si>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</si>
  <si>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</si>
  <si>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</si>
  <si>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</si>
  <si>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</si>
  <si>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</si>
  <si>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</si>
  <si>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</si>
  <si>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</si>
  <si>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</si>
  <si>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</si>
  <si>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</si>
  <si>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</si>
  <si>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</si>
  <si>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</si>
  <si>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</si>
  <si>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</si>
  <si>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</si>
  <si>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</si>
  <si>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</si>
  <si>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</si>
  <si>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</si>
  <si>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</si>
  <si>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</si>
  <si>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</si>
  <si>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</si>
  <si>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</si>
  <si>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</si>
  <si>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</si>
  <si>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</si>
  <si>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</si>
  <si>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</si>
  <si>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</si>
  <si>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</si>
  <si>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</si>
  <si>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</si>
  <si>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</si>
  <si>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</si>
  <si>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</si>
  <si>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</si>
  <si>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</si>
  <si>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</si>
  <si>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</si>
  <si>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</si>
  <si>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</si>
  <si>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</si>
  <si>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</si>
  <si>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</si>
  <si>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</si>
  <si>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</si>
  <si>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</si>
  <si>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</si>
  <si>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</si>
  <si>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</si>
  <si>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</si>
  <si>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</si>
  <si>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</si>
  <si>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</si>
  <si>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</si>
  <si>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</si>
  <si>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</si>
  <si>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</si>
  <si>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</si>
  <si>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</si>
  <si>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</si>
  <si>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</si>
  <si>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</si>
  <si>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</si>
  <si>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</si>
  <si>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</si>
  <si>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</si>
  <si>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</si>
  <si>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</si>
  <si>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</si>
  <si>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</si>
  <si>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</si>
  <si>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</si>
  <si>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</si>
  <si>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</si>
  <si>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</si>
  <si>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</si>
  <si>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</si>
  <si>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</si>
  <si>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</si>
  <si>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</si>
  <si>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</si>
  <si>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</si>
  <si>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</si>
  <si>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</si>
  <si>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</si>
  <si>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</si>
  <si>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</si>
  <si>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</si>
  <si>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</si>
  <si>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</si>
  <si>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</si>
  <si>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</si>
  <si>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</si>
  <si>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</si>
  <si>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</si>
  <si>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</si>
  <si>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</si>
  <si>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</si>
  <si>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</si>
  <si>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</si>
  <si>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</si>
  <si>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</si>
  <si>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</si>
  <si>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</si>
  <si>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</si>
  <si>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</si>
  <si>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</si>
  <si>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</si>
  <si>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</si>
  <si>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</si>
  <si>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</si>
  <si>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</si>
  <si>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</si>
  <si>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</si>
  <si>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</si>
  <si>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</si>
  <si>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</si>
  <si>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</si>
  <si>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</si>
  <si>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</si>
  <si>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</si>
  <si>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</si>
  <si>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</si>
  <si>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</si>
  <si>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</si>
  <si>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</si>
  <si>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</si>
  <si>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</si>
  <si>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</si>
  <si>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</si>
  <si>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</si>
  <si>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</si>
  <si>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</si>
  <si>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</si>
  <si>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</si>
  <si>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</si>
  <si>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</si>
  <si>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</si>
  <si>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</si>
  <si>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</si>
  <si>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</si>
  <si>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</si>
  <si>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</si>
  <si>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</si>
  <si>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</si>
  <si>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</si>
  <si>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</si>
  <si>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</si>
  <si>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</si>
  <si>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</si>
  <si>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</si>
  <si>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</si>
  <si>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</si>
  <si>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</si>
  <si>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</si>
  <si>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</si>
  <si>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</si>
  <si>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</si>
  <si>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</si>
  <si>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</si>
  <si>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</si>
  <si>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</si>
  <si>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</si>
  <si>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</si>
  <si>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</si>
  <si>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</si>
  <si>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</si>
  <si>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</si>
  <si>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</si>
  <si>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</si>
  <si>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</si>
  <si>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</si>
  <si>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</si>
  <si>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</si>
  <si>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</si>
  <si>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</si>
  <si>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</si>
  <si>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</si>
  <si>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</si>
  <si>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</si>
  <si>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</si>
  <si>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</si>
  <si>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</si>
  <si>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</si>
  <si>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</si>
  <si>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</si>
  <si>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</si>
  <si>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</si>
  <si>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</si>
  <si>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</si>
  <si>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</si>
  <si>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</si>
  <si>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</si>
  <si>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</si>
  <si>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</si>
  <si>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</si>
  <si>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</si>
  <si>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</si>
  <si>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</si>
  <si>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</si>
  <si>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</si>
  <si>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</si>
  <si>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</si>
  <si>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</si>
  <si>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</si>
  <si>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</si>
  <si>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</si>
  <si>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</si>
  <si>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</si>
  <si>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</si>
  <si>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</si>
  <si>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</si>
  <si>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</si>
  <si>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</si>
  <si>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</si>
  <si>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</si>
  <si>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</si>
  <si>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</si>
  <si>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</si>
  <si>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</si>
  <si>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</si>
  <si>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</si>
  <si>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</si>
  <si>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</si>
  <si>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</si>
  <si>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</si>
  <si>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</si>
  <si>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</si>
  <si>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</si>
  <si>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</si>
  <si>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</si>
  <si>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</si>
  <si>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</si>
  <si>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</si>
  <si>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</si>
  <si>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</si>
  <si>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</si>
  <si>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</si>
  <si>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</si>
  <si>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</si>
  <si>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</si>
  <si>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</si>
  <si>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</si>
  <si>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</si>
  <si>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</si>
  <si>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</si>
  <si>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</si>
  <si>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</si>
  <si>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</si>
  <si>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</si>
  <si>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</si>
  <si>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</si>
  <si>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</si>
  <si>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</si>
  <si>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</si>
  <si>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</si>
  <si>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</si>
  <si>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</si>
  <si>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</si>
  <si>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</si>
  <si>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</si>
  <si>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</si>
  <si>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</si>
  <si>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</si>
  <si>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</si>
  <si>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</si>
  <si>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</si>
  <si>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</si>
  <si>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</si>
  <si>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</si>
  <si>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</si>
  <si>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</si>
  <si>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</si>
  <si>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</si>
  <si>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</si>
  <si>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</si>
  <si>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</si>
  <si>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</si>
  <si>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</si>
  <si>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</si>
  <si>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</si>
  <si>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</si>
  <si>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</si>
  <si>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</si>
  <si>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</si>
  <si>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</si>
  <si>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</si>
  <si>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</si>
  <si>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</si>
  <si>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</si>
  <si>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</si>
  <si>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</si>
  <si>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</si>
  <si>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</si>
  <si>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</si>
  <si>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</si>
  <si>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</si>
  <si>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</si>
  <si>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</si>
  <si>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</si>
  <si>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</si>
  <si>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</si>
  <si>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</si>
  <si>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</si>
  <si>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</si>
  <si>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</si>
  <si>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</si>
  <si>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</si>
  <si>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</si>
  <si>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</si>
  <si>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</si>
  <si>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</si>
  <si>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</si>
  <si>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</si>
  <si>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</si>
  <si>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</si>
  <si>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</si>
  <si>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</si>
  <si>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</si>
  <si>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</si>
  <si>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</si>
  <si>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</si>
  <si>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</si>
  <si>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</si>
  <si>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</si>
  <si>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</si>
  <si>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</si>
  <si>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</si>
  <si>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</si>
  <si>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</si>
  <si>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</si>
  <si>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</si>
  <si>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</si>
  <si>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</si>
  <si>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</si>
  <si>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</si>
  <si>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</si>
  <si>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</si>
  <si>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</si>
  <si>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</si>
  <si>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</si>
  <si>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</si>
  <si>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</si>
  <si>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</si>
  <si>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</si>
  <si>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</si>
  <si>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</si>
  <si>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</si>
  <si>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</si>
  <si>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</si>
  <si>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</si>
  <si>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</si>
  <si>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</si>
  <si>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</si>
  <si>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</si>
  <si>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</si>
  <si>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</si>
  <si>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</si>
  <si>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</si>
  <si>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</si>
  <si>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</si>
  <si>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</si>
  <si>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</si>
  <si>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</si>
  <si>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</si>
  <si>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</si>
  <si>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</si>
  <si>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</si>
  <si>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</si>
  <si>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</si>
  <si>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</si>
  <si>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</si>
  <si>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</si>
  <si>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</si>
  <si>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</si>
  <si>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</si>
  <si>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</si>
  <si>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</si>
  <si>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</si>
  <si>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</si>
  <si>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</si>
  <si>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</si>
  <si>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</si>
  <si>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</si>
  <si>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</si>
  <si>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</si>
  <si>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</si>
  <si>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</si>
  <si>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</si>
  <si>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</si>
  <si>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</si>
  <si>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</si>
  <si>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</si>
  <si>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</si>
  <si>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</si>
  <si>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</si>
  <si>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</si>
  <si>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</si>
  <si>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</si>
  <si>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</si>
  <si>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</si>
  <si>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</si>
  <si>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</si>
  <si>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</si>
  <si>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</si>
  <si>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</si>
  <si>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</si>
  <si>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</si>
  <si>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</si>
  <si>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</si>
  <si>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</si>
  <si>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</si>
  <si>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</si>
  <si>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</si>
  <si>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</si>
  <si>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</si>
  <si>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</si>
  <si>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</si>
  <si>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</si>
  <si>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</si>
  <si>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</si>
  <si>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</si>
  <si>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</si>
  <si>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</si>
  <si>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</si>
  <si>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</si>
  <si>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</si>
  <si>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</si>
  <si>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</si>
  <si>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</si>
  <si>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</si>
  <si>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</si>
  <si>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</si>
  <si>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</si>
  <si>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</si>
  <si>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</si>
  <si>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</si>
  <si>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</si>
  <si>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</si>
  <si>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</si>
  <si>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</si>
  <si>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</si>
  <si>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</si>
  <si>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</si>
  <si>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</si>
  <si>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</si>
  <si>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</si>
  <si>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</si>
  <si>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</si>
  <si>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</si>
  <si>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</si>
  <si>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</si>
  <si>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</si>
  <si>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</si>
  <si>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</si>
  <si>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</si>
  <si>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</si>
  <si>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</si>
  <si>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</si>
  <si>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</si>
  <si>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</si>
  <si>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</si>
  <si>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</si>
  <si>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</si>
  <si>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</si>
  <si>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</si>
  <si>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</si>
  <si>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</si>
  <si>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</si>
  <si>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</si>
  <si>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</si>
  <si>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</si>
  <si>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</si>
  <si>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</si>
  <si>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</si>
  <si>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</si>
  <si>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</si>
  <si>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</si>
  <si>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</si>
  <si>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</si>
  <si>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</si>
  <si>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</si>
  <si>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</si>
  <si>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</si>
  <si>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</si>
  <si>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</si>
  <si>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</si>
  <si>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</si>
  <si>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</si>
  <si>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</si>
  <si>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</si>
  <si>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</si>
  <si>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</si>
  <si>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</si>
  <si>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</si>
  <si>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</si>
  <si>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</si>
  <si>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</si>
  <si>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</si>
  <si>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</si>
  <si>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</si>
  <si>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</si>
  <si>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</si>
  <si>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</si>
  <si>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</si>
  <si>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</si>
  <si>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</si>
  <si>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</si>
  <si>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</si>
  <si>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</si>
  <si>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</si>
  <si>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</si>
  <si>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</si>
  <si>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</si>
  <si>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</si>
  <si>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</si>
  <si>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</si>
  <si>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</si>
  <si>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</si>
  <si>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</si>
  <si>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</si>
  <si>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</si>
  <si>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</si>
  <si>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</si>
  <si>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</si>
  <si>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</si>
  <si>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</si>
  <si>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</si>
  <si>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</si>
  <si>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</si>
  <si>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</si>
  <si>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</si>
  <si>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</si>
  <si>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</si>
  <si>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</si>
  <si>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</si>
  <si>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</si>
  <si>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</si>
  <si>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</si>
  <si>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</si>
  <si>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</si>
  <si>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</si>
  <si>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</si>
  <si>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</si>
  <si>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</si>
  <si>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</si>
  <si>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</si>
  <si>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</si>
  <si>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</si>
  <si>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</si>
  <si>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</si>
  <si>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</si>
  <si>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</si>
  <si>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</si>
  <si>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</si>
  <si>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</si>
  <si>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</si>
  <si>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</si>
  <si>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</si>
  <si>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</si>
  <si>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</si>
  <si>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</si>
  <si>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</si>
  <si>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</si>
  <si>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</si>
  <si>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</si>
  <si>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</si>
  <si>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</si>
  <si>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</si>
  <si>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</si>
  <si>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</si>
  <si>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</si>
  <si>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</si>
  <si>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</si>
  <si>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</si>
  <si>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</si>
  <si>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</si>
  <si>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</si>
  <si>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</si>
  <si>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</si>
  <si>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</si>
  <si>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</si>
  <si>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</si>
  <si>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</si>
  <si>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</si>
  <si>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</si>
  <si>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</si>
  <si>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</si>
  <si>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</si>
  <si>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</si>
  <si>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</si>
  <si>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</si>
  <si>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</si>
  <si>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</si>
  <si>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</si>
  <si>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</si>
  <si>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</si>
  <si>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</si>
  <si>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</si>
  <si>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</si>
  <si>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</si>
  <si>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</si>
  <si>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</si>
  <si>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</si>
  <si>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</si>
  <si>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</si>
  <si>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</si>
  <si>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</si>
  <si>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</si>
  <si>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</si>
  <si>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</si>
  <si>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</si>
  <si>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</si>
  <si>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</si>
  <si>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</si>
  <si>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</si>
  <si>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</si>
  <si>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</si>
  <si>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</si>
  <si>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</si>
  <si>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</si>
  <si>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</si>
  <si>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</si>
  <si>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</si>
  <si>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</si>
  <si>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</si>
  <si>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</si>
  <si>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</si>
  <si>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</si>
  <si>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</si>
  <si>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</si>
  <si>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</si>
  <si>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</si>
  <si>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</si>
  <si>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</si>
  <si>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</si>
  <si>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</si>
  <si>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</si>
  <si>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</si>
  <si>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</si>
  <si>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</si>
  <si>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</si>
  <si>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</si>
  <si>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</si>
  <si>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</si>
  <si>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</si>
  <si>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</si>
  <si>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</si>
  <si>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</si>
  <si>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</si>
  <si>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</si>
  <si>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</si>
  <si>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</si>
  <si>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</si>
  <si>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</si>
  <si>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</si>
  <si>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</si>
  <si>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</si>
  <si>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</si>
  <si>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</si>
  <si>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</si>
  <si>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</si>
  <si>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</si>
  <si>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</si>
  <si>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</si>
  <si>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</si>
  <si>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</si>
  <si>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</si>
  <si>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</si>
  <si>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</si>
  <si>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</si>
  <si>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</si>
  <si>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</si>
  <si>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</si>
  <si>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</si>
  <si>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</si>
  <si>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</si>
  <si>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</si>
  <si>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</si>
  <si>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</si>
  <si>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</si>
  <si>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</si>
  <si>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</si>
  <si>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</si>
  <si>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</si>
  <si>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</si>
  <si>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</si>
  <si>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</si>
  <si>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</si>
  <si>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</si>
  <si>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</si>
  <si>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</si>
  <si>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</si>
  <si>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</si>
  <si>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</si>
  <si>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</si>
  <si>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</si>
  <si>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</si>
  <si>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</si>
  <si>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</si>
  <si>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</si>
  <si>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</si>
  <si>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</si>
  <si>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</si>
  <si>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</si>
  <si>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</si>
  <si>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</si>
  <si>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</si>
  <si>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</si>
  <si>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</si>
  <si>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</si>
  <si>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</si>
  <si>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</si>
  <si>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</si>
  <si>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</si>
  <si>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</si>
  <si>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</si>
  <si>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</si>
  <si>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</si>
  <si>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</si>
  <si>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</si>
  <si>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</si>
  <si>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</si>
  <si>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</si>
  <si>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</si>
  <si>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</si>
  <si>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</si>
  <si>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</si>
  <si>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</si>
  <si>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</si>
  <si>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</si>
  <si>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</si>
  <si>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</si>
  <si>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</si>
  <si>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</si>
  <si>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</si>
  <si>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</si>
  <si>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</si>
  <si>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</si>
  <si>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</si>
  <si>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</si>
  <si>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</si>
  <si>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</si>
  <si>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</si>
  <si>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</si>
  <si>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</si>
  <si>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</si>
  <si>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</si>
  <si>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</si>
  <si>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</si>
  <si>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</si>
  <si>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</si>
  <si>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</si>
  <si>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</si>
  <si>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</si>
  <si>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</si>
  <si>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</si>
  <si>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</si>
  <si>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</si>
  <si>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</si>
  <si>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</si>
  <si>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</si>
  <si>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</si>
  <si>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</si>
  <si>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</si>
  <si>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</si>
  <si>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</si>
  <si>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</si>
  <si>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</si>
  <si>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</si>
  <si>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</si>
  <si>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</si>
  <si>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</si>
  <si>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</si>
  <si>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</si>
  <si>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</si>
  <si>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</si>
  <si>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</si>
  <si>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</si>
  <si>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</si>
  <si>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</si>
  <si>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</si>
  <si>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</si>
  <si>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</si>
  <si>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</si>
  <si>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</si>
  <si>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</si>
  <si>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</si>
  <si>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</si>
  <si>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</si>
  <si>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</si>
  <si>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</si>
  <si>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</si>
  <si>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</si>
  <si>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</si>
  <si>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</si>
  <si>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</si>
  <si>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</si>
  <si>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</si>
  <si>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</si>
  <si>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</si>
  <si>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</si>
  <si>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</si>
  <si>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</si>
  <si>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</si>
  <si>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</si>
  <si>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</si>
  <si>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</si>
  <si>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</si>
  <si>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</si>
  <si>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</si>
  <si>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InterestExpense=823mm</t>
  </si>
  <si>
    <t>income</t>
  </si>
  <si>
    <t>0001018724-24-000083</t>
  </si>
  <si>
    <t/>
  </si>
  <si>
    <t>copied</t>
  </si>
  <si>
    <t>high</t>
  </si>
  <si>
    <t>not_run</t>
  </si>
  <si>
    <t>Included SEC interest expense, including operating interest expense when that is the company's presentation.</t>
  </si>
  <si>
    <t>G29</t>
  </si>
  <si>
    <t>2Q23</t>
  </si>
  <si>
    <t>InterestExpense=840mm</t>
  </si>
  <si>
    <t>0001018724-23-000012</t>
  </si>
  <si>
    <t>H29</t>
  </si>
  <si>
    <t>3Q23</t>
  </si>
  <si>
    <t>InterestExpense=806mm</t>
  </si>
  <si>
    <t>0001018724-23-000018</t>
  </si>
  <si>
    <t>I29</t>
  </si>
  <si>
    <t>4Q23</t>
  </si>
  <si>
    <t>InterestExpense=713mm</t>
  </si>
  <si>
    <t>Included SEC interest expense, including operating interest expense when that is the company's presentation. Quarterly value was derived from Interest Expense less 1Q23, 2Q23, 3Q23.</t>
  </si>
  <si>
    <t>K29</t>
  </si>
  <si>
    <t>1Q24</t>
  </si>
  <si>
    <t>InterestExpense=644mm</t>
  </si>
  <si>
    <t>F34</t>
  </si>
  <si>
    <t>DepreciationDepletionAndAmortization=11123mm</t>
  </si>
  <si>
    <t>inverted to match model sign convention</t>
  </si>
  <si>
    <t>G34</t>
  </si>
  <si>
    <t>DepreciationDepletionAndAmortization=11589mm</t>
  </si>
  <si>
    <t>0001018724-24-000130</t>
  </si>
  <si>
    <t>H34</t>
  </si>
  <si>
    <t>DepreciationDepletionAndAmortization=12131mm</t>
  </si>
  <si>
    <t>0001018724-24-000161</t>
  </si>
  <si>
    <t>I34</t>
  </si>
  <si>
    <t>DepreciationDepletionAndAmortization=1135mm</t>
  </si>
  <si>
    <t>Quarterly value was derived from Depreciation, Depletion and Amortization less 1Q23, 2Q23, 3Q23.</t>
  </si>
  <si>
    <t>K34</t>
  </si>
  <si>
    <t>DepreciationDepletionAndAmortization=11684mm</t>
  </si>
  <si>
    <t>0001018724-25-000036</t>
  </si>
  <si>
    <t>L34</t>
  </si>
  <si>
    <t>2Q24</t>
  </si>
  <si>
    <t>DepreciationDepletionAndAmortization=12038mm</t>
  </si>
  <si>
    <t>0001018724-25-000086</t>
  </si>
  <si>
    <t>M34</t>
  </si>
  <si>
    <t>3Q24</t>
  </si>
  <si>
    <t>DepreciationDepletionAndAmortization=13442mm</t>
  </si>
  <si>
    <t>0001018724-25-000123</t>
  </si>
  <si>
    <t>N34</t>
  </si>
  <si>
    <t>4Q24</t>
  </si>
  <si>
    <t>DepreciationDepletionAndAmortization=1811mm</t>
  </si>
  <si>
    <t>Quarterly value was derived from Depreciation, Depletion and Amortization less 1Q24, 2Q24, 3Q24.</t>
  </si>
  <si>
    <t>P34</t>
  </si>
  <si>
    <t>1Q25</t>
  </si>
  <si>
    <t>DepreciationDepletionAndAmortization=14262mm</t>
  </si>
  <si>
    <t>0001018724-26-000014</t>
  </si>
  <si>
    <t>Q34</t>
  </si>
  <si>
    <t>2Q25</t>
  </si>
  <si>
    <t>DepreciationDepletionAndAmortization=15227mm</t>
  </si>
  <si>
    <t>R34</t>
  </si>
  <si>
    <t>3Q25</t>
  </si>
  <si>
    <t>DepreciationDepletionAndAmortization=16796mm</t>
  </si>
  <si>
    <t>S34</t>
  </si>
  <si>
    <t>4Q25</t>
  </si>
  <si>
    <t>DepreciationDepletionAndAmortization=3840mm</t>
  </si>
  <si>
    <t>Quarterly value was derived from Depreciation, Depletion and Amortization less 1Q25, 2Q25, 3Q25.</t>
  </si>
  <si>
    <t>F35</t>
  </si>
  <si>
    <t>grouped</t>
  </si>
  <si>
    <t>CostOfGoodsAndServicesSold=67791mm</t>
  </si>
  <si>
    <t>Grouped from EDGAR: Cost of Goods and Services Sold. These were grouped because the model row is broader than the EDGAR operating expense detail available for this company.</t>
  </si>
  <si>
    <t>G35</t>
  </si>
  <si>
    <t>CostOfGoodsAndServicesSold=69373mm</t>
  </si>
  <si>
    <t>H35</t>
  </si>
  <si>
    <t>CostOfGoodsAndServicesSold=75022mm</t>
  </si>
  <si>
    <t>I35</t>
  </si>
  <si>
    <t>CostOfGoodsAndServicesSold=92553mm</t>
  </si>
  <si>
    <t>Grouped from EDGAR: Cost of Goods and Services Sold (derived Q4). These were grouped because the model row is broader than the EDGAR operating expense detail available for this company. Quarterly value was derived from Cost of Goods and Services Sold less 1Q23, 2Q23, 3Q23.</t>
  </si>
  <si>
    <t>K35</t>
  </si>
  <si>
    <t>CostOfGoodsAndServicesSold=72633mm</t>
  </si>
  <si>
    <t>L35</t>
  </si>
  <si>
    <t>CostOfGoodsAndServicesSold=73785mm</t>
  </si>
  <si>
    <t>M35</t>
  </si>
  <si>
    <t>CostOfGoodsAndServicesSold=80977mm</t>
  </si>
  <si>
    <t>N35</t>
  </si>
  <si>
    <t>CostOfGoodsAndServicesSold=98893mm</t>
  </si>
  <si>
    <t>Grouped from EDGAR: Cost of Goods and Services Sold (derived Q4). These were grouped because the model row is broader than the EDGAR operating expense detail available for this company. Quarterly value was derived from Cost of Goods and Services Sold less 1Q24, 2Q24, 3Q24.</t>
  </si>
  <si>
    <t>P35</t>
  </si>
  <si>
    <t>CostOfGoodsAndServicesSold=76976mm</t>
  </si>
  <si>
    <t>Q35</t>
  </si>
  <si>
    <t>CostOfGoodsAndServicesSold=80809mm</t>
  </si>
  <si>
    <t>R35</t>
  </si>
  <si>
    <t>CostOfGoodsAndServicesSold=88670mm</t>
  </si>
  <si>
    <t>S35</t>
  </si>
  <si>
    <t>CostOfGoodsAndServicesSold=109959mm</t>
  </si>
  <si>
    <t>Grouped from EDGAR: Cost of Goods and Services Sold (derived Q4). These were grouped because the model row is broader than the EDGAR operating expense detail available for this company. Quarterly value was derived from Cost of Goods and Services Sold less 1Q25, 2Q25, 3Q25.</t>
  </si>
  <si>
    <t>F41</t>
  </si>
  <si>
    <t>OtherNonoperatingIncomeExpense=-443mm</t>
  </si>
  <si>
    <t>G41</t>
  </si>
  <si>
    <t>OtherNonoperatingIncomeExpense=61mm</t>
  </si>
  <si>
    <t>H41</t>
  </si>
  <si>
    <t>OtherNonoperatingIncomeExpense=1031mm</t>
  </si>
  <si>
    <t>I41</t>
  </si>
  <si>
    <t>OtherNonoperatingIncomeExpense=289mm</t>
  </si>
  <si>
    <t>Quarterly value was derived from Other Nonoperating Income (Expense) less 1Q23, 2Q23, 3Q23.</t>
  </si>
  <si>
    <t>K41</t>
  </si>
  <si>
    <t>OtherNonoperatingIncomeExpense=-2673mm</t>
  </si>
  <si>
    <t>L41</t>
  </si>
  <si>
    <t>OtherNonoperatingIncomeExpense=-18mm</t>
  </si>
  <si>
    <t>M41</t>
  </si>
  <si>
    <t>OtherNonoperatingIncomeExpense=-27mm</t>
  </si>
  <si>
    <t>N41</t>
  </si>
  <si>
    <t>OtherNonoperatingIncomeExpense=468mm</t>
  </si>
  <si>
    <t>Quarterly value was derived from Other Nonoperating Income (Expense) less 1Q24, 2Q24, 3Q24.</t>
  </si>
  <si>
    <t>P41</t>
  </si>
  <si>
    <t>OtherNonoperatingIncomeExpense=2749mm</t>
  </si>
  <si>
    <t>Q41</t>
  </si>
  <si>
    <t>OtherNonoperatingIncomeExpense=1117mm</t>
  </si>
  <si>
    <t>R41</t>
  </si>
  <si>
    <t>OtherNonoperatingIncomeExpense=10186mm</t>
  </si>
  <si>
    <t>S41</t>
  </si>
  <si>
    <t>OtherNonoperatingIncomeExpense=1177mm</t>
  </si>
  <si>
    <t>Quarterly value was derived from Other Nonoperating Income (Expense) less 1Q25, 2Q25, 3Q25.</t>
  </si>
  <si>
    <t>F44</t>
  </si>
  <si>
    <t>IncomeTaxExpenseBenefit=948mm</t>
  </si>
  <si>
    <t>G44</t>
  </si>
  <si>
    <t>IncomeTaxExpenseBenefit=804mm</t>
  </si>
  <si>
    <t>H44</t>
  </si>
  <si>
    <t>IncomeTaxExpenseBenefit=2306mm</t>
  </si>
  <si>
    <t>I44</t>
  </si>
  <si>
    <t>formula</t>
  </si>
  <si>
    <t>IncomeTaxExpenseBenefit</t>
  </si>
  <si>
    <t>existing formula cell</t>
  </si>
  <si>
    <t>not written</t>
  </si>
  <si>
    <t>low</t>
  </si>
  <si>
    <t>formula_preserved</t>
  </si>
  <si>
    <t>Formula preserved; EDGAR value was not written over an existing model formula.</t>
  </si>
  <si>
    <t>K44</t>
  </si>
  <si>
    <t>IncomeTaxExpenseBenefit=2467mm</t>
  </si>
  <si>
    <t>L44</t>
  </si>
  <si>
    <t>IncomeTaxExpenseBenefit=1767mm</t>
  </si>
  <si>
    <t>M44</t>
  </si>
  <si>
    <t>IncomeTaxExpenseBenefit=2706mm</t>
  </si>
  <si>
    <t>N44</t>
  </si>
  <si>
    <t>P44</t>
  </si>
  <si>
    <t>IncomeTaxExpenseBenefit=4553mm</t>
  </si>
  <si>
    <t>Q44</t>
  </si>
  <si>
    <t>IncomeTaxExpenseBenefit=2678mm</t>
  </si>
  <si>
    <t>R44</t>
  </si>
  <si>
    <t>IncomeTaxExpenseBenefit=6910mm</t>
  </si>
  <si>
    <t>S44</t>
  </si>
  <si>
    <t>I48</t>
  </si>
  <si>
    <t>N48</t>
  </si>
  <si>
    <t>S48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</si>
  <si>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</si>
  <si>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</si>
  <si>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</si>
  <si>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</si>
  <si>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</si>
  <si>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</si>
  <si>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</si>
  <si>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</si>
  <si>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</si>
  <si>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</si>
  <si>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I50</t>
  </si>
  <si>
    <t>N50</t>
  </si>
  <si>
    <t>S50</t>
  </si>
  <si>
    <t>F120</t>
  </si>
  <si>
    <t>CashAndCashEquivalentsAtCarryingValue=49343mm</t>
  </si>
  <si>
    <t>balance</t>
  </si>
  <si>
    <t>0001018724-23-000008</t>
  </si>
  <si>
    <t>Mapped to SEC cash and cash equivalents.</t>
  </si>
  <si>
    <t>G120</t>
  </si>
  <si>
    <t>CashAndCashEquivalentsAtCarryingValue=49529mm</t>
  </si>
  <si>
    <t>H120</t>
  </si>
  <si>
    <t>CashAndCashEquivalentsAtCarryingValue=49605mm</t>
  </si>
  <si>
    <t>I120</t>
  </si>
  <si>
    <t>CashAndCashEquivalentsAtCarryingValue=73387mm</t>
  </si>
  <si>
    <t>0001018724-25-000004</t>
  </si>
  <si>
    <t>K120</t>
  </si>
  <si>
    <t>CashAndCashEquivalentsAtCarryingValue=72852mm</t>
  </si>
  <si>
    <t>L120</t>
  </si>
  <si>
    <t>CashAndCashEquivalentsAtCarryingValue=71178mm</t>
  </si>
  <si>
    <t>M120</t>
  </si>
  <si>
    <t>CashAndCashEquivalentsAtCarryingValue=75091mm</t>
  </si>
  <si>
    <t>N120</t>
  </si>
  <si>
    <t>CashAndCashEquivalentsAtCarryingValue=78779mm</t>
  </si>
  <si>
    <t>0001018724-26-000004</t>
  </si>
  <si>
    <t>P120</t>
  </si>
  <si>
    <t>CashAndCashEquivalentsAtCarryingValue=66207mm</t>
  </si>
  <si>
    <t>Q120</t>
  </si>
  <si>
    <t>CashAndCashEquivalentsAtCarryingValue=57741mm</t>
  </si>
  <si>
    <t>R120</t>
  </si>
  <si>
    <t>CashAndCashEquivalentsAtCarryingValue=66922mm</t>
  </si>
  <si>
    <t>S120</t>
  </si>
  <si>
    <t>CashAndCashEquivalentsAtCarryingValue=86810mm</t>
  </si>
  <si>
    <t>F121</t>
  </si>
  <si>
    <t>AccountsReceivableNetCurrent=37646mm</t>
  </si>
  <si>
    <t>Grouped from EDGAR: Accounts Receivable, after Allowance for Credit Loss, Current.</t>
  </si>
  <si>
    <t>G121</t>
  </si>
  <si>
    <t>AccountsReceivableNetCurrent=39925mm</t>
  </si>
  <si>
    <t>H121</t>
  </si>
  <si>
    <t>AccountsReceivableNetCurrent=43420mm</t>
  </si>
  <si>
    <t>I121</t>
  </si>
  <si>
    <t>AccountsReceivableNetCurrent=52253mm</t>
  </si>
  <si>
    <t>K121</t>
  </si>
  <si>
    <t>AccountsReceivableNetCurrent=47768mm</t>
  </si>
  <si>
    <t>L121</t>
  </si>
  <si>
    <t>AccountsReceivableNetCurrent=50106mm</t>
  </si>
  <si>
    <t>M121</t>
  </si>
  <si>
    <t>AccountsReceivableNetCurrent=51638mm</t>
  </si>
  <si>
    <t>N121</t>
  </si>
  <si>
    <t>AccountsReceivableNetCurrent=55451mm</t>
  </si>
  <si>
    <t>P121</t>
  </si>
  <si>
    <t>AccountsReceivableNetCurrent=54216mm</t>
  </si>
  <si>
    <t>Q121</t>
  </si>
  <si>
    <t>AccountsReceivableNetCurrent=57415mm</t>
  </si>
  <si>
    <t>R121</t>
  </si>
  <si>
    <t>AccountsReceivableNetCurrent=61175mm</t>
  </si>
  <si>
    <t>S121</t>
  </si>
  <si>
    <t>AccountsReceivableNetCurrent=67729mm</t>
  </si>
  <si>
    <t>Grouped from EDGAR: Accounts Receivable net Current.</t>
  </si>
  <si>
    <t>F122</t>
  </si>
  <si>
    <t>InventoryNet=34170mm</t>
  </si>
  <si>
    <t>G122</t>
  </si>
  <si>
    <t>InventoryNet=36587mm</t>
  </si>
  <si>
    <t>H122</t>
  </si>
  <si>
    <t>InventoryNet=35406mm</t>
  </si>
  <si>
    <t>I122</t>
  </si>
  <si>
    <t>InventoryNet=33318mm</t>
  </si>
  <si>
    <t>K122</t>
  </si>
  <si>
    <t>InventoryNet=31147mm</t>
  </si>
  <si>
    <t>L122</t>
  </si>
  <si>
    <t>InventoryNet=34109mm</t>
  </si>
  <si>
    <t>M122</t>
  </si>
  <si>
    <t>InventoryNet=36103mm</t>
  </si>
  <si>
    <t>N122</t>
  </si>
  <si>
    <t>InventoryNet=34214mm</t>
  </si>
  <si>
    <t>P122</t>
  </si>
  <si>
    <t>InventoryNet=35864mm</t>
  </si>
  <si>
    <t>Q122</t>
  </si>
  <si>
    <t>InventoryNet=40825mm</t>
  </si>
  <si>
    <t>R122</t>
  </si>
  <si>
    <t>InventoryNet=41494mm</t>
  </si>
  <si>
    <t>S122</t>
  </si>
  <si>
    <t>InventoryNet=38325mm</t>
  </si>
  <si>
    <t>F123</t>
  </si>
  <si>
    <t>AssetsCurrent=136221mm; CashAndCashEquivalentsAtCarryingValue=49343mm; AccountsReceivableNetCurrent=37646mm; InventoryNet=34170mm</t>
  </si>
  <si>
    <t>Grouped from EDGAR: Assets, Current, Cash and Cash Equivalents, at Carrying Value, Accounts Receivable, after Allowance for Credit Loss, Current, Inventory, Net. Included current assets less separately modeled cash, receivables, and inventory.</t>
  </si>
  <si>
    <t>G123</t>
  </si>
  <si>
    <t>AssetsCurrent=140482mm; CashAndCashEquivalentsAtCarryingValue=49529mm; AccountsReceivableNetCurrent=39925mm; InventoryNet=36587mm</t>
  </si>
  <si>
    <t>H123</t>
  </si>
  <si>
    <t>AssetsCurrent=142995mm; CashAndCashEquivalentsAtCarryingValue=49605mm; AccountsReceivableNetCurrent=43420mm; InventoryNet=35406mm</t>
  </si>
  <si>
    <t>I123</t>
  </si>
  <si>
    <t>AssetsCurrent=172351mm; CashAndCashEquivalentsAtCarryingValue=73387mm; AccountsReceivableNetCurrent=52253mm; InventoryNet=33318mm</t>
  </si>
  <si>
    <t>K123</t>
  </si>
  <si>
    <t>AssetsCurrent=163989mm; CashAndCashEquivalentsAtCarryingValue=72852mm; AccountsReceivableNetCurrent=47768mm; InventoryNet=31147mm</t>
  </si>
  <si>
    <t>L123</t>
  </si>
  <si>
    <t>AssetsCurrent=173307mm; CashAndCashEquivalentsAtCarryingValue=71178mm; AccountsReceivableNetCurrent=50106mm; InventoryNet=34109mm</t>
  </si>
  <si>
    <t>M123</t>
  </si>
  <si>
    <t>AssetsCurrent=175792mm; CashAndCashEquivalentsAtCarryingValue=75091mm; AccountsReceivableNetCurrent=51638mm; InventoryNet=36103mm</t>
  </si>
  <si>
    <t>N123</t>
  </si>
  <si>
    <t>AssetsCurrent=190867mm; CashAndCashEquivalentsAtCarryingValue=78779mm; AccountsReceivableNetCurrent=55451mm; InventoryNet=34214mm</t>
  </si>
  <si>
    <t>P123</t>
  </si>
  <si>
    <t>AssetsCurrent=184645mm; CashAndCashEquivalentsAtCarryingValue=66207mm; AccountsReceivableNetCurrent=54216mm; InventoryNet=35864mm</t>
  </si>
  <si>
    <t>Q123</t>
  </si>
  <si>
    <t>AssetsCurrent=191420mm; CashAndCashEquivalentsAtCarryingValue=57741mm; AccountsReceivableNetCurrent=57415mm; InventoryNet=40825mm</t>
  </si>
  <si>
    <t>R123</t>
  </si>
  <si>
    <t>AssetsCurrent=196866mm; CashAndCashEquivalentsAtCarryingValue=66922mm; AccountsReceivableNetCurrent=61175mm; InventoryNet=41494mm</t>
  </si>
  <si>
    <t>S123</t>
  </si>
  <si>
    <t>AssetsCurrent=229083mm; CashAndCashEquivalentsAtCarryingValue=86810mm; AccountsReceivableNetCurrent=67729mm; InventoryNet=38325mm</t>
  </si>
  <si>
    <t>0001018724-26-000014; 0001018724-26-000004</t>
  </si>
  <si>
    <t>Grouped from EDGAR: Assets, Current, Cash and Cash Equivalents At Carrying Value, Accounts Receivable net Current, Inventory net. Included current assets less separately modeled cash, receivables, and inventory.</t>
  </si>
  <si>
    <t>I127</t>
  </si>
  <si>
    <t>FiniteLivedIntangibleAssetsNet=6540mm</t>
  </si>
  <si>
    <t>Grouped from EDGAR: Finite-Lived Intangible Assets, Net.</t>
  </si>
  <si>
    <t>N127</t>
  </si>
  <si>
    <t>FiniteLivedIntangibleAssetsNet=7439mm</t>
  </si>
  <si>
    <t>S127</t>
  </si>
  <si>
    <t>FiniteLivedIntangibleAssetsNet=8034mm</t>
  </si>
  <si>
    <t>F128</t>
  </si>
  <si>
    <t>Goodwill=22749mm</t>
  </si>
  <si>
    <t>G128</t>
  </si>
  <si>
    <t>Goodwill=22785mm</t>
  </si>
  <si>
    <t>H128</t>
  </si>
  <si>
    <t>I128</t>
  </si>
  <si>
    <t>Goodwill=22789mm</t>
  </si>
  <si>
    <t>K128</t>
  </si>
  <si>
    <t>Goodwill=22770mm</t>
  </si>
  <si>
    <t>L128</t>
  </si>
  <si>
    <t>Goodwill=22879mm</t>
  </si>
  <si>
    <t>M128</t>
  </si>
  <si>
    <t>Goodwill=23081mm</t>
  </si>
  <si>
    <t>N128</t>
  </si>
  <si>
    <t>Goodwill=23074mm</t>
  </si>
  <si>
    <t>P128</t>
  </si>
  <si>
    <t>Goodwill=23089mm</t>
  </si>
  <si>
    <t>Q128</t>
  </si>
  <si>
    <t>Goodwill=23155mm</t>
  </si>
  <si>
    <t>R128</t>
  </si>
  <si>
    <t>Goodwill=23260mm</t>
  </si>
  <si>
    <t>S128</t>
  </si>
  <si>
    <t>Goodwill=23273mm</t>
  </si>
  <si>
    <t>F129</t>
  </si>
  <si>
    <t>OtherAssetsNoncurrent=46392mm</t>
  </si>
  <si>
    <t>Grouped from EDGAR: Other Assets, Noncurrent. Included other assets and assets of disposal groups / discontinued operations reported in the SEC filing.</t>
  </si>
  <si>
    <t>G129</t>
  </si>
  <si>
    <t>OtherAssetsNoncurrent=50224mm</t>
  </si>
  <si>
    <t>H129</t>
  </si>
  <si>
    <t>OtherAssetsNoncurrent=53913mm</t>
  </si>
  <si>
    <t>I129</t>
  </si>
  <si>
    <t>Assets=527854mm; CashAndCashEquivalentsAtCarryingValue=73387mm; AccountsReceivableNetCurrent=52253mm; InventoryNet=33318mm; AssetsCurrent=172351mm; CashAndCashEquivalentsAtCarryingValue=73387mm; AccountsReceivableNetCurrent=52253mm; InventoryNet=33318mm; PropertyPlantAndEquipmentAndFinanceLeaseRightOfUseAssetAfterAccumulatedDepreciationAndAmortization=204177mm; FiniteLivedIntangibleAssetsNet=6540mm; Goodwill=22789mm</t>
  </si>
  <si>
    <t>0001018724-26-000004; 0001018724-25-000004</t>
  </si>
  <si>
    <t>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</si>
  <si>
    <t>K129</t>
  </si>
  <si>
    <t>OtherAssetsNoncurrent=60947mm</t>
  </si>
  <si>
    <t>L129</t>
  </si>
  <si>
    <t>OtherAssetsNoncurrent=63340mm</t>
  </si>
  <si>
    <t>M129</t>
  </si>
  <si>
    <t>OtherAssetsNoncurrent=71309mm</t>
  </si>
  <si>
    <t>N129</t>
  </si>
  <si>
    <t>Assets=624894mm; CashAndCashEquivalentsAtCarryingValue=78779mm; AccountsReceivableNetCurrent=55451mm; InventoryNet=34214mm; AssetsCurrent=190867mm; CashAndCashEquivalentsAtCarryingValue=78779mm; AccountsReceivableNetCurrent=55451mm; InventoryNet=34214mm; PropertyPlantAndEquipmentAndFinanceLeaseRightOfUseAssetAfterAccumulatedDepreciationAndAmortization=252665mm; FiniteLivedIntangibleAssetsNet=7439mm; Goodwill=23074mm</t>
  </si>
  <si>
    <t>P129</t>
  </si>
  <si>
    <t>OtherAssetsNoncurrent=84246mm</t>
  </si>
  <si>
    <t>Q129</t>
  </si>
  <si>
    <t>OtherAssetsNoncurrent=87854mm</t>
  </si>
  <si>
    <t>R129</t>
  </si>
  <si>
    <t>OtherAssetsNoncurrent=99904mm</t>
  </si>
  <si>
    <t>S129</t>
  </si>
  <si>
    <t>Assets=818042mm; CashAndCashEquivalentsAtCarryingValue=86810mm; AccountsReceivableNetCurrent=67729mm; InventoryNet=38325mm; AssetsCurrent=229083mm; CashAndCashEquivalentsAtCarryingValue=86810mm; AccountsReceivableNetCurrent=67729mm; InventoryNet=38325mm; PropertyPlantAndEquipmentAndFinanceLeaseRightOfUseAssetAfterAccumulatedDepreciationAndAmortization=357025mm; FiniteLivedIntangibleAssetsNet=8034mm; Goodwill=23273mm</t>
  </si>
  <si>
    <t>0001018724-26-000004; 0001018724-26-000014</t>
  </si>
  <si>
    <t>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</si>
  <si>
    <t>F134</t>
  </si>
  <si>
    <t>ShortTermBorrowings=1100mm</t>
  </si>
  <si>
    <t>G134</t>
  </si>
  <si>
    <t>H134</t>
  </si>
  <si>
    <t>ShortTermBorrowings=166mm</t>
  </si>
  <si>
    <t>I134</t>
  </si>
  <si>
    <t>ShortTermBorrowings=147mm</t>
  </si>
  <si>
    <t>K134</t>
  </si>
  <si>
    <t>ShortTermBorrowings=50mm</t>
  </si>
  <si>
    <t>L134</t>
  </si>
  <si>
    <t>ShortTermBorrowings=76mm</t>
  </si>
  <si>
    <t>M134</t>
  </si>
  <si>
    <t>ShortTermBorrowings=88mm</t>
  </si>
  <si>
    <t>N134</t>
  </si>
  <si>
    <t>ShortTermBorrowings=151mm</t>
  </si>
  <si>
    <t>P134</t>
  </si>
  <si>
    <t>Q134</t>
  </si>
  <si>
    <t>ShortTermBorrowings=173mm</t>
  </si>
  <si>
    <t>R134</t>
  </si>
  <si>
    <t>ShortTermBorrowings=220mm</t>
  </si>
  <si>
    <t>S134</t>
  </si>
  <si>
    <t>ShortTermBorrowings=455mm</t>
  </si>
  <si>
    <t>F135</t>
  </si>
  <si>
    <t>AccountsPayableCurrent=66907mm</t>
  </si>
  <si>
    <t>Grouped from EDGAR: Accounts Payable, Current.</t>
  </si>
  <si>
    <t>G135</t>
  </si>
  <si>
    <t>AccountsPayableCurrent=69481mm</t>
  </si>
  <si>
    <t>H135</t>
  </si>
  <si>
    <t>AccountsPayableCurrent=72004mm</t>
  </si>
  <si>
    <t>I135</t>
  </si>
  <si>
    <t>AccountsPayableCurrent=84981mm</t>
  </si>
  <si>
    <t>K135</t>
  </si>
  <si>
    <t>AccountsPayableCurrent=73068mm</t>
  </si>
  <si>
    <t>L135</t>
  </si>
  <si>
    <t>AccountsPayableCurrent=81817mm</t>
  </si>
  <si>
    <t>M135</t>
  </si>
  <si>
    <t>AccountsPayableCurrent=84570mm</t>
  </si>
  <si>
    <t>N135</t>
  </si>
  <si>
    <t>AccountsPayableCurrent=94363mm</t>
  </si>
  <si>
    <t>P135</t>
  </si>
  <si>
    <t>AccountsPayableCurrent=89241mm</t>
  </si>
  <si>
    <t>Q135</t>
  </si>
  <si>
    <t>AccountsPayableCurrent=98285mm</t>
  </si>
  <si>
    <t>R135</t>
  </si>
  <si>
    <t>AccountsPayableCurrent=106032mm</t>
  </si>
  <si>
    <t>S135</t>
  </si>
  <si>
    <t>AccountsPayableCurrent=121909mm</t>
  </si>
  <si>
    <t>Grouped from EDGAR: Accounts Payable Current.</t>
  </si>
  <si>
    <t>F137</t>
  </si>
  <si>
    <t>OperatingLeaseLiability=71248mm; ContractWithCustomerLiabilityCurrent=14281mm</t>
  </si>
  <si>
    <t>Grouped from EDGAR: Operating Lease, Liability, Contract with Customer, Liability, Current. Included broker-dealer current liability concepts reported in the SEC filing.</t>
  </si>
  <si>
    <t>G137</t>
  </si>
  <si>
    <t>OperatingLeaseLiability=73370mm; ContractWithCustomerLiabilityCurrent=14522mm</t>
  </si>
  <si>
    <t>H137</t>
  </si>
  <si>
    <t>OperatingLeaseLiability=73902mm; ContractWithCustomerLiabilityCurrent=14398mm</t>
  </si>
  <si>
    <t>I137</t>
  </si>
  <si>
    <t>OperatingLeaseLiability=75639mm; ContractWithCustomerLiabilityCurrent=15227mm</t>
  </si>
  <si>
    <t>K137</t>
  </si>
  <si>
    <t>OperatingLeaseLiability=76019mm; ContractWithCustomerLiabilityCurrent=15927mm</t>
  </si>
  <si>
    <t>L137</t>
  </si>
  <si>
    <t>OperatingLeaseLiability=77432mm; ContractWithCustomerLiabilityCurrent=16004mm</t>
  </si>
  <si>
    <t>M137</t>
  </si>
  <si>
    <t>OperatingLeaseLiability=79677mm; ContractWithCustomerLiabilityCurrent=16305mm</t>
  </si>
  <si>
    <t>N137</t>
  </si>
  <si>
    <t>OperatingLeaseLiability=79596mm; ContractWithCustomerLiabilityCurrent=18103mm</t>
  </si>
  <si>
    <t>P137</t>
  </si>
  <si>
    <t>OperatingLeaseLiability=81731mm; ContractWithCustomerLiabilityCurrent=20599mm</t>
  </si>
  <si>
    <t>Q137</t>
  </si>
  <si>
    <t>OperatingLeaseLiability=84991mm; ContractWithCustomerLiabilityCurrent=21662mm</t>
  </si>
  <si>
    <t>R137</t>
  </si>
  <si>
    <t>OperatingLeaseLiability=86233mm; ContractWithCustomerLiabilityCurrent=21113mm</t>
  </si>
  <si>
    <t>S137</t>
  </si>
  <si>
    <t>OperatingLeaseLiability=89252mm; ContractWithCustomerLiabilityCurrent=20576mm</t>
  </si>
  <si>
    <t>Grouped from EDGAR: Operating Lease Liability, Contract With Customer Liability Current. Included broker-dealer current liability concepts reported in the SEC filing.</t>
  </si>
  <si>
    <t>F141</t>
  </si>
  <si>
    <t>LongTermDebt=69472mm</t>
  </si>
  <si>
    <t>Grouped from EDGAR: Long-term Debt.</t>
  </si>
  <si>
    <t>G141</t>
  </si>
  <si>
    <t>LongTermDebt=67472mm</t>
  </si>
  <si>
    <t>H141</t>
  </si>
  <si>
    <t>I141</t>
  </si>
  <si>
    <t>LongTermDebt=67182mm</t>
  </si>
  <si>
    <t>K141</t>
  </si>
  <si>
    <t>LongTermDebt=66852mm</t>
  </si>
  <si>
    <t>L141</t>
  </si>
  <si>
    <t>LongTermDebt=62683mm</t>
  </si>
  <si>
    <t>M141</t>
  </si>
  <si>
    <t>LongTermDebt=60500mm</t>
  </si>
  <si>
    <t>N141</t>
  </si>
  <si>
    <t>LongTermDebt=58000mm</t>
  </si>
  <si>
    <t>P141</t>
  </si>
  <si>
    <t>LongTermDebt=58750mm</t>
  </si>
  <si>
    <t>Q141</t>
  </si>
  <si>
    <t>LongTermDebt=56082mm</t>
  </si>
  <si>
    <t>R141</t>
  </si>
  <si>
    <t>LongTermDebt=55097mm</t>
  </si>
  <si>
    <t>S141</t>
  </si>
  <si>
    <t>LongTermDebt=68836mm</t>
  </si>
  <si>
    <t>Grouped from EDGAR: Long Term Debt.</t>
  </si>
  <si>
    <t>F143</t>
  </si>
  <si>
    <t>Assets=464378mm; LiabilitiesCurrent=147570mm; LongTermDebtCurrent=2000mm; ShortTermBorrowings=1100mm; LongTermDebtCurrent=2000mm; LongTermDebtNoncurrent=67084mm; LongTermDebt=69472mm; DeferredTaxLiabilitiesNoncurrent=0mm; StockholdersEquity=154526mm; NoncontrollingInterestInConsolidatedEntity=0mm</t>
  </si>
  <si>
    <t>0001018724-23-000008; 0001018724-24-000130</t>
  </si>
  <si>
    <t>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</si>
  <si>
    <t>G143</t>
  </si>
  <si>
    <t>Assets=477607mm; LiabilitiesCurrent=148238mm; LongTermDebtCurrent=3997mm; ShortTermBorrowings=1100mm; LongTermDebtCurrent=3997mm; LongTermDebtNoncurrent=63092mm; LongTermDebt=67472mm; DeferredTaxLiabilitiesNoncurrent=0mm; StockholdersEquity=168602mm; NoncontrollingInterestInConsolidatedEntity=0mm</t>
  </si>
  <si>
    <t>0001018724-23-000012; 0001018724-24-000161</t>
  </si>
  <si>
    <t>H143</t>
  </si>
  <si>
    <t>Assets=486883mm; LiabilitiesCurrent=145214mm; LongTermDebtCurrent=5995mm; ShortTermBorrowings=166mm; LongTermDebtCurrent=5995mm; LongTermDebtNoncurrent=61098mm; LongTermDebt=67472mm; DeferredTaxLiabilitiesNoncurrent=0mm; StockholdersEquity=182973mm; NoncontrollingInterestInConsolidatedEntity=0mm</t>
  </si>
  <si>
    <t>0001018724-23-000018; 0001018724-24-000161</t>
  </si>
  <si>
    <t>I143</t>
  </si>
  <si>
    <t>Assets=527854mm; LiabilitiesCurrent=164917mm; LongTermDebtCurrent=8494mm; ShortTermBorrowings=147mm; LongTermDebtCurrent=8494mm; LongTermDebtNoncurrent=58314mm; LongTermDebt=67182mm; DeferredTaxLiabilitiesNoncurrent=0mm; StockholdersEquity=201875mm; NoncontrollingInterestInConsolidatedEntity=0mm</t>
  </si>
  <si>
    <t>K143</t>
  </si>
  <si>
    <t>Assets=530969mm; LiabilitiesCurrent=152965mm; LongTermDebtCurrent=8848mm; ShortTermBorrowings=50mm; LongTermDebtCurrent=8848mm; LongTermDebtNoncurrent=57634mm; LongTermDebt=66852mm; DeferredTaxLiabilitiesNoncurrent=0mm; StockholdersEquity=216661mm; NoncontrollingInterestInConsolidatedEntity=0mm</t>
  </si>
  <si>
    <t>0001018724-24-000083; 0001018724-25-000086</t>
  </si>
  <si>
    <t>L143</t>
  </si>
  <si>
    <t>Assets=554818mm; LiabilitiesCurrent=158172mm; LongTermDebtCurrent=7429mm; ShortTermBorrowings=76mm; LongTermDebtCurrent=7429mm; LongTermDebtNoncurrent=54889mm; LongTermDebt=62683mm; DeferredTaxLiabilitiesNoncurrent=0mm; StockholdersEquity=236447mm; NoncontrollingInterestInConsolidatedEntity=0mm</t>
  </si>
  <si>
    <t>0001018724-24-000130; 0001018724-25-000123</t>
  </si>
  <si>
    <t>M143</t>
  </si>
  <si>
    <t>Assets=584626mm; LiabilitiesCurrent=161477mm; LongTermDebtCurrent=5248mm; ShortTermBorrowings=88mm; LongTermDebtCurrent=5248mm; LongTermDebtNoncurrent=54890mm; LongTermDebt=60500mm; DeferredTaxLiabilitiesNoncurrent=0mm; StockholdersEquity=259151mm; NoncontrollingInterestInConsolidatedEntity=0mm</t>
  </si>
  <si>
    <t>0001018724-24-000161; 0001018724-25-000123</t>
  </si>
  <si>
    <t>N143</t>
  </si>
  <si>
    <t>Assets=624894mm; LiabilitiesCurrent=179431mm; LongTermDebtCurrent=5017mm; ShortTermBorrowings=151mm; LongTermDebtCurrent=5017mm; LongTermDebtNoncurrent=52623mm; LongTermDebt=58000mm; DeferredTaxLiabilitiesNoncurrent=0mm; StockholdersEquity=285970mm; NoncontrollingInterestInConsolidatedEntity=0mm</t>
  </si>
  <si>
    <t>Grouped from EDGAR: Assets, Liabilities, Current, Long-term Debt, Current Maturities, Short-term Debt, Long-term Debt, Excluding Current Maturities, Long-term Debt, Deferred Tax Liabilities Noncurrent, Stockholders Equity, Noncontrolling Interest In Consolidated Entity. Included total assets less current liabilities, debt, deferred taxes, shareholder equity, and noncontrolling interests.</t>
  </si>
  <si>
    <t>P143</t>
  </si>
  <si>
    <t>Assets=643256mm; LiabilitiesCurrent=176171mm; LongTermDebtCurrent=5014mm; ShortTermBorrowings=76mm; LongTermDebtCurrent=5014mm; LongTermDebtNoncurrent=53374mm; LongTermDebt=58750mm; DeferredTaxLiabilitiesNoncurrent=0mm; StockholdersEquity=305867mm; NoncontrollingInterestInConsolidatedEntity=0mm</t>
  </si>
  <si>
    <t>0001018724-25-000036; 0001018724-26-000014</t>
  </si>
  <si>
    <t>Q143</t>
  </si>
  <si>
    <t>Assets=682170mm; LiabilitiesCurrent=186921mm; LongTermDebtCurrent=5005mm; ShortTermBorrowings=173mm; LongTermDebtCurrent=5005mm; LongTermDebtNoncurrent=50718mm; LongTermDebt=56082mm; DeferredTaxLiabilitiesNoncurrent=0mm; StockholdersEquity=333775mm; NoncontrollingInterestInConsolidatedEntity=0mm</t>
  </si>
  <si>
    <t>0001018724-25-000086; 0001018724-25-000123</t>
  </si>
  <si>
    <t>R143</t>
  </si>
  <si>
    <t>Assets=727921mm; LiabilitiesCurrent=195196mm; LongTermDebtCurrent=3997mm; ShortTermBorrowings=220mm; LongTermDebtCurrent=3997mm; LongTermDebtNoncurrent=50742mm; LongTermDebt=55097mm; DeferredTaxLiabilitiesNoncurrent=0mm; StockholdersEquity=369631mm; NoncontrollingInterestInConsolidatedEntity=0mm</t>
  </si>
  <si>
    <t>S143</t>
  </si>
  <si>
    <t>Assets=818042mm; LiabilitiesCurrent=218005mm; LongTermDebtCurrent=2748mm; ShortTermBorrowings=455mm; LongTermDebtCurrent=2748mm; LongTermDebtNoncurrent=65648mm; LongTermDebt=68836mm; DeferredTaxLiabilitiesNoncurrent=0mm; StockholdersEquity=411065mm; NoncontrollingInterestInConsolidatedEntity=0mm</t>
  </si>
  <si>
    <t>Grouped from EDGAR: Assets, Liabilities Current, Long Term Debt Current, Short Term Borrowings, Long Term Debt Noncurrent, Long Term Debt, Deferred Tax Liabilities Noncurrent, Stockholders Equity, Noncontrolling Interest In Consolidated Entity. Included total assets less current liabilities, debt, deferred taxes, shareholder equity, and noncontrolling interests.</t>
  </si>
  <si>
    <t>F148</t>
  </si>
  <si>
    <t>StockholdersEquity=154526mm; RetainedEarningsAccumulatedDeficit=86365mm; TreasuryStockValue=0mm; AccumulatedOtherComprehensiveIncomeLossNetOfTax=-3973mm</t>
  </si>
  <si>
    <t>0001018724-24-000130; 0001018724-23-000008</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</si>
  <si>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</si>
  <si>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</si>
  <si>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StockholdersEquity=168602mm; RetainedEarningsAccumulatedDeficit=93115mm; TreasuryStockValue=0mm; AccumulatedOtherComprehensiveIncomeLossNetOfTax=-3680mm</t>
  </si>
  <si>
    <t>0001018724-24-000161; 0001018724-23-000012</t>
  </si>
  <si>
    <t>H148</t>
  </si>
  <si>
    <t>StockholdersEquity=182973mm; RetainedEarningsAccumulatedDeficit=102994mm; TreasuryStockValue=0mm; AccumulatedOtherComprehensiveIncomeLossNetOfTax=-5003mm</t>
  </si>
  <si>
    <t>0001018724-24-000161; 0001018724-23-000018</t>
  </si>
  <si>
    <t>I148</t>
  </si>
  <si>
    <t>StockholdersEquity=201875mm; RetainedEarningsAccumulatedDeficit=113618mm; TreasuryStockValue=0mm; AccumulatedOtherComprehensiveIncomeLossNetOfTax=-3040mm</t>
  </si>
  <si>
    <t>K148</t>
  </si>
  <si>
    <t>StockholdersEquity=216661mm; RetainedEarningsAccumulatedDeficit=124049mm; TreasuryStockValue=0mm; AccumulatedOtherComprehensiveIncomeLossNetOfTax=-3598mm</t>
  </si>
  <si>
    <t>0001018724-25-000086; 0001018724-24-000083</t>
  </si>
  <si>
    <t>L148</t>
  </si>
  <si>
    <t>StockholdersEquity=236447mm; RetainedEarningsAccumulatedDeficit=137534mm; TreasuryStockValue=0mm; AccumulatedOtherComprehensiveIncomeLossNetOfTax=-3993mm</t>
  </si>
  <si>
    <t>0001018724-25-000123; 0001018724-24-000130</t>
  </si>
  <si>
    <t>M148</t>
  </si>
  <si>
    <t>StockholdersEquity=259151mm; RetainedEarningsAccumulatedDeficit=152862mm; TreasuryStockValue=0mm; AccumulatedOtherComprehensiveIncomeLossNetOfTax=-1918mm</t>
  </si>
  <si>
    <t>0001018724-25-000123; 0001018724-24-000161</t>
  </si>
  <si>
    <t>N148</t>
  </si>
  <si>
    <t>StockholdersEquity=285970mm; RetainedEarningsAccumulatedDeficit=172866mm; TreasuryStockValue=0mm; AccumulatedOtherComprehensiveIncomeLossNetOfTax=-34mm</t>
  </si>
  <si>
    <t>Grouped from EDGAR: Stockholders Equity, Retained Earnings (Accumulated Deficit), Treasury Stock Value, Accumulated Other Comprehensive Income (Loss), Net of Tax. Included stockholders' equity less retained earnings, treasury stock, and AOCI.</t>
  </si>
  <si>
    <t>P148</t>
  </si>
  <si>
    <t>StockholdersEquity=305867mm; RetainedEarningsAccumulatedDeficit=189993mm; TreasuryStockValue=0mm; AccumulatedOtherComprehensiveIncomeLossNetOfTax=-914mm</t>
  </si>
  <si>
    <t>0001018724-26-000014; 0001018724-25-000036</t>
  </si>
  <si>
    <t>Q148</t>
  </si>
  <si>
    <t>StockholdersEquity=333775mm; RetainedEarningsAccumulatedDeficit=208157mm; TreasuryStockValue=0mm; AccumulatedOtherComprehensiveIncomeLossNetOfTax=2420mm</t>
  </si>
  <si>
    <t>0001018724-25-000123; 0001018724-25-000086</t>
  </si>
  <si>
    <t>R148</t>
  </si>
  <si>
    <t>StockholdersEquity=369631mm; RetainedEarningsAccumulatedDeficit=229344mm; TreasuryStockValue=0mm; AccumulatedOtherComprehensiveIncomeLossNetOfTax=12333mm</t>
  </si>
  <si>
    <t>S148</t>
  </si>
  <si>
    <t>StockholdersEquity=411065mm; RetainedEarningsAccumulatedDeficit=250536mm; TreasuryStockValue=0mm; AccumulatedOtherComprehensiveIncomeLossNetOfTax=28230mm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</si>
  <si>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</si>
  <si>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</si>
  <si>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RetainedEarningsAccumulatedDeficit=86365mm</t>
  </si>
  <si>
    <t>G149</t>
  </si>
  <si>
    <t>RetainedEarningsAccumulatedDeficit=93115mm</t>
  </si>
  <si>
    <t>H149</t>
  </si>
  <si>
    <t>RetainedEarningsAccumulatedDeficit=102994mm</t>
  </si>
  <si>
    <t>I149</t>
  </si>
  <si>
    <t>RetainedEarningsAccumulatedDeficit=113618mm</t>
  </si>
  <si>
    <t>K149</t>
  </si>
  <si>
    <t>RetainedEarningsAccumulatedDeficit=124049mm</t>
  </si>
  <si>
    <t>L149</t>
  </si>
  <si>
    <t>RetainedEarningsAccumulatedDeficit=137534mm</t>
  </si>
  <si>
    <t>M149</t>
  </si>
  <si>
    <t>RetainedEarningsAccumulatedDeficit=152862mm</t>
  </si>
  <si>
    <t>N149</t>
  </si>
  <si>
    <t>RetainedEarningsAccumulatedDeficit=172866mm</t>
  </si>
  <si>
    <t>P149</t>
  </si>
  <si>
    <t>RetainedEarningsAccumulatedDeficit=189993mm</t>
  </si>
  <si>
    <t>Q149</t>
  </si>
  <si>
    <t>RetainedEarningsAccumulatedDeficit=208157mm</t>
  </si>
  <si>
    <t>R149</t>
  </si>
  <si>
    <t>RetainedEarningsAccumulatedDeficit=229344mm</t>
  </si>
  <si>
    <t>S149</t>
  </si>
  <si>
    <t>RetainedEarningsAccumulatedDeficit=250536mm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</si>
  <si>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</si>
  <si>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</si>
  <si>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</si>
  <si>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</si>
  <si>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</si>
  <si>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</si>
  <si>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</si>
  <si>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</si>
  <si>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</si>
  <si>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</si>
  <si>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</si>
  <si>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</si>
  <si>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</si>
  <si>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</si>
  <si>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</si>
  <si>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</si>
  <si>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AccumulatedOtherComprehensiveIncomeLossNetOfTax=-3973mm</t>
  </si>
  <si>
    <t>G151</t>
  </si>
  <si>
    <t>AccumulatedOtherComprehensiveIncomeLossNetOfTax=-3680mm</t>
  </si>
  <si>
    <t>H151</t>
  </si>
  <si>
    <t>AccumulatedOtherComprehensiveIncomeLossNetOfTax=-5003mm</t>
  </si>
  <si>
    <t>I151</t>
  </si>
  <si>
    <t>AccumulatedOtherComprehensiveIncomeLossNetOfTax=-3040mm</t>
  </si>
  <si>
    <t>K151</t>
  </si>
  <si>
    <t>AccumulatedOtherComprehensiveIncomeLossNetOfTax=-3598mm</t>
  </si>
  <si>
    <t>L151</t>
  </si>
  <si>
    <t>AccumulatedOtherComprehensiveIncomeLossNetOfTax=-3993mm</t>
  </si>
  <si>
    <t>M151</t>
  </si>
  <si>
    <t>AccumulatedOtherComprehensiveIncomeLossNetOfTax=-1918mm</t>
  </si>
  <si>
    <t>N151</t>
  </si>
  <si>
    <t>AccumulatedOtherComprehensiveIncomeLossNetOfTax=-34mm</t>
  </si>
  <si>
    <t>P151</t>
  </si>
  <si>
    <t>AccumulatedOtherComprehensiveIncomeLossNetOfTax=-914mm</t>
  </si>
  <si>
    <t>Q151</t>
  </si>
  <si>
    <t>AccumulatedOtherComprehensiveIncomeLossNetOfTax=2420mm</t>
  </si>
  <si>
    <t>R151</t>
  </si>
  <si>
    <t>AccumulatedOtherComprehensiveIncomeLossNetOfTax=12333mm</t>
  </si>
  <si>
    <t>S151</t>
  </si>
  <si>
    <t>AccumulatedOtherComprehensiveIncomeLossNetOfTax=28230mm</t>
  </si>
  <si>
    <t>F249</t>
  </si>
  <si>
    <t>ShareBasedCompensation=4748mm</t>
  </si>
  <si>
    <t>support</t>
  </si>
  <si>
    <t>G249</t>
  </si>
  <si>
    <t>ShareBasedCompensation=7127mm</t>
  </si>
  <si>
    <t>H249</t>
  </si>
  <si>
    <t>ShareBasedCompensation=5829mm</t>
  </si>
  <si>
    <t>I249</t>
  </si>
  <si>
    <t>ShareBasedCompensation=713mm</t>
  </si>
  <si>
    <t>Quarterly value was derived from Share-based Payment Arrangement, Noncash Expense less 1Q23, 2Q23, 3Q23.</t>
  </si>
  <si>
    <t>K249</t>
  </si>
  <si>
    <t>ShareBasedCompensation=4961mm</t>
  </si>
  <si>
    <t>L249</t>
  </si>
  <si>
    <t>ShareBasedCompensation=6722mm</t>
  </si>
  <si>
    <t>M249</t>
  </si>
  <si>
    <t>ShareBasedCompensation=5333mm</t>
  </si>
  <si>
    <t>N249</t>
  </si>
  <si>
    <t>ShareBasedCompensation=-1324mm</t>
  </si>
  <si>
    <t>Quarterly value was derived from Share-based Payment Arrangement, Noncash Expense less 1Q24, 2Q24, 3Q24.</t>
  </si>
  <si>
    <t>P249</t>
  </si>
  <si>
    <t>ShareBasedCompensation=3689mm</t>
  </si>
  <si>
    <t>Q249</t>
  </si>
  <si>
    <t>ShareBasedCompensation=6534mm</t>
  </si>
  <si>
    <t>R249</t>
  </si>
  <si>
    <t>ShareBasedCompensation=4847mm</t>
  </si>
  <si>
    <t>S249</t>
  </si>
  <si>
    <t>ShareBasedCompensation</t>
  </si>
  <si>
    <t>F254</t>
  </si>
  <si>
    <t>G254</t>
  </si>
  <si>
    <t>H254</t>
  </si>
  <si>
    <t>I254</t>
  </si>
  <si>
    <t>K254</t>
  </si>
  <si>
    <t>L254</t>
  </si>
  <si>
    <t>M254</t>
  </si>
  <si>
    <t>N254</t>
  </si>
  <si>
    <t>P254</t>
  </si>
  <si>
    <t>Q254</t>
  </si>
  <si>
    <t>R254</t>
  </si>
  <si>
    <t>S254</t>
  </si>
  <si>
    <t>G257</t>
  </si>
  <si>
    <t>PaymentsOfDividends; PaymentsOfDividendsCommonStock</t>
  </si>
  <si>
    <t>H257</t>
  </si>
  <si>
    <t>I257</t>
  </si>
  <si>
    <t>K257</t>
  </si>
  <si>
    <t>L257</t>
  </si>
  <si>
    <t>M257</t>
  </si>
  <si>
    <t>N257</t>
  </si>
  <si>
    <t>P257</t>
  </si>
  <si>
    <t>Q257</t>
  </si>
  <si>
    <t>R257</t>
  </si>
  <si>
    <t>S257</t>
  </si>
  <si>
    <t>F295</t>
  </si>
  <si>
    <t>CashAndCashEquivalentsAtCarryingValue=53888mm</t>
  </si>
  <si>
    <t>0001018724-24-000008</t>
  </si>
  <si>
    <t>Calculated from 4Q22 ending cash and equivalents.</t>
  </si>
  <si>
    <t>G295</t>
  </si>
  <si>
    <t>Calculated from 1Q23 ending cash and equivalents.</t>
  </si>
  <si>
    <t>H295</t>
  </si>
  <si>
    <t>Calculated from 2Q23 ending cash and equivalents.</t>
  </si>
  <si>
    <t>I295</t>
  </si>
  <si>
    <t>Calculated from 3Q23 ending cash and equivalents.</t>
  </si>
  <si>
    <t>K295</t>
  </si>
  <si>
    <t>Calculated from 4Q23 ending cash and equivalents.</t>
  </si>
  <si>
    <t>L295</t>
  </si>
  <si>
    <t>Calculated from 1Q24 ending cash and equivalents.</t>
  </si>
  <si>
    <t>M295</t>
  </si>
  <si>
    <t>Calculated from 2Q24 ending cash and equivalents.</t>
  </si>
  <si>
    <t>N295</t>
  </si>
  <si>
    <t>Calculated from 3Q24 ending cash and equivalents.</t>
  </si>
  <si>
    <t>P295</t>
  </si>
  <si>
    <t>Calculated from 4Q24 ending cash and equivalents.</t>
  </si>
  <si>
    <t>Q295</t>
  </si>
  <si>
    <t>Calculated from 1Q25 ending cash and equivalents.</t>
  </si>
  <si>
    <t>R295</t>
  </si>
  <si>
    <t>Calculated from 2Q25 ending cash and equivalents.</t>
  </si>
  <si>
    <t>S295</t>
  </si>
  <si>
    <t>Calculated from 3Q25 ending cash and equivalents.</t>
  </si>
  <si>
    <t>F298</t>
  </si>
  <si>
    <t>G298</t>
  </si>
  <si>
    <t>H298</t>
  </si>
  <si>
    <t>I298</t>
  </si>
  <si>
    <t>K298</t>
  </si>
  <si>
    <t>L298</t>
  </si>
  <si>
    <t>M298</t>
  </si>
  <si>
    <t>N298</t>
  </si>
  <si>
    <t>P298</t>
  </si>
  <si>
    <t>Q298</t>
  </si>
  <si>
    <t>R298</t>
  </si>
  <si>
    <t>S298</t>
  </si>
  <si>
    <t>F299</t>
  </si>
  <si>
    <t>G299</t>
  </si>
  <si>
    <t>H299</t>
  </si>
  <si>
    <t>I299</t>
  </si>
  <si>
    <t>K299</t>
  </si>
  <si>
    <t>L299</t>
  </si>
  <si>
    <t>M299</t>
  </si>
  <si>
    <t>N299</t>
  </si>
  <si>
    <t>P299</t>
  </si>
  <si>
    <t>Q299</t>
  </si>
  <si>
    <t>R299</t>
  </si>
  <si>
    <t>S299</t>
  </si>
  <si>
    <t>unused</t>
  </si>
  <si>
    <t>segment</t>
  </si>
  <si>
    <t>needs_review</t>
  </si>
  <si>
    <t>Needs review: Segment Analysis row was not filled because the template label is blank, generic, or does not confidently match an EDGAR reportable segment.</t>
  </si>
  <si>
    <t>Principal Transactions</t>
  </si>
  <si>
    <t>F52</t>
  </si>
  <si>
    <t>K52</t>
  </si>
  <si>
    <t>P52</t>
  </si>
  <si>
    <t>S53</t>
  </si>
  <si>
    <t>F196</t>
  </si>
  <si>
    <t>cleared</t>
  </si>
  <si>
    <t>Left blank: no schedule-specific EDGAR fact was found for this PP&amp;E / Depreciation Schedule bridge row. Generic cash-flow capex, consolidated D&amp;A, and acquisition cash-flow concepts are not used here.</t>
  </si>
  <si>
    <t>G196</t>
  </si>
  <si>
    <t>H196</t>
  </si>
  <si>
    <t>I196</t>
  </si>
  <si>
    <t>K196</t>
  </si>
  <si>
    <t>L196</t>
  </si>
  <si>
    <t>M196</t>
  </si>
  <si>
    <t>N196</t>
  </si>
  <si>
    <t>P196</t>
  </si>
  <si>
    <t>Q196</t>
  </si>
  <si>
    <t>R196</t>
  </si>
  <si>
    <t>S196</t>
  </si>
  <si>
    <t>F197</t>
  </si>
  <si>
    <t>G197</t>
  </si>
  <si>
    <t>H197</t>
  </si>
  <si>
    <t>I197</t>
  </si>
  <si>
    <t>K197</t>
  </si>
  <si>
    <t>L197</t>
  </si>
  <si>
    <t>M197</t>
  </si>
  <si>
    <t>N197</t>
  </si>
  <si>
    <t>P197</t>
  </si>
  <si>
    <t>Q197</t>
  </si>
  <si>
    <t>R197</t>
  </si>
  <si>
    <t>S197</t>
  </si>
  <si>
    <t>F198</t>
  </si>
  <si>
    <t>G198</t>
  </si>
  <si>
    <t>H198</t>
  </si>
  <si>
    <t>I198</t>
  </si>
  <si>
    <t>K198</t>
  </si>
  <si>
    <t>L198</t>
  </si>
  <si>
    <t>M198</t>
  </si>
  <si>
    <t>N198</t>
  </si>
  <si>
    <t>P198</t>
  </si>
  <si>
    <t>Q198</t>
  </si>
  <si>
    <t>R198</t>
  </si>
  <si>
    <t>S198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</si>
</sst>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5" customFormat="1" x14ac:dyDescent="0.25">
      <c r="A1" s="965" t="s">
        <v>1361</v>
      </c>
      <c r="B1" s="965" t="s">
        <v>1362</v>
      </c>
      <c r="C1" s="965" t="s">
        <v>1363</v>
      </c>
      <c r="D1" s="965" t="s">
        <v>1364</v>
      </c>
      <c r="E1" s="965" t="s">
        <v>1365</v>
      </c>
      <c r="F1" s="965" t="s">
        <v>1366</v>
      </c>
      <c r="G1" s="965" t="s">
        <v>1367</v>
      </c>
      <c r="H1" s="965" t="s">
        <v>1368</v>
      </c>
      <c r="I1" s="965" t="s">
        <v>1369</v>
      </c>
      <c r="J1" s="965" t="s">
        <v>1370</v>
      </c>
      <c r="K1" s="965" t="s">
        <v>1371</v>
      </c>
      <c r="L1" s="965" t="s">
        <v>1372</v>
      </c>
      <c r="M1" s="965" t="s">
        <v>1373</v>
      </c>
      <c r="N1" s="965" t="s">
        <v>1374</v>
      </c>
      <c r="O1" s="965" t="s">
        <v>1375</v>
      </c>
      <c r="P1" s="965" t="s">
        <v>1376</v>
      </c>
      <c r="Q1" s="965" t="s">
        <v>1377</v>
      </c>
    </row>
    <row r="2" spans="1:17" x14ac:dyDescent="0.25">
      <c r="A2" t="s">
        <v>39</v>
      </c>
      <c r="B2" t="s">
        <v>1378</v>
      </c>
      <c r="C2" t="s">
        <v>117</v>
      </c>
      <c r="D2" t="s">
        <v>1379</v>
      </c>
      <c r="E2">
        <v>-823</v>
      </c>
      <c r="F2" t="s">
        <v>1380</v>
      </c>
      <c r="G2" t="s">
        <v>1381</v>
      </c>
      <c r="H2" t="s">
        <v>1382</v>
      </c>
      <c r="I2" t="s">
        <v>1383</v>
      </c>
      <c r="J2" t="s">
        <v>1384</v>
      </c>
      <c r="K2" t="b">
        <v>1</v>
      </c>
      <c r="L2" t="b">
        <v>0</v>
      </c>
      <c r="M2" t="s">
        <v>1384</v>
      </c>
      <c r="N2" t="s">
        <v>1385</v>
      </c>
      <c r="O2" t="s">
        <v>1386</v>
      </c>
      <c r="P2" t="s">
        <v>1387</v>
      </c>
      <c r="Q2" t="s">
        <v>1388</v>
      </c>
    </row>
    <row r="3" spans="1:17" x14ac:dyDescent="0.25">
      <c r="A3" t="s">
        <v>39</v>
      </c>
      <c r="B3" t="s">
        <v>1389</v>
      </c>
      <c r="C3" t="s">
        <v>117</v>
      </c>
      <c r="D3" t="s">
        <v>1390</v>
      </c>
      <c r="E3">
        <v>-840</v>
      </c>
      <c r="F3" t="s">
        <v>1380</v>
      </c>
      <c r="G3" t="s">
        <v>1391</v>
      </c>
      <c r="H3" t="s">
        <v>1382</v>
      </c>
      <c r="I3" t="s">
        <v>1392</v>
      </c>
      <c r="J3" t="s">
        <v>1384</v>
      </c>
      <c r="K3" t="b">
        <v>1</v>
      </c>
      <c r="L3" t="b">
        <v>0</v>
      </c>
      <c r="M3" t="s">
        <v>1384</v>
      </c>
      <c r="N3" t="s">
        <v>1385</v>
      </c>
      <c r="O3" t="s">
        <v>1386</v>
      </c>
      <c r="P3" t="s">
        <v>1387</v>
      </c>
      <c r="Q3" t="s">
        <v>1388</v>
      </c>
    </row>
    <row r="4" spans="1:17" x14ac:dyDescent="0.25">
      <c r="A4" t="s">
        <v>39</v>
      </c>
      <c r="B4" t="s">
        <v>1393</v>
      </c>
      <c r="C4" t="s">
        <v>117</v>
      </c>
      <c r="D4" t="s">
        <v>1394</v>
      </c>
      <c r="E4">
        <v>-806</v>
      </c>
      <c r="F4" t="s">
        <v>1380</v>
      </c>
      <c r="G4" t="s">
        <v>1395</v>
      </c>
      <c r="H4" t="s">
        <v>1382</v>
      </c>
      <c r="I4" t="s">
        <v>1396</v>
      </c>
      <c r="J4" t="s">
        <v>1384</v>
      </c>
      <c r="K4" t="b">
        <v>1</v>
      </c>
      <c r="L4" t="b">
        <v>0</v>
      </c>
      <c r="M4" t="s">
        <v>1384</v>
      </c>
      <c r="N4" t="s">
        <v>1385</v>
      </c>
      <c r="O4" t="s">
        <v>1386</v>
      </c>
      <c r="P4" t="s">
        <v>1387</v>
      </c>
      <c r="Q4" t="s">
        <v>1388</v>
      </c>
    </row>
    <row r="5" spans="1:17" x14ac:dyDescent="0.25">
      <c r="A5" t="s">
        <v>39</v>
      </c>
      <c r="B5" t="s">
        <v>1397</v>
      </c>
      <c r="C5" t="s">
        <v>117</v>
      </c>
      <c r="D5" t="s">
        <v>1398</v>
      </c>
      <c r="E5">
        <v>-713</v>
      </c>
      <c r="F5" t="s">
        <v>1380</v>
      </c>
      <c r="G5" t="s">
        <v>1399</v>
      </c>
      <c r="H5" t="s">
        <v>1382</v>
      </c>
      <c r="I5" t="s">
        <v>1384</v>
      </c>
      <c r="J5" t="s">
        <v>1384</v>
      </c>
      <c r="K5" t="b">
        <v>1</v>
      </c>
      <c r="L5" t="b">
        <v>0</v>
      </c>
      <c r="M5" t="s">
        <v>1384</v>
      </c>
      <c r="N5" t="s">
        <v>1385</v>
      </c>
      <c r="O5" t="s">
        <v>1386</v>
      </c>
      <c r="P5" t="s">
        <v>1387</v>
      </c>
      <c r="Q5" t="s">
        <v>1400</v>
      </c>
    </row>
    <row r="6" spans="1:17" x14ac:dyDescent="0.25">
      <c r="A6" t="s">
        <v>39</v>
      </c>
      <c r="B6" t="s">
        <v>1401</v>
      </c>
      <c r="C6" t="s">
        <v>117</v>
      </c>
      <c r="D6" t="s">
        <v>1402</v>
      </c>
      <c r="E6">
        <v>-644</v>
      </c>
      <c r="F6" t="s">
        <v>1380</v>
      </c>
      <c r="G6" t="s">
        <v>1403</v>
      </c>
      <c r="H6" t="s">
        <v>1382</v>
      </c>
      <c r="I6" t="s">
        <v>1383</v>
      </c>
      <c r="J6" t="s">
        <v>1384</v>
      </c>
      <c r="K6" t="b">
        <v>1</v>
      </c>
      <c r="L6" t="b">
        <v>0</v>
      </c>
      <c r="M6" t="s">
        <v>1384</v>
      </c>
      <c r="N6" t="s">
        <v>1385</v>
      </c>
      <c r="O6" t="s">
        <v>1386</v>
      </c>
      <c r="P6" t="s">
        <v>1387</v>
      </c>
      <c r="Q6" t="s">
        <v>1388</v>
      </c>
    </row>
    <row r="7" spans="1:17" x14ac:dyDescent="0.25">
      <c r="A7" t="s">
        <v>39</v>
      </c>
      <c r="B7" t="s">
        <v>1404</v>
      </c>
      <c r="C7" t="s">
        <v>260</v>
      </c>
      <c r="D7" t="s">
        <v>1379</v>
      </c>
      <c r="E7">
        <v>-11123</v>
      </c>
      <c r="F7" t="s">
        <v>1380</v>
      </c>
      <c r="G7" t="s">
        <v>1405</v>
      </c>
      <c r="H7" t="s">
        <v>1382</v>
      </c>
      <c r="I7" t="s">
        <v>1383</v>
      </c>
      <c r="J7" t="s">
        <v>1384</v>
      </c>
      <c r="K7" t="b">
        <v>1</v>
      </c>
      <c r="L7" t="b">
        <v>0</v>
      </c>
      <c r="M7" t="s">
        <v>1384</v>
      </c>
      <c r="N7" t="s">
        <v>1406</v>
      </c>
      <c r="O7" t="s">
        <v>1386</v>
      </c>
      <c r="P7" t="s">
        <v>1387</v>
      </c>
      <c r="Q7" t="s">
        <v>1384</v>
      </c>
    </row>
    <row r="8" spans="1:17" x14ac:dyDescent="0.25">
      <c r="A8" t="s">
        <v>39</v>
      </c>
      <c r="B8" t="s">
        <v>1407</v>
      </c>
      <c r="C8" t="s">
        <v>260</v>
      </c>
      <c r="D8" t="s">
        <v>1390</v>
      </c>
      <c r="E8">
        <v>-11589</v>
      </c>
      <c r="F8" t="s">
        <v>1380</v>
      </c>
      <c r="G8" t="s">
        <v>1408</v>
      </c>
      <c r="H8" t="s">
        <v>1382</v>
      </c>
      <c r="I8" t="s">
        <v>1409</v>
      </c>
      <c r="J8" t="s">
        <v>1384</v>
      </c>
      <c r="K8" t="b">
        <v>1</v>
      </c>
      <c r="L8" t="b">
        <v>0</v>
      </c>
      <c r="M8" t="s">
        <v>1384</v>
      </c>
      <c r="N8" t="s">
        <v>1406</v>
      </c>
      <c r="O8" t="s">
        <v>1386</v>
      </c>
      <c r="P8" t="s">
        <v>1387</v>
      </c>
      <c r="Q8" t="s">
        <v>1384</v>
      </c>
    </row>
    <row r="9" spans="1:17" x14ac:dyDescent="0.25">
      <c r="A9" t="s">
        <v>39</v>
      </c>
      <c r="B9" t="s">
        <v>1410</v>
      </c>
      <c r="C9" t="s">
        <v>260</v>
      </c>
      <c r="D9" t="s">
        <v>1394</v>
      </c>
      <c r="E9">
        <v>-12131</v>
      </c>
      <c r="F9" t="s">
        <v>1380</v>
      </c>
      <c r="G9" t="s">
        <v>1411</v>
      </c>
      <c r="H9" t="s">
        <v>1382</v>
      </c>
      <c r="I9" t="s">
        <v>1412</v>
      </c>
      <c r="J9" t="s">
        <v>1384</v>
      </c>
      <c r="K9" t="b">
        <v>1</v>
      </c>
      <c r="L9" t="b">
        <v>0</v>
      </c>
      <c r="M9" t="s">
        <v>1384</v>
      </c>
      <c r="N9" t="s">
        <v>1406</v>
      </c>
      <c r="O9" t="s">
        <v>1386</v>
      </c>
      <c r="P9" t="s">
        <v>1387</v>
      </c>
      <c r="Q9" t="s">
        <v>1384</v>
      </c>
    </row>
    <row r="10" spans="1:17" x14ac:dyDescent="0.25">
      <c r="A10" t="s">
        <v>39</v>
      </c>
      <c r="B10" t="s">
        <v>1413</v>
      </c>
      <c r="C10" t="s">
        <v>260</v>
      </c>
      <c r="D10" t="s">
        <v>1398</v>
      </c>
      <c r="E10">
        <v>-1135</v>
      </c>
      <c r="F10" t="s">
        <v>1380</v>
      </c>
      <c r="G10" t="s">
        <v>1414</v>
      </c>
      <c r="H10" t="s">
        <v>1382</v>
      </c>
      <c r="I10" t="s">
        <v>1384</v>
      </c>
      <c r="J10" t="s">
        <v>1384</v>
      </c>
      <c r="K10" t="b">
        <v>1</v>
      </c>
      <c r="L10" t="b">
        <v>0</v>
      </c>
      <c r="M10" t="s">
        <v>1384</v>
      </c>
      <c r="N10" t="s">
        <v>1406</v>
      </c>
      <c r="O10" t="s">
        <v>1386</v>
      </c>
      <c r="P10" t="s">
        <v>1387</v>
      </c>
      <c r="Q10" t="s">
        <v>1415</v>
      </c>
    </row>
    <row r="11" spans="1:17" x14ac:dyDescent="0.25">
      <c r="A11" t="s">
        <v>39</v>
      </c>
      <c r="B11" t="s">
        <v>1416</v>
      </c>
      <c r="C11" t="s">
        <v>260</v>
      </c>
      <c r="D11" t="s">
        <v>1402</v>
      </c>
      <c r="E11">
        <v>-11684</v>
      </c>
      <c r="F11" t="s">
        <v>1380</v>
      </c>
      <c r="G11" t="s">
        <v>1417</v>
      </c>
      <c r="H11" t="s">
        <v>1382</v>
      </c>
      <c r="I11" t="s">
        <v>1418</v>
      </c>
      <c r="J11" t="s">
        <v>1384</v>
      </c>
      <c r="K11" t="b">
        <v>1</v>
      </c>
      <c r="L11" t="b">
        <v>0</v>
      </c>
      <c r="M11" t="s">
        <v>1384</v>
      </c>
      <c r="N11" t="s">
        <v>1406</v>
      </c>
      <c r="O11" t="s">
        <v>1386</v>
      </c>
      <c r="P11" t="s">
        <v>1387</v>
      </c>
      <c r="Q11" t="s">
        <v>1384</v>
      </c>
    </row>
    <row r="12" spans="1:17" x14ac:dyDescent="0.25">
      <c r="A12" t="s">
        <v>39</v>
      </c>
      <c r="B12" t="s">
        <v>1419</v>
      </c>
      <c r="C12" t="s">
        <v>260</v>
      </c>
      <c r="D12" t="s">
        <v>1420</v>
      </c>
      <c r="E12">
        <v>-12038</v>
      </c>
      <c r="F12" t="s">
        <v>1380</v>
      </c>
      <c r="G12" t="s">
        <v>1421</v>
      </c>
      <c r="H12" t="s">
        <v>1382</v>
      </c>
      <c r="I12" t="s">
        <v>1422</v>
      </c>
      <c r="J12" t="s">
        <v>1384</v>
      </c>
      <c r="K12" t="b">
        <v>1</v>
      </c>
      <c r="L12" t="b">
        <v>0</v>
      </c>
      <c r="M12" t="s">
        <v>1384</v>
      </c>
      <c r="N12" t="s">
        <v>1406</v>
      </c>
      <c r="O12" t="s">
        <v>1386</v>
      </c>
      <c r="P12" t="s">
        <v>1387</v>
      </c>
      <c r="Q12" t="s">
        <v>1384</v>
      </c>
    </row>
    <row r="13" spans="1:17" x14ac:dyDescent="0.25">
      <c r="A13" t="s">
        <v>39</v>
      </c>
      <c r="B13" t="s">
        <v>1423</v>
      </c>
      <c r="C13" t="s">
        <v>260</v>
      </c>
      <c r="D13" t="s">
        <v>1424</v>
      </c>
      <c r="E13">
        <v>-13442</v>
      </c>
      <c r="F13" t="s">
        <v>1380</v>
      </c>
      <c r="G13" t="s">
        <v>1425</v>
      </c>
      <c r="H13" t="s">
        <v>1382</v>
      </c>
      <c r="I13" t="s">
        <v>1426</v>
      </c>
      <c r="J13" t="s">
        <v>1384</v>
      </c>
      <c r="K13" t="b">
        <v>1</v>
      </c>
      <c r="L13" t="b">
        <v>0</v>
      </c>
      <c r="M13" t="s">
        <v>1384</v>
      </c>
      <c r="N13" t="s">
        <v>1406</v>
      </c>
      <c r="O13" t="s">
        <v>1386</v>
      </c>
      <c r="P13" t="s">
        <v>1387</v>
      </c>
      <c r="Q13" t="s">
        <v>1384</v>
      </c>
    </row>
    <row r="14" spans="1:17" x14ac:dyDescent="0.25">
      <c r="A14" t="s">
        <v>39</v>
      </c>
      <c r="B14" t="s">
        <v>1427</v>
      </c>
      <c r="C14" t="s">
        <v>260</v>
      </c>
      <c r="D14" t="s">
        <v>1428</v>
      </c>
      <c r="E14">
        <v>-1811</v>
      </c>
      <c r="F14" t="s">
        <v>1380</v>
      </c>
      <c r="G14" t="s">
        <v>1429</v>
      </c>
      <c r="H14" t="s">
        <v>1382</v>
      </c>
      <c r="I14" t="s">
        <v>1384</v>
      </c>
      <c r="J14" t="s">
        <v>1384</v>
      </c>
      <c r="K14" t="b">
        <v>1</v>
      </c>
      <c r="L14" t="b">
        <v>0</v>
      </c>
      <c r="M14" t="s">
        <v>1384</v>
      </c>
      <c r="N14" t="s">
        <v>1406</v>
      </c>
      <c r="O14" t="s">
        <v>1386</v>
      </c>
      <c r="P14" t="s">
        <v>1387</v>
      </c>
      <c r="Q14" t="s">
        <v>1430</v>
      </c>
    </row>
    <row r="15" spans="1:17" x14ac:dyDescent="0.25">
      <c r="A15" t="s">
        <v>39</v>
      </c>
      <c r="B15" t="s">
        <v>1431</v>
      </c>
      <c r="C15" t="s">
        <v>260</v>
      </c>
      <c r="D15" t="s">
        <v>1432</v>
      </c>
      <c r="E15">
        <v>-14262</v>
      </c>
      <c r="F15" t="s">
        <v>1380</v>
      </c>
      <c r="G15" t="s">
        <v>1433</v>
      </c>
      <c r="H15" t="s">
        <v>1382</v>
      </c>
      <c r="I15" t="s">
        <v>1434</v>
      </c>
      <c r="J15" t="s">
        <v>1384</v>
      </c>
      <c r="K15" t="b">
        <v>1</v>
      </c>
      <c r="L15" t="b">
        <v>0</v>
      </c>
      <c r="M15" t="s">
        <v>1384</v>
      </c>
      <c r="N15" t="s">
        <v>1406</v>
      </c>
      <c r="O15" t="s">
        <v>1386</v>
      </c>
      <c r="P15" t="s">
        <v>1387</v>
      </c>
      <c r="Q15" t="s">
        <v>1384</v>
      </c>
    </row>
    <row r="16" spans="1:17" x14ac:dyDescent="0.25">
      <c r="A16" t="s">
        <v>39</v>
      </c>
      <c r="B16" t="s">
        <v>1435</v>
      </c>
      <c r="C16" t="s">
        <v>260</v>
      </c>
      <c r="D16" t="s">
        <v>1436</v>
      </c>
      <c r="E16">
        <v>-15227</v>
      </c>
      <c r="F16" t="s">
        <v>1380</v>
      </c>
      <c r="G16" t="s">
        <v>1437</v>
      </c>
      <c r="H16" t="s">
        <v>1382</v>
      </c>
      <c r="I16" t="s">
        <v>1422</v>
      </c>
      <c r="J16" t="s">
        <v>1384</v>
      </c>
      <c r="K16" t="b">
        <v>1</v>
      </c>
      <c r="L16" t="b">
        <v>0</v>
      </c>
      <c r="M16" t="s">
        <v>1384</v>
      </c>
      <c r="N16" t="s">
        <v>1406</v>
      </c>
      <c r="O16" t="s">
        <v>1386</v>
      </c>
      <c r="P16" t="s">
        <v>1387</v>
      </c>
      <c r="Q16" t="s">
        <v>1384</v>
      </c>
    </row>
    <row r="17" spans="1:17" x14ac:dyDescent="0.25">
      <c r="A17" t="s">
        <v>39</v>
      </c>
      <c r="B17" t="s">
        <v>1438</v>
      </c>
      <c r="C17" t="s">
        <v>260</v>
      </c>
      <c r="D17" t="s">
        <v>1439</v>
      </c>
      <c r="E17">
        <v>-16796</v>
      </c>
      <c r="F17" t="s">
        <v>1380</v>
      </c>
      <c r="G17" t="s">
        <v>1440</v>
      </c>
      <c r="H17" t="s">
        <v>1382</v>
      </c>
      <c r="I17" t="s">
        <v>1426</v>
      </c>
      <c r="J17" t="s">
        <v>1384</v>
      </c>
      <c r="K17" t="b">
        <v>1</v>
      </c>
      <c r="L17" t="b">
        <v>0</v>
      </c>
      <c r="M17" t="s">
        <v>1384</v>
      </c>
      <c r="N17" t="s">
        <v>1406</v>
      </c>
      <c r="O17" t="s">
        <v>1386</v>
      </c>
      <c r="P17" t="s">
        <v>1387</v>
      </c>
      <c r="Q17" t="s">
        <v>1384</v>
      </c>
    </row>
    <row r="18" spans="1:17" x14ac:dyDescent="0.25">
      <c r="A18" t="s">
        <v>39</v>
      </c>
      <c r="B18" t="s">
        <v>1441</v>
      </c>
      <c r="C18" t="s">
        <v>260</v>
      </c>
      <c r="D18" t="s">
        <v>1442</v>
      </c>
      <c r="E18">
        <v>-3840</v>
      </c>
      <c r="F18" t="s">
        <v>1380</v>
      </c>
      <c r="G18" t="s">
        <v>1443</v>
      </c>
      <c r="H18" t="s">
        <v>1382</v>
      </c>
      <c r="I18" t="s">
        <v>1384</v>
      </c>
      <c r="J18" t="s">
        <v>1384</v>
      </c>
      <c r="K18" t="b">
        <v>1</v>
      </c>
      <c r="L18" t="b">
        <v>0</v>
      </c>
      <c r="M18" t="s">
        <v>1384</v>
      </c>
      <c r="N18" t="s">
        <v>1406</v>
      </c>
      <c r="O18" t="s">
        <v>1386</v>
      </c>
      <c r="P18" t="s">
        <v>1387</v>
      </c>
      <c r="Q18" t="s">
        <v>1444</v>
      </c>
    </row>
    <row r="19" spans="1:17" x14ac:dyDescent="0.25">
      <c r="A19" t="s">
        <v>39</v>
      </c>
      <c r="B19" t="s">
        <v>1445</v>
      </c>
      <c r="C19" t="s">
        <v>261</v>
      </c>
      <c r="D19" t="s">
        <v>1379</v>
      </c>
      <c r="E19">
        <v>-67791</v>
      </c>
      <c r="F19" t="s">
        <v>1446</v>
      </c>
      <c r="G19" t="s">
        <v>1447</v>
      </c>
      <c r="H19" t="s">
        <v>1382</v>
      </c>
      <c r="I19" t="s">
        <v>1383</v>
      </c>
      <c r="J19" t="s">
        <v>1384</v>
      </c>
      <c r="K19" t="b">
        <v>1</v>
      </c>
      <c r="L19" t="b">
        <v>0</v>
      </c>
      <c r="M19" t="s">
        <v>1384</v>
      </c>
      <c r="N19" t="s">
        <v>1385</v>
      </c>
      <c r="O19" t="s">
        <v>1386</v>
      </c>
      <c r="P19" t="s">
        <v>1387</v>
      </c>
      <c r="Q19" t="s">
        <v>1448</v>
      </c>
    </row>
    <row r="20" spans="1:17" x14ac:dyDescent="0.25">
      <c r="A20" t="s">
        <v>39</v>
      </c>
      <c r="B20" t="s">
        <v>1449</v>
      </c>
      <c r="C20" t="s">
        <v>261</v>
      </c>
      <c r="D20" t="s">
        <v>1390</v>
      </c>
      <c r="E20">
        <v>-69373</v>
      </c>
      <c r="F20" t="s">
        <v>1446</v>
      </c>
      <c r="G20" t="s">
        <v>1450</v>
      </c>
      <c r="H20" t="s">
        <v>1382</v>
      </c>
      <c r="I20" t="s">
        <v>1409</v>
      </c>
      <c r="J20" t="s">
        <v>1384</v>
      </c>
      <c r="K20" t="b">
        <v>1</v>
      </c>
      <c r="L20" t="b">
        <v>0</v>
      </c>
      <c r="M20" t="s">
        <v>1384</v>
      </c>
      <c r="N20" t="s">
        <v>1385</v>
      </c>
      <c r="O20" t="s">
        <v>1386</v>
      </c>
      <c r="P20" t="s">
        <v>1387</v>
      </c>
      <c r="Q20" t="s">
        <v>1448</v>
      </c>
    </row>
    <row r="21" spans="1:17" x14ac:dyDescent="0.25">
      <c r="A21" t="s">
        <v>39</v>
      </c>
      <c r="B21" t="s">
        <v>1451</v>
      </c>
      <c r="C21" t="s">
        <v>261</v>
      </c>
      <c r="D21" t="s">
        <v>1394</v>
      </c>
      <c r="E21">
        <v>-75022</v>
      </c>
      <c r="F21" t="s">
        <v>1446</v>
      </c>
      <c r="G21" t="s">
        <v>1452</v>
      </c>
      <c r="H21" t="s">
        <v>1382</v>
      </c>
      <c r="I21" t="s">
        <v>1412</v>
      </c>
      <c r="J21" t="s">
        <v>1384</v>
      </c>
      <c r="K21" t="b">
        <v>1</v>
      </c>
      <c r="L21" t="b">
        <v>0</v>
      </c>
      <c r="M21" t="s">
        <v>1384</v>
      </c>
      <c r="N21" t="s">
        <v>1385</v>
      </c>
      <c r="O21" t="s">
        <v>1386</v>
      </c>
      <c r="P21" t="s">
        <v>1387</v>
      </c>
      <c r="Q21" t="s">
        <v>1448</v>
      </c>
    </row>
    <row r="22" spans="1:17" x14ac:dyDescent="0.25">
      <c r="A22" t="s">
        <v>39</v>
      </c>
      <c r="B22" t="s">
        <v>1453</v>
      </c>
      <c r="C22" t="s">
        <v>261</v>
      </c>
      <c r="D22" t="s">
        <v>1398</v>
      </c>
      <c r="E22">
        <v>-92553</v>
      </c>
      <c r="F22" t="s">
        <v>1446</v>
      </c>
      <c r="G22" t="s">
        <v>1454</v>
      </c>
      <c r="H22" t="s">
        <v>1382</v>
      </c>
      <c r="I22" t="s">
        <v>1384</v>
      </c>
      <c r="J22" t="s">
        <v>1384</v>
      </c>
      <c r="K22" t="b">
        <v>1</v>
      </c>
      <c r="L22" t="b">
        <v>0</v>
      </c>
      <c r="M22" t="s">
        <v>1384</v>
      </c>
      <c r="N22" t="s">
        <v>1385</v>
      </c>
      <c r="O22" t="s">
        <v>1386</v>
      </c>
      <c r="P22" t="s">
        <v>1387</v>
      </c>
      <c r="Q22" t="s">
        <v>1455</v>
      </c>
    </row>
    <row r="23" spans="1:17" x14ac:dyDescent="0.25">
      <c r="A23" t="s">
        <v>39</v>
      </c>
      <c r="B23" t="s">
        <v>1456</v>
      </c>
      <c r="C23" t="s">
        <v>261</v>
      </c>
      <c r="D23" t="s">
        <v>1402</v>
      </c>
      <c r="E23">
        <v>-72633</v>
      </c>
      <c r="F23" t="s">
        <v>1446</v>
      </c>
      <c r="G23" t="s">
        <v>1457</v>
      </c>
      <c r="H23" t="s">
        <v>1382</v>
      </c>
      <c r="I23" t="s">
        <v>1418</v>
      </c>
      <c r="J23" t="s">
        <v>1384</v>
      </c>
      <c r="K23" t="b">
        <v>1</v>
      </c>
      <c r="L23" t="b">
        <v>0</v>
      </c>
      <c r="M23" t="s">
        <v>1384</v>
      </c>
      <c r="N23" t="s">
        <v>1385</v>
      </c>
      <c r="O23" t="s">
        <v>1386</v>
      </c>
      <c r="P23" t="s">
        <v>1387</v>
      </c>
      <c r="Q23" t="s">
        <v>1448</v>
      </c>
    </row>
    <row r="24" spans="1:17" x14ac:dyDescent="0.25">
      <c r="A24" t="s">
        <v>39</v>
      </c>
      <c r="B24" t="s">
        <v>1458</v>
      </c>
      <c r="C24" t="s">
        <v>261</v>
      </c>
      <c r="D24" t="s">
        <v>1420</v>
      </c>
      <c r="E24">
        <v>-73785</v>
      </c>
      <c r="F24" t="s">
        <v>1446</v>
      </c>
      <c r="G24" t="s">
        <v>1459</v>
      </c>
      <c r="H24" t="s">
        <v>1382</v>
      </c>
      <c r="I24" t="s">
        <v>1422</v>
      </c>
      <c r="J24" t="s">
        <v>1384</v>
      </c>
      <c r="K24" t="b">
        <v>1</v>
      </c>
      <c r="L24" t="b">
        <v>0</v>
      </c>
      <c r="M24" t="s">
        <v>1384</v>
      </c>
      <c r="N24" t="s">
        <v>1385</v>
      </c>
      <c r="O24" t="s">
        <v>1386</v>
      </c>
      <c r="P24" t="s">
        <v>1387</v>
      </c>
      <c r="Q24" t="s">
        <v>1448</v>
      </c>
    </row>
    <row r="25" spans="1:17" x14ac:dyDescent="0.25">
      <c r="A25" t="s">
        <v>39</v>
      </c>
      <c r="B25" t="s">
        <v>1460</v>
      </c>
      <c r="C25" t="s">
        <v>261</v>
      </c>
      <c r="D25" t="s">
        <v>1424</v>
      </c>
      <c r="E25">
        <v>-80977</v>
      </c>
      <c r="F25" t="s">
        <v>1446</v>
      </c>
      <c r="G25" t="s">
        <v>1461</v>
      </c>
      <c r="H25" t="s">
        <v>1382</v>
      </c>
      <c r="I25" t="s">
        <v>1426</v>
      </c>
      <c r="J25" t="s">
        <v>1384</v>
      </c>
      <c r="K25" t="b">
        <v>1</v>
      </c>
      <c r="L25" t="b">
        <v>0</v>
      </c>
      <c r="M25" t="s">
        <v>1384</v>
      </c>
      <c r="N25" t="s">
        <v>1385</v>
      </c>
      <c r="O25" t="s">
        <v>1386</v>
      </c>
      <c r="P25" t="s">
        <v>1387</v>
      </c>
      <c r="Q25" t="s">
        <v>1448</v>
      </c>
    </row>
    <row r="26" spans="1:17" x14ac:dyDescent="0.25">
      <c r="A26" t="s">
        <v>39</v>
      </c>
      <c r="B26" t="s">
        <v>1462</v>
      </c>
      <c r="C26" t="s">
        <v>261</v>
      </c>
      <c r="D26" t="s">
        <v>1428</v>
      </c>
      <c r="E26">
        <v>-98893</v>
      </c>
      <c r="F26" t="s">
        <v>1446</v>
      </c>
      <c r="G26" t="s">
        <v>1463</v>
      </c>
      <c r="H26" t="s">
        <v>1382</v>
      </c>
      <c r="I26" t="s">
        <v>1384</v>
      </c>
      <c r="J26" t="s">
        <v>1384</v>
      </c>
      <c r="K26" t="b">
        <v>1</v>
      </c>
      <c r="L26" t="b">
        <v>0</v>
      </c>
      <c r="M26" t="s">
        <v>1384</v>
      </c>
      <c r="N26" t="s">
        <v>1385</v>
      </c>
      <c r="O26" t="s">
        <v>1386</v>
      </c>
      <c r="P26" t="s">
        <v>1387</v>
      </c>
      <c r="Q26" t="s">
        <v>1464</v>
      </c>
    </row>
    <row r="27" spans="1:17" x14ac:dyDescent="0.25">
      <c r="A27" t="s">
        <v>39</v>
      </c>
      <c r="B27" t="s">
        <v>1465</v>
      </c>
      <c r="C27" t="s">
        <v>261</v>
      </c>
      <c r="D27" t="s">
        <v>1432</v>
      </c>
      <c r="E27">
        <v>-76976</v>
      </c>
      <c r="F27" t="s">
        <v>1446</v>
      </c>
      <c r="G27" t="s">
        <v>1466</v>
      </c>
      <c r="H27" t="s">
        <v>1382</v>
      </c>
      <c r="I27" t="s">
        <v>1434</v>
      </c>
      <c r="J27" t="s">
        <v>1384</v>
      </c>
      <c r="K27" t="b">
        <v>1</v>
      </c>
      <c r="L27" t="b">
        <v>0</v>
      </c>
      <c r="M27" t="s">
        <v>1384</v>
      </c>
      <c r="N27" t="s">
        <v>1385</v>
      </c>
      <c r="O27" t="s">
        <v>1386</v>
      </c>
      <c r="P27" t="s">
        <v>1387</v>
      </c>
      <c r="Q27" t="s">
        <v>1448</v>
      </c>
    </row>
    <row r="28" spans="1:17" x14ac:dyDescent="0.25">
      <c r="A28" t="s">
        <v>39</v>
      </c>
      <c r="B28" t="s">
        <v>1467</v>
      </c>
      <c r="C28" t="s">
        <v>261</v>
      </c>
      <c r="D28" t="s">
        <v>1436</v>
      </c>
      <c r="E28">
        <v>-80809</v>
      </c>
      <c r="F28" t="s">
        <v>1446</v>
      </c>
      <c r="G28" t="s">
        <v>1468</v>
      </c>
      <c r="H28" t="s">
        <v>1382</v>
      </c>
      <c r="I28" t="s">
        <v>1422</v>
      </c>
      <c r="J28" t="s">
        <v>1384</v>
      </c>
      <c r="K28" t="b">
        <v>1</v>
      </c>
      <c r="L28" t="b">
        <v>0</v>
      </c>
      <c r="M28" t="s">
        <v>1384</v>
      </c>
      <c r="N28" t="s">
        <v>1385</v>
      </c>
      <c r="O28" t="s">
        <v>1386</v>
      </c>
      <c r="P28" t="s">
        <v>1387</v>
      </c>
      <c r="Q28" t="s">
        <v>1448</v>
      </c>
    </row>
    <row r="29" spans="1:17" x14ac:dyDescent="0.25">
      <c r="A29" t="s">
        <v>39</v>
      </c>
      <c r="B29" t="s">
        <v>1469</v>
      </c>
      <c r="C29" t="s">
        <v>261</v>
      </c>
      <c r="D29" t="s">
        <v>1439</v>
      </c>
      <c r="E29">
        <v>-88670</v>
      </c>
      <c r="F29" t="s">
        <v>1446</v>
      </c>
      <c r="G29" t="s">
        <v>1470</v>
      </c>
      <c r="H29" t="s">
        <v>1382</v>
      </c>
      <c r="I29" t="s">
        <v>1426</v>
      </c>
      <c r="J29" t="s">
        <v>1384</v>
      </c>
      <c r="K29" t="b">
        <v>1</v>
      </c>
      <c r="L29" t="b">
        <v>0</v>
      </c>
      <c r="M29" t="s">
        <v>1384</v>
      </c>
      <c r="N29" t="s">
        <v>1385</v>
      </c>
      <c r="O29" t="s">
        <v>1386</v>
      </c>
      <c r="P29" t="s">
        <v>1387</v>
      </c>
      <c r="Q29" t="s">
        <v>1448</v>
      </c>
    </row>
    <row r="30" spans="1:17" x14ac:dyDescent="0.25">
      <c r="A30" t="s">
        <v>39</v>
      </c>
      <c r="B30" t="s">
        <v>1471</v>
      </c>
      <c r="C30" t="s">
        <v>261</v>
      </c>
      <c r="D30" t="s">
        <v>1442</v>
      </c>
      <c r="E30">
        <v>-109959</v>
      </c>
      <c r="F30" t="s">
        <v>1446</v>
      </c>
      <c r="G30" t="s">
        <v>1472</v>
      </c>
      <c r="H30" t="s">
        <v>1382</v>
      </c>
      <c r="I30" t="s">
        <v>1384</v>
      </c>
      <c r="J30" t="s">
        <v>1384</v>
      </c>
      <c r="K30" t="b">
        <v>1</v>
      </c>
      <c r="L30" t="b">
        <v>0</v>
      </c>
      <c r="M30" t="s">
        <v>1384</v>
      </c>
      <c r="N30" t="s">
        <v>1385</v>
      </c>
      <c r="O30" t="s">
        <v>1386</v>
      </c>
      <c r="P30" t="s">
        <v>1387</v>
      </c>
      <c r="Q30" t="s">
        <v>1473</v>
      </c>
    </row>
    <row r="31" spans="1:17" x14ac:dyDescent="0.25">
      <c r="A31" t="s">
        <v>39</v>
      </c>
      <c r="B31" t="s">
        <v>1474</v>
      </c>
      <c r="C31" t="s">
        <v>266</v>
      </c>
      <c r="D31" t="s">
        <v>1379</v>
      </c>
      <c r="E31">
        <v>-443</v>
      </c>
      <c r="F31" t="s">
        <v>1380</v>
      </c>
      <c r="G31" t="s">
        <v>1475</v>
      </c>
      <c r="H31" t="s">
        <v>1382</v>
      </c>
      <c r="I31" t="s">
        <v>1383</v>
      </c>
      <c r="J31" t="s">
        <v>1384</v>
      </c>
      <c r="K31" t="b">
        <v>1</v>
      </c>
      <c r="L31" t="b">
        <v>0</v>
      </c>
      <c r="M31" t="s">
        <v>1384</v>
      </c>
      <c r="N31" t="s">
        <v>1385</v>
      </c>
      <c r="O31" t="s">
        <v>1386</v>
      </c>
      <c r="P31" t="s">
        <v>1387</v>
      </c>
      <c r="Q31" t="s">
        <v>1384</v>
      </c>
    </row>
    <row r="32" spans="1:17" x14ac:dyDescent="0.25">
      <c r="A32" t="s">
        <v>39</v>
      </c>
      <c r="B32" t="s">
        <v>1476</v>
      </c>
      <c r="C32" t="s">
        <v>266</v>
      </c>
      <c r="D32" t="s">
        <v>1390</v>
      </c>
      <c r="E32">
        <v>61</v>
      </c>
      <c r="F32" t="s">
        <v>1380</v>
      </c>
      <c r="G32" t="s">
        <v>1477</v>
      </c>
      <c r="H32" t="s">
        <v>1382</v>
      </c>
      <c r="I32" t="s">
        <v>1409</v>
      </c>
      <c r="J32" t="s">
        <v>1384</v>
      </c>
      <c r="K32" t="b">
        <v>1</v>
      </c>
      <c r="L32" t="b">
        <v>0</v>
      </c>
      <c r="M32" t="s">
        <v>1384</v>
      </c>
      <c r="N32" t="s">
        <v>1385</v>
      </c>
      <c r="O32" t="s">
        <v>1386</v>
      </c>
      <c r="P32" t="s">
        <v>1387</v>
      </c>
      <c r="Q32" t="s">
        <v>1384</v>
      </c>
    </row>
    <row r="33" spans="1:17" x14ac:dyDescent="0.25">
      <c r="A33" t="s">
        <v>39</v>
      </c>
      <c r="B33" t="s">
        <v>1478</v>
      </c>
      <c r="C33" t="s">
        <v>266</v>
      </c>
      <c r="D33" t="s">
        <v>1394</v>
      </c>
      <c r="E33">
        <v>1031</v>
      </c>
      <c r="F33" t="s">
        <v>1380</v>
      </c>
      <c r="G33" t="s">
        <v>1479</v>
      </c>
      <c r="H33" t="s">
        <v>1382</v>
      </c>
      <c r="I33" t="s">
        <v>1412</v>
      </c>
      <c r="J33" t="s">
        <v>1384</v>
      </c>
      <c r="K33" t="b">
        <v>1</v>
      </c>
      <c r="L33" t="b">
        <v>0</v>
      </c>
      <c r="M33" t="s">
        <v>1384</v>
      </c>
      <c r="N33" t="s">
        <v>1385</v>
      </c>
      <c r="O33" t="s">
        <v>1386</v>
      </c>
      <c r="P33" t="s">
        <v>1387</v>
      </c>
      <c r="Q33" t="s">
        <v>1384</v>
      </c>
    </row>
    <row r="34" spans="1:17" x14ac:dyDescent="0.25">
      <c r="A34" t="s">
        <v>39</v>
      </c>
      <c r="B34" t="s">
        <v>1480</v>
      </c>
      <c r="C34" t="s">
        <v>266</v>
      </c>
      <c r="D34" t="s">
        <v>1398</v>
      </c>
      <c r="E34">
        <v>289</v>
      </c>
      <c r="F34" t="s">
        <v>1380</v>
      </c>
      <c r="G34" t="s">
        <v>1481</v>
      </c>
      <c r="H34" t="s">
        <v>1382</v>
      </c>
      <c r="I34" t="s">
        <v>1384</v>
      </c>
      <c r="J34" t="s">
        <v>1384</v>
      </c>
      <c r="K34" t="b">
        <v>1</v>
      </c>
      <c r="L34" t="b">
        <v>0</v>
      </c>
      <c r="M34" t="s">
        <v>1384</v>
      </c>
      <c r="N34" t="s">
        <v>1385</v>
      </c>
      <c r="O34" t="s">
        <v>1386</v>
      </c>
      <c r="P34" t="s">
        <v>1387</v>
      </c>
      <c r="Q34" t="s">
        <v>1482</v>
      </c>
    </row>
    <row r="35" spans="1:17" x14ac:dyDescent="0.25">
      <c r="A35" t="s">
        <v>39</v>
      </c>
      <c r="B35" t="s">
        <v>1483</v>
      </c>
      <c r="C35" t="s">
        <v>266</v>
      </c>
      <c r="D35" t="s">
        <v>1402</v>
      </c>
      <c r="E35">
        <v>-2673</v>
      </c>
      <c r="F35" t="s">
        <v>1380</v>
      </c>
      <c r="G35" t="s">
        <v>1484</v>
      </c>
      <c r="H35" t="s">
        <v>1382</v>
      </c>
      <c r="I35" t="s">
        <v>1418</v>
      </c>
      <c r="J35" t="s">
        <v>1384</v>
      </c>
      <c r="K35" t="b">
        <v>1</v>
      </c>
      <c r="L35" t="b">
        <v>0</v>
      </c>
      <c r="M35" t="s">
        <v>1384</v>
      </c>
      <c r="N35" t="s">
        <v>1385</v>
      </c>
      <c r="O35" t="s">
        <v>1386</v>
      </c>
      <c r="P35" t="s">
        <v>1387</v>
      </c>
      <c r="Q35" t="s">
        <v>1384</v>
      </c>
    </row>
    <row r="36" spans="1:17" x14ac:dyDescent="0.25">
      <c r="A36" t="s">
        <v>39</v>
      </c>
      <c r="B36" t="s">
        <v>1485</v>
      </c>
      <c r="C36" t="s">
        <v>266</v>
      </c>
      <c r="D36" t="s">
        <v>1420</v>
      </c>
      <c r="E36">
        <v>-18</v>
      </c>
      <c r="F36" t="s">
        <v>1380</v>
      </c>
      <c r="G36" t="s">
        <v>1486</v>
      </c>
      <c r="H36" t="s">
        <v>1382</v>
      </c>
      <c r="I36" t="s">
        <v>1422</v>
      </c>
      <c r="J36" t="s">
        <v>1384</v>
      </c>
      <c r="K36" t="b">
        <v>1</v>
      </c>
      <c r="L36" t="b">
        <v>0</v>
      </c>
      <c r="M36" t="s">
        <v>1384</v>
      </c>
      <c r="N36" t="s">
        <v>1385</v>
      </c>
      <c r="O36" t="s">
        <v>1386</v>
      </c>
      <c r="P36" t="s">
        <v>1387</v>
      </c>
      <c r="Q36" t="s">
        <v>1384</v>
      </c>
    </row>
    <row r="37" spans="1:17" x14ac:dyDescent="0.25">
      <c r="A37" t="s">
        <v>39</v>
      </c>
      <c r="B37" t="s">
        <v>1487</v>
      </c>
      <c r="C37" t="s">
        <v>266</v>
      </c>
      <c r="D37" t="s">
        <v>1424</v>
      </c>
      <c r="E37">
        <v>-27</v>
      </c>
      <c r="F37" t="s">
        <v>1380</v>
      </c>
      <c r="G37" t="s">
        <v>1488</v>
      </c>
      <c r="H37" t="s">
        <v>1382</v>
      </c>
      <c r="I37" t="s">
        <v>1426</v>
      </c>
      <c r="J37" t="s">
        <v>1384</v>
      </c>
      <c r="K37" t="b">
        <v>1</v>
      </c>
      <c r="L37" t="b">
        <v>0</v>
      </c>
      <c r="M37" t="s">
        <v>1384</v>
      </c>
      <c r="N37" t="s">
        <v>1385</v>
      </c>
      <c r="O37" t="s">
        <v>1386</v>
      </c>
      <c r="P37" t="s">
        <v>1387</v>
      </c>
      <c r="Q37" t="s">
        <v>1384</v>
      </c>
    </row>
    <row r="38" spans="1:17" x14ac:dyDescent="0.25">
      <c r="A38" t="s">
        <v>39</v>
      </c>
      <c r="B38" t="s">
        <v>1489</v>
      </c>
      <c r="C38" t="s">
        <v>266</v>
      </c>
      <c r="D38" t="s">
        <v>1428</v>
      </c>
      <c r="E38">
        <v>468</v>
      </c>
      <c r="F38" t="s">
        <v>1380</v>
      </c>
      <c r="G38" t="s">
        <v>1490</v>
      </c>
      <c r="H38" t="s">
        <v>1382</v>
      </c>
      <c r="I38" t="s">
        <v>1384</v>
      </c>
      <c r="J38" t="s">
        <v>1384</v>
      </c>
      <c r="K38" t="b">
        <v>1</v>
      </c>
      <c r="L38" t="b">
        <v>0</v>
      </c>
      <c r="M38" t="s">
        <v>1384</v>
      </c>
      <c r="N38" t="s">
        <v>1385</v>
      </c>
      <c r="O38" t="s">
        <v>1386</v>
      </c>
      <c r="P38" t="s">
        <v>1387</v>
      </c>
      <c r="Q38" t="s">
        <v>1491</v>
      </c>
    </row>
    <row r="39" spans="1:17" x14ac:dyDescent="0.25">
      <c r="A39" t="s">
        <v>39</v>
      </c>
      <c r="B39" t="s">
        <v>1492</v>
      </c>
      <c r="C39" t="s">
        <v>266</v>
      </c>
      <c r="D39" t="s">
        <v>1432</v>
      </c>
      <c r="E39">
        <v>2749</v>
      </c>
      <c r="F39" t="s">
        <v>1380</v>
      </c>
      <c r="G39" t="s">
        <v>1493</v>
      </c>
      <c r="H39" t="s">
        <v>1382</v>
      </c>
      <c r="I39" t="s">
        <v>1434</v>
      </c>
      <c r="J39" t="s">
        <v>1384</v>
      </c>
      <c r="K39" t="b">
        <v>1</v>
      </c>
      <c r="L39" t="b">
        <v>0</v>
      </c>
      <c r="M39" t="s">
        <v>1384</v>
      </c>
      <c r="N39" t="s">
        <v>1385</v>
      </c>
      <c r="O39" t="s">
        <v>1386</v>
      </c>
      <c r="P39" t="s">
        <v>1387</v>
      </c>
      <c r="Q39" t="s">
        <v>1384</v>
      </c>
    </row>
    <row r="40" spans="1:17" x14ac:dyDescent="0.25">
      <c r="A40" t="s">
        <v>39</v>
      </c>
      <c r="B40" t="s">
        <v>1494</v>
      </c>
      <c r="C40" t="s">
        <v>266</v>
      </c>
      <c r="D40" t="s">
        <v>1436</v>
      </c>
      <c r="E40">
        <v>1117</v>
      </c>
      <c r="F40" t="s">
        <v>1380</v>
      </c>
      <c r="G40" t="s">
        <v>1495</v>
      </c>
      <c r="H40" t="s">
        <v>1382</v>
      </c>
      <c r="I40" t="s">
        <v>1422</v>
      </c>
      <c r="J40" t="s">
        <v>1384</v>
      </c>
      <c r="K40" t="b">
        <v>1</v>
      </c>
      <c r="L40" t="b">
        <v>0</v>
      </c>
      <c r="M40" t="s">
        <v>1384</v>
      </c>
      <c r="N40" t="s">
        <v>1385</v>
      </c>
      <c r="O40" t="s">
        <v>1386</v>
      </c>
      <c r="P40" t="s">
        <v>1387</v>
      </c>
      <c r="Q40" t="s">
        <v>1384</v>
      </c>
    </row>
    <row r="41" spans="1:17" x14ac:dyDescent="0.25">
      <c r="A41" t="s">
        <v>39</v>
      </c>
      <c r="B41" t="s">
        <v>1496</v>
      </c>
      <c r="C41" t="s">
        <v>266</v>
      </c>
      <c r="D41" t="s">
        <v>1439</v>
      </c>
      <c r="E41">
        <v>10186</v>
      </c>
      <c r="F41" t="s">
        <v>1380</v>
      </c>
      <c r="G41" t="s">
        <v>1497</v>
      </c>
      <c r="H41" t="s">
        <v>1382</v>
      </c>
      <c r="I41" t="s">
        <v>1426</v>
      </c>
      <c r="J41" t="s">
        <v>1384</v>
      </c>
      <c r="K41" t="b">
        <v>1</v>
      </c>
      <c r="L41" t="b">
        <v>0</v>
      </c>
      <c r="M41" t="s">
        <v>1384</v>
      </c>
      <c r="N41" t="s">
        <v>1385</v>
      </c>
      <c r="O41" t="s">
        <v>1386</v>
      </c>
      <c r="P41" t="s">
        <v>1387</v>
      </c>
      <c r="Q41" t="s">
        <v>1384</v>
      </c>
    </row>
    <row r="42" spans="1:17" x14ac:dyDescent="0.25">
      <c r="A42" t="s">
        <v>39</v>
      </c>
      <c r="B42" t="s">
        <v>1498</v>
      </c>
      <c r="C42" t="s">
        <v>266</v>
      </c>
      <c r="D42" t="s">
        <v>1442</v>
      </c>
      <c r="E42">
        <v>1177</v>
      </c>
      <c r="F42" t="s">
        <v>1380</v>
      </c>
      <c r="G42" t="s">
        <v>1499</v>
      </c>
      <c r="H42" t="s">
        <v>1382</v>
      </c>
      <c r="I42" t="s">
        <v>1384</v>
      </c>
      <c r="J42" t="s">
        <v>1384</v>
      </c>
      <c r="K42" t="b">
        <v>1</v>
      </c>
      <c r="L42" t="b">
        <v>0</v>
      </c>
      <c r="M42" t="s">
        <v>1384</v>
      </c>
      <c r="N42" t="s">
        <v>1385</v>
      </c>
      <c r="O42" t="s">
        <v>1386</v>
      </c>
      <c r="P42" t="s">
        <v>1387</v>
      </c>
      <c r="Q42" t="s">
        <v>1500</v>
      </c>
    </row>
    <row r="43" spans="1:17" x14ac:dyDescent="0.25">
      <c r="A43" t="s">
        <v>39</v>
      </c>
      <c r="B43" t="s">
        <v>1501</v>
      </c>
      <c r="C43" t="s">
        <v>268</v>
      </c>
      <c r="D43" t="s">
        <v>1379</v>
      </c>
      <c r="E43">
        <v>-948</v>
      </c>
      <c r="F43" t="s">
        <v>1380</v>
      </c>
      <c r="G43" t="s">
        <v>1502</v>
      </c>
      <c r="H43" t="s">
        <v>1382</v>
      </c>
      <c r="I43" t="s">
        <v>1383</v>
      </c>
      <c r="J43" t="s">
        <v>1384</v>
      </c>
      <c r="K43" t="b">
        <v>1</v>
      </c>
      <c r="L43" t="b">
        <v>0</v>
      </c>
      <c r="M43" t="s">
        <v>1384</v>
      </c>
      <c r="N43" t="s">
        <v>1406</v>
      </c>
      <c r="O43" t="s">
        <v>1386</v>
      </c>
      <c r="P43" t="s">
        <v>1387</v>
      </c>
      <c r="Q43" t="s">
        <v>1384</v>
      </c>
    </row>
    <row r="44" spans="1:17" x14ac:dyDescent="0.25">
      <c r="A44" t="s">
        <v>39</v>
      </c>
      <c r="B44" t="s">
        <v>1503</v>
      </c>
      <c r="C44" t="s">
        <v>268</v>
      </c>
      <c r="D44" t="s">
        <v>1390</v>
      </c>
      <c r="E44">
        <v>-804</v>
      </c>
      <c r="F44" t="s">
        <v>1380</v>
      </c>
      <c r="G44" t="s">
        <v>1504</v>
      </c>
      <c r="H44" t="s">
        <v>1382</v>
      </c>
      <c r="I44" t="s">
        <v>1409</v>
      </c>
      <c r="J44" t="s">
        <v>1384</v>
      </c>
      <c r="K44" t="b">
        <v>1</v>
      </c>
      <c r="L44" t="b">
        <v>0</v>
      </c>
      <c r="M44" t="s">
        <v>1384</v>
      </c>
      <c r="N44" t="s">
        <v>1406</v>
      </c>
      <c r="O44" t="s">
        <v>1386</v>
      </c>
      <c r="P44" t="s">
        <v>1387</v>
      </c>
      <c r="Q44" t="s">
        <v>1384</v>
      </c>
    </row>
    <row r="45" spans="1:17" x14ac:dyDescent="0.25">
      <c r="A45" t="s">
        <v>39</v>
      </c>
      <c r="B45" t="s">
        <v>1505</v>
      </c>
      <c r="C45" t="s">
        <v>268</v>
      </c>
      <c r="D45" t="s">
        <v>1394</v>
      </c>
      <c r="E45">
        <v>-2306</v>
      </c>
      <c r="F45" t="s">
        <v>1380</v>
      </c>
      <c r="G45" t="s">
        <v>1506</v>
      </c>
      <c r="H45" t="s">
        <v>1382</v>
      </c>
      <c r="I45" t="s">
        <v>1412</v>
      </c>
      <c r="J45" t="s">
        <v>1384</v>
      </c>
      <c r="K45" t="b">
        <v>1</v>
      </c>
      <c r="L45" t="b">
        <v>0</v>
      </c>
      <c r="M45" t="s">
        <v>1384</v>
      </c>
      <c r="N45" t="s">
        <v>1406</v>
      </c>
      <c r="O45" t="s">
        <v>1386</v>
      </c>
      <c r="P45" t="s">
        <v>1387</v>
      </c>
      <c r="Q45" t="s">
        <v>1384</v>
      </c>
    </row>
    <row r="46" spans="1:17" x14ac:dyDescent="0.25">
      <c r="A46" t="s">
        <v>39</v>
      </c>
      <c r="B46" t="s">
        <v>1507</v>
      </c>
      <c r="C46" t="s">
        <v>268</v>
      </c>
      <c r="D46" t="s">
        <v>1398</v>
      </c>
      <c r="E46">
        <v>-16.826999999999998</v>
      </c>
      <c r="F46" t="s">
        <v>1508</v>
      </c>
      <c r="G46" t="s">
        <v>1509</v>
      </c>
      <c r="H46" t="s">
        <v>1382</v>
      </c>
      <c r="I46" t="s">
        <v>1384</v>
      </c>
      <c r="J46" t="s">
        <v>1384</v>
      </c>
      <c r="K46" t="b">
        <v>0</v>
      </c>
      <c r="L46" t="b">
        <v>1</v>
      </c>
      <c r="M46" t="s">
        <v>1510</v>
      </c>
      <c r="N46" t="s">
        <v>1511</v>
      </c>
      <c r="O46" t="s">
        <v>1512</v>
      </c>
      <c r="P46" t="s">
        <v>1513</v>
      </c>
      <c r="Q46" t="s">
        <v>1514</v>
      </c>
    </row>
    <row r="47" spans="1:17" x14ac:dyDescent="0.25">
      <c r="A47" t="s">
        <v>39</v>
      </c>
      <c r="B47" t="s">
        <v>1515</v>
      </c>
      <c r="C47" t="s">
        <v>268</v>
      </c>
      <c r="D47" t="s">
        <v>1402</v>
      </c>
      <c r="E47">
        <v>-2467</v>
      </c>
      <c r="F47" t="s">
        <v>1380</v>
      </c>
      <c r="G47" t="s">
        <v>1516</v>
      </c>
      <c r="H47" t="s">
        <v>1382</v>
      </c>
      <c r="I47" t="s">
        <v>1418</v>
      </c>
      <c r="J47" t="s">
        <v>1384</v>
      </c>
      <c r="K47" t="b">
        <v>1</v>
      </c>
      <c r="L47" t="b">
        <v>0</v>
      </c>
      <c r="M47" t="s">
        <v>1384</v>
      </c>
      <c r="N47" t="s">
        <v>1406</v>
      </c>
      <c r="O47" t="s">
        <v>1386</v>
      </c>
      <c r="P47" t="s">
        <v>1387</v>
      </c>
      <c r="Q47" t="s">
        <v>1384</v>
      </c>
    </row>
    <row r="48" spans="1:17" x14ac:dyDescent="0.25">
      <c r="A48" t="s">
        <v>39</v>
      </c>
      <c r="B48" t="s">
        <v>1517</v>
      </c>
      <c r="C48" t="s">
        <v>268</v>
      </c>
      <c r="D48" t="s">
        <v>1420</v>
      </c>
      <c r="E48">
        <v>-1767</v>
      </c>
      <c r="F48" t="s">
        <v>1380</v>
      </c>
      <c r="G48" t="s">
        <v>1518</v>
      </c>
      <c r="H48" t="s">
        <v>1382</v>
      </c>
      <c r="I48" t="s">
        <v>1422</v>
      </c>
      <c r="J48" t="s">
        <v>1384</v>
      </c>
      <c r="K48" t="b">
        <v>1</v>
      </c>
      <c r="L48" t="b">
        <v>0</v>
      </c>
      <c r="M48" t="s">
        <v>1384</v>
      </c>
      <c r="N48" t="s">
        <v>1406</v>
      </c>
      <c r="O48" t="s">
        <v>1386</v>
      </c>
      <c r="P48" t="s">
        <v>1387</v>
      </c>
      <c r="Q48" t="s">
        <v>1384</v>
      </c>
    </row>
    <row r="49" spans="1:17" x14ac:dyDescent="0.25">
      <c r="A49" t="s">
        <v>39</v>
      </c>
      <c r="B49" t="s">
        <v>1519</v>
      </c>
      <c r="C49" t="s">
        <v>268</v>
      </c>
      <c r="D49" t="s">
        <v>1424</v>
      </c>
      <c r="E49">
        <v>-2706</v>
      </c>
      <c r="F49" t="s">
        <v>1380</v>
      </c>
      <c r="G49" t="s">
        <v>1520</v>
      </c>
      <c r="H49" t="s">
        <v>1382</v>
      </c>
      <c r="I49" t="s">
        <v>1426</v>
      </c>
      <c r="J49" t="s">
        <v>1384</v>
      </c>
      <c r="K49" t="b">
        <v>1</v>
      </c>
      <c r="L49" t="b">
        <v>0</v>
      </c>
      <c r="M49" t="s">
        <v>1384</v>
      </c>
      <c r="N49" t="s">
        <v>1406</v>
      </c>
      <c r="O49" t="s">
        <v>1386</v>
      </c>
      <c r="P49" t="s">
        <v>1387</v>
      </c>
      <c r="Q49" t="s">
        <v>1384</v>
      </c>
    </row>
    <row r="50" spans="1:17" x14ac:dyDescent="0.25">
      <c r="A50" t="s">
        <v>39</v>
      </c>
      <c r="B50" t="s">
        <v>1521</v>
      </c>
      <c r="C50" t="s">
        <v>268</v>
      </c>
      <c r="D50" t="s">
        <v>1428</v>
      </c>
      <c r="E50">
        <v>-86.11700000000002</v>
      </c>
      <c r="F50" t="s">
        <v>1508</v>
      </c>
      <c r="G50" t="s">
        <v>1509</v>
      </c>
      <c r="H50" t="s">
        <v>1382</v>
      </c>
      <c r="I50" t="s">
        <v>1384</v>
      </c>
      <c r="J50" t="s">
        <v>1384</v>
      </c>
      <c r="K50" t="b">
        <v>0</v>
      </c>
      <c r="L50" t="b">
        <v>1</v>
      </c>
      <c r="M50" t="s">
        <v>1510</v>
      </c>
      <c r="N50" t="s">
        <v>1511</v>
      </c>
      <c r="O50" t="s">
        <v>1512</v>
      </c>
      <c r="P50" t="s">
        <v>1513</v>
      </c>
      <c r="Q50" t="s">
        <v>1514</v>
      </c>
    </row>
    <row r="51" spans="1:17" x14ac:dyDescent="0.25">
      <c r="A51" t="s">
        <v>39</v>
      </c>
      <c r="B51" t="s">
        <v>1522</v>
      </c>
      <c r="C51" t="s">
        <v>268</v>
      </c>
      <c r="D51" t="s">
        <v>1432</v>
      </c>
      <c r="E51">
        <v>-4553</v>
      </c>
      <c r="F51" t="s">
        <v>1380</v>
      </c>
      <c r="G51" t="s">
        <v>1523</v>
      </c>
      <c r="H51" t="s">
        <v>1382</v>
      </c>
      <c r="I51" t="s">
        <v>1434</v>
      </c>
      <c r="J51" t="s">
        <v>1384</v>
      </c>
      <c r="K51" t="b">
        <v>1</v>
      </c>
      <c r="L51" t="b">
        <v>0</v>
      </c>
      <c r="M51" t="s">
        <v>1384</v>
      </c>
      <c r="N51" t="s">
        <v>1406</v>
      </c>
      <c r="O51" t="s">
        <v>1386</v>
      </c>
      <c r="P51" t="s">
        <v>1387</v>
      </c>
      <c r="Q51" t="s">
        <v>1384</v>
      </c>
    </row>
    <row r="52" spans="1:17" x14ac:dyDescent="0.25">
      <c r="A52" t="s">
        <v>39</v>
      </c>
      <c r="B52" t="s">
        <v>1524</v>
      </c>
      <c r="C52" t="s">
        <v>268</v>
      </c>
      <c r="D52" t="s">
        <v>1436</v>
      </c>
      <c r="E52">
        <v>-2678</v>
      </c>
      <c r="F52" t="s">
        <v>1380</v>
      </c>
      <c r="G52" t="s">
        <v>1525</v>
      </c>
      <c r="H52" t="s">
        <v>1382</v>
      </c>
      <c r="I52" t="s">
        <v>1422</v>
      </c>
      <c r="J52" t="s">
        <v>1384</v>
      </c>
      <c r="K52" t="b">
        <v>1</v>
      </c>
      <c r="L52" t="b">
        <v>0</v>
      </c>
      <c r="M52" t="s">
        <v>1384</v>
      </c>
      <c r="N52" t="s">
        <v>1406</v>
      </c>
      <c r="O52" t="s">
        <v>1386</v>
      </c>
      <c r="P52" t="s">
        <v>1387</v>
      </c>
      <c r="Q52" t="s">
        <v>1384</v>
      </c>
    </row>
    <row r="53" spans="1:17" x14ac:dyDescent="0.25">
      <c r="A53" t="s">
        <v>39</v>
      </c>
      <c r="B53" t="s">
        <v>1526</v>
      </c>
      <c r="C53" t="s">
        <v>268</v>
      </c>
      <c r="D53" t="s">
        <v>1439</v>
      </c>
      <c r="E53">
        <v>-6910</v>
      </c>
      <c r="F53" t="s">
        <v>1380</v>
      </c>
      <c r="G53" t="s">
        <v>1527</v>
      </c>
      <c r="H53" t="s">
        <v>1382</v>
      </c>
      <c r="I53" t="s">
        <v>1426</v>
      </c>
      <c r="J53" t="s">
        <v>1384</v>
      </c>
      <c r="K53" t="b">
        <v>1</v>
      </c>
      <c r="L53" t="b">
        <v>0</v>
      </c>
      <c r="M53" t="s">
        <v>1384</v>
      </c>
      <c r="N53" t="s">
        <v>1406</v>
      </c>
      <c r="O53" t="s">
        <v>1386</v>
      </c>
      <c r="P53" t="s">
        <v>1387</v>
      </c>
      <c r="Q53" t="s">
        <v>1384</v>
      </c>
    </row>
    <row r="54" spans="1:17" x14ac:dyDescent="0.25">
      <c r="A54" t="s">
        <v>39</v>
      </c>
      <c r="B54" t="s">
        <v>1528</v>
      </c>
      <c r="C54" t="s">
        <v>268</v>
      </c>
      <c r="D54" t="s">
        <v>1442</v>
      </c>
      <c r="E54">
        <v>-37.53699999999998</v>
      </c>
      <c r="F54" t="s">
        <v>1508</v>
      </c>
      <c r="G54" t="s">
        <v>1509</v>
      </c>
      <c r="H54" t="s">
        <v>1382</v>
      </c>
      <c r="I54" t="s">
        <v>1384</v>
      </c>
      <c r="J54" t="s">
        <v>1384</v>
      </c>
      <c r="K54" t="b">
        <v>0</v>
      </c>
      <c r="L54" t="b">
        <v>1</v>
      </c>
      <c r="M54" t="s">
        <v>1510</v>
      </c>
      <c r="N54" t="s">
        <v>1511</v>
      </c>
      <c r="O54" t="s">
        <v>1512</v>
      </c>
      <c r="P54" t="s">
        <v>1513</v>
      </c>
      <c r="Q54" t="s">
        <v>1514</v>
      </c>
    </row>
    <row r="55" spans="1:17" x14ac:dyDescent="0.25">
      <c r="A55" t="s">
        <v>39</v>
      </c>
      <c r="B55" t="s">
        <v>1529</v>
      </c>
      <c r="C55" t="s">
        <v>271</v>
      </c>
      <c r="D55" t="s">
        <v>1398</v>
      </c>
      <c r="E55">
        <v>-4.283999999999999</v>
      </c>
      <c r="F55" t="s">
        <v>1508</v>
      </c>
      <c r="G55" t="s">
        <v>1384</v>
      </c>
      <c r="H55" t="s">
        <v>1382</v>
      </c>
      <c r="I55" t="s">
        <v>1384</v>
      </c>
      <c r="J55" t="s">
        <v>1384</v>
      </c>
      <c r="K55" t="b">
        <v>0</v>
      </c>
      <c r="L55" t="b">
        <v>1</v>
      </c>
      <c r="M55" t="s">
        <v>1510</v>
      </c>
      <c r="N55" t="s">
        <v>1511</v>
      </c>
      <c r="O55" t="s">
        <v>1512</v>
      </c>
      <c r="P55" t="s">
        <v>1513</v>
      </c>
      <c r="Q55" t="s">
        <v>1514</v>
      </c>
    </row>
    <row r="56" spans="1:17" x14ac:dyDescent="0.25">
      <c r="A56" t="s">
        <v>39</v>
      </c>
      <c r="B56" t="s">
        <v>1530</v>
      </c>
      <c r="C56" t="s">
        <v>271</v>
      </c>
      <c r="D56" t="s">
        <v>1428</v>
      </c>
      <c r="E56">
        <v>-25.394999999999996</v>
      </c>
      <c r="F56" t="s">
        <v>1508</v>
      </c>
      <c r="G56" t="s">
        <v>1384</v>
      </c>
      <c r="H56" t="s">
        <v>1382</v>
      </c>
      <c r="I56" t="s">
        <v>1384</v>
      </c>
      <c r="J56" t="s">
        <v>1384</v>
      </c>
      <c r="K56" t="b">
        <v>0</v>
      </c>
      <c r="L56" t="b">
        <v>1</v>
      </c>
      <c r="M56" t="s">
        <v>1510</v>
      </c>
      <c r="N56" t="s">
        <v>1511</v>
      </c>
      <c r="O56" t="s">
        <v>1512</v>
      </c>
      <c r="P56" t="s">
        <v>1513</v>
      </c>
      <c r="Q56" t="s">
        <v>1514</v>
      </c>
    </row>
    <row r="57" spans="1:17" x14ac:dyDescent="0.25">
      <c r="A57" t="s">
        <v>39</v>
      </c>
      <c r="B57" t="s">
        <v>1531</v>
      </c>
      <c r="C57" t="s">
        <v>271</v>
      </c>
      <c r="D57" t="s">
        <v>1442</v>
      </c>
      <c r="E57">
        <v>-24.039999999999992</v>
      </c>
      <c r="F57" t="s">
        <v>1508</v>
      </c>
      <c r="G57" t="s">
        <v>1384</v>
      </c>
      <c r="H57" t="s">
        <v>1382</v>
      </c>
      <c r="I57" t="s">
        <v>1384</v>
      </c>
      <c r="J57" t="s">
        <v>1384</v>
      </c>
      <c r="K57" t="b">
        <v>0</v>
      </c>
      <c r="L57" t="b">
        <v>1</v>
      </c>
      <c r="M57" t="s">
        <v>1510</v>
      </c>
      <c r="N57" t="s">
        <v>1511</v>
      </c>
      <c r="O57" t="s">
        <v>1512</v>
      </c>
      <c r="P57" t="s">
        <v>1513</v>
      </c>
      <c r="Q57" t="s">
        <v>1514</v>
      </c>
    </row>
    <row r="58" spans="1:17" x14ac:dyDescent="0.25">
      <c r="A58" t="s">
        <v>39</v>
      </c>
      <c r="B58" t="s">
        <v>1532</v>
      </c>
      <c r="C58" t="s">
        <v>272</v>
      </c>
      <c r="D58" t="s">
        <v>1379</v>
      </c>
      <c r="E58">
        <v>0</v>
      </c>
      <c r="F58" t="s">
        <v>1446</v>
      </c>
      <c r="G58" t="s">
        <v>1533</v>
      </c>
      <c r="H58" t="s">
        <v>1382</v>
      </c>
      <c r="I58" t="s">
        <v>1384</v>
      </c>
      <c r="J58" t="s">
        <v>1384</v>
      </c>
      <c r="K58" t="b">
        <v>1</v>
      </c>
      <c r="L58" t="b">
        <v>0</v>
      </c>
      <c r="M58" t="s">
        <v>1384</v>
      </c>
      <c r="N58" t="s">
        <v>1385</v>
      </c>
      <c r="O58" t="s">
        <v>1386</v>
      </c>
      <c r="P58" t="s">
        <v>1387</v>
      </c>
      <c r="Q58" t="s">
        <v>1534</v>
      </c>
    </row>
    <row r="59" spans="1:17" x14ac:dyDescent="0.25">
      <c r="A59" t="s">
        <v>39</v>
      </c>
      <c r="B59" t="s">
        <v>1535</v>
      </c>
      <c r="C59" t="s">
        <v>272</v>
      </c>
      <c r="D59" t="s">
        <v>1390</v>
      </c>
      <c r="E59">
        <v>0</v>
      </c>
      <c r="F59" t="s">
        <v>1446</v>
      </c>
      <c r="G59" t="s">
        <v>1533</v>
      </c>
      <c r="H59" t="s">
        <v>1382</v>
      </c>
      <c r="I59" t="s">
        <v>1384</v>
      </c>
      <c r="J59" t="s">
        <v>1384</v>
      </c>
      <c r="K59" t="b">
        <v>1</v>
      </c>
      <c r="L59" t="b">
        <v>0</v>
      </c>
      <c r="M59" t="s">
        <v>1384</v>
      </c>
      <c r="N59" t="s">
        <v>1385</v>
      </c>
      <c r="O59" t="s">
        <v>1386</v>
      </c>
      <c r="P59" t="s">
        <v>1387</v>
      </c>
      <c r="Q59" t="s">
        <v>1534</v>
      </c>
    </row>
    <row r="60" spans="1:17" x14ac:dyDescent="0.25">
      <c r="A60" t="s">
        <v>39</v>
      </c>
      <c r="B60" t="s">
        <v>1536</v>
      </c>
      <c r="C60" t="s">
        <v>272</v>
      </c>
      <c r="D60" t="s">
        <v>1394</v>
      </c>
      <c r="E60">
        <v>0</v>
      </c>
      <c r="F60" t="s">
        <v>1446</v>
      </c>
      <c r="G60" t="s">
        <v>1533</v>
      </c>
      <c r="H60" t="s">
        <v>1382</v>
      </c>
      <c r="I60" t="s">
        <v>1384</v>
      </c>
      <c r="J60" t="s">
        <v>1384</v>
      </c>
      <c r="K60" t="b">
        <v>1</v>
      </c>
      <c r="L60" t="b">
        <v>0</v>
      </c>
      <c r="M60" t="s">
        <v>1384</v>
      </c>
      <c r="N60" t="s">
        <v>1385</v>
      </c>
      <c r="O60" t="s">
        <v>1386</v>
      </c>
      <c r="P60" t="s">
        <v>1387</v>
      </c>
      <c r="Q60" t="s">
        <v>1534</v>
      </c>
    </row>
    <row r="61" spans="1:17" x14ac:dyDescent="0.25">
      <c r="A61" t="s">
        <v>39</v>
      </c>
      <c r="B61" t="s">
        <v>1537</v>
      </c>
      <c r="C61" t="s">
        <v>272</v>
      </c>
      <c r="D61" t="s">
        <v>1398</v>
      </c>
      <c r="E61">
        <v>0</v>
      </c>
      <c r="F61" t="s">
        <v>1446</v>
      </c>
      <c r="G61" t="s">
        <v>1533</v>
      </c>
      <c r="H61" t="s">
        <v>1382</v>
      </c>
      <c r="I61" t="s">
        <v>1384</v>
      </c>
      <c r="J61" t="s">
        <v>1384</v>
      </c>
      <c r="K61" t="b">
        <v>1</v>
      </c>
      <c r="L61" t="b">
        <v>0</v>
      </c>
      <c r="M61" t="s">
        <v>1384</v>
      </c>
      <c r="N61" t="s">
        <v>1385</v>
      </c>
      <c r="O61" t="s">
        <v>1386</v>
      </c>
      <c r="P61" t="s">
        <v>1387</v>
      </c>
      <c r="Q61" t="s">
        <v>1534</v>
      </c>
    </row>
    <row r="62" spans="1:17" x14ac:dyDescent="0.25">
      <c r="A62" t="s">
        <v>39</v>
      </c>
      <c r="B62" t="s">
        <v>1538</v>
      </c>
      <c r="C62" t="s">
        <v>272</v>
      </c>
      <c r="D62" t="s">
        <v>1402</v>
      </c>
      <c r="E62">
        <v>0</v>
      </c>
      <c r="F62" t="s">
        <v>1446</v>
      </c>
      <c r="G62" t="s">
        <v>1533</v>
      </c>
      <c r="H62" t="s">
        <v>1382</v>
      </c>
      <c r="I62" t="s">
        <v>1384</v>
      </c>
      <c r="J62" t="s">
        <v>1384</v>
      </c>
      <c r="K62" t="b">
        <v>1</v>
      </c>
      <c r="L62" t="b">
        <v>0</v>
      </c>
      <c r="M62" t="s">
        <v>1384</v>
      </c>
      <c r="N62" t="s">
        <v>1385</v>
      </c>
      <c r="O62" t="s">
        <v>1386</v>
      </c>
      <c r="P62" t="s">
        <v>1387</v>
      </c>
      <c r="Q62" t="s">
        <v>1534</v>
      </c>
    </row>
    <row r="63" spans="1:17" x14ac:dyDescent="0.25">
      <c r="A63" t="s">
        <v>39</v>
      </c>
      <c r="B63" t="s">
        <v>1539</v>
      </c>
      <c r="C63" t="s">
        <v>272</v>
      </c>
      <c r="D63" t="s">
        <v>1420</v>
      </c>
      <c r="E63">
        <v>0</v>
      </c>
      <c r="F63" t="s">
        <v>1446</v>
      </c>
      <c r="G63" t="s">
        <v>1533</v>
      </c>
      <c r="H63" t="s">
        <v>1382</v>
      </c>
      <c r="I63" t="s">
        <v>1384</v>
      </c>
      <c r="J63" t="s">
        <v>1384</v>
      </c>
      <c r="K63" t="b">
        <v>1</v>
      </c>
      <c r="L63" t="b">
        <v>0</v>
      </c>
      <c r="M63" t="s">
        <v>1384</v>
      </c>
      <c r="N63" t="s">
        <v>1385</v>
      </c>
      <c r="O63" t="s">
        <v>1386</v>
      </c>
      <c r="P63" t="s">
        <v>1387</v>
      </c>
      <c r="Q63" t="s">
        <v>1534</v>
      </c>
    </row>
    <row r="64" spans="1:17" x14ac:dyDescent="0.25">
      <c r="A64" t="s">
        <v>39</v>
      </c>
      <c r="B64" t="s">
        <v>1540</v>
      </c>
      <c r="C64" t="s">
        <v>272</v>
      </c>
      <c r="D64" t="s">
        <v>1424</v>
      </c>
      <c r="E64">
        <v>0</v>
      </c>
      <c r="F64" t="s">
        <v>1446</v>
      </c>
      <c r="G64" t="s">
        <v>1533</v>
      </c>
      <c r="H64" t="s">
        <v>1382</v>
      </c>
      <c r="I64" t="s">
        <v>1384</v>
      </c>
      <c r="J64" t="s">
        <v>1384</v>
      </c>
      <c r="K64" t="b">
        <v>1</v>
      </c>
      <c r="L64" t="b">
        <v>0</v>
      </c>
      <c r="M64" t="s">
        <v>1384</v>
      </c>
      <c r="N64" t="s">
        <v>1385</v>
      </c>
      <c r="O64" t="s">
        <v>1386</v>
      </c>
      <c r="P64" t="s">
        <v>1387</v>
      </c>
      <c r="Q64" t="s">
        <v>1534</v>
      </c>
    </row>
    <row r="65" spans="1:17" x14ac:dyDescent="0.25">
      <c r="A65" t="s">
        <v>39</v>
      </c>
      <c r="B65" t="s">
        <v>1541</v>
      </c>
      <c r="C65" t="s">
        <v>272</v>
      </c>
      <c r="D65" t="s">
        <v>1428</v>
      </c>
      <c r="E65">
        <v>0</v>
      </c>
      <c r="F65" t="s">
        <v>1446</v>
      </c>
      <c r="G65" t="s">
        <v>1533</v>
      </c>
      <c r="H65" t="s">
        <v>1382</v>
      </c>
      <c r="I65" t="s">
        <v>1384</v>
      </c>
      <c r="J65" t="s">
        <v>1384</v>
      </c>
      <c r="K65" t="b">
        <v>1</v>
      </c>
      <c r="L65" t="b">
        <v>0</v>
      </c>
      <c r="M65" t="s">
        <v>1384</v>
      </c>
      <c r="N65" t="s">
        <v>1385</v>
      </c>
      <c r="O65" t="s">
        <v>1386</v>
      </c>
      <c r="P65" t="s">
        <v>1387</v>
      </c>
      <c r="Q65" t="s">
        <v>1534</v>
      </c>
    </row>
    <row r="66" spans="1:17" x14ac:dyDescent="0.25">
      <c r="A66" t="s">
        <v>39</v>
      </c>
      <c r="B66" t="s">
        <v>1542</v>
      </c>
      <c r="C66" t="s">
        <v>273</v>
      </c>
      <c r="D66" t="s">
        <v>1398</v>
      </c>
      <c r="E66">
        <v>1.0519999999999996</v>
      </c>
      <c r="F66" t="s">
        <v>1508</v>
      </c>
      <c r="G66" t="s">
        <v>1384</v>
      </c>
      <c r="H66" t="s">
        <v>1382</v>
      </c>
      <c r="I66" t="s">
        <v>1384</v>
      </c>
      <c r="J66" t="s">
        <v>1384</v>
      </c>
      <c r="K66" t="b">
        <v>0</v>
      </c>
      <c r="L66" t="b">
        <v>1</v>
      </c>
      <c r="M66" t="s">
        <v>1510</v>
      </c>
      <c r="N66" t="s">
        <v>1511</v>
      </c>
      <c r="O66" t="s">
        <v>1512</v>
      </c>
      <c r="P66" t="s">
        <v>1513</v>
      </c>
      <c r="Q66" t="s">
        <v>1514</v>
      </c>
    </row>
    <row r="67" spans="1:17" x14ac:dyDescent="0.25">
      <c r="A67" t="s">
        <v>39</v>
      </c>
      <c r="B67" t="s">
        <v>1543</v>
      </c>
      <c r="C67" t="s">
        <v>273</v>
      </c>
      <c r="D67" t="s">
        <v>1428</v>
      </c>
      <c r="E67">
        <v>11.928999999999998</v>
      </c>
      <c r="F67" t="s">
        <v>1508</v>
      </c>
      <c r="G67" t="s">
        <v>1384</v>
      </c>
      <c r="H67" t="s">
        <v>1382</v>
      </c>
      <c r="I67" t="s">
        <v>1384</v>
      </c>
      <c r="J67" t="s">
        <v>1384</v>
      </c>
      <c r="K67" t="b">
        <v>0</v>
      </c>
      <c r="L67" t="b">
        <v>1</v>
      </c>
      <c r="M67" t="s">
        <v>1510</v>
      </c>
      <c r="N67" t="s">
        <v>1511</v>
      </c>
      <c r="O67" t="s">
        <v>1512</v>
      </c>
      <c r="P67" t="s">
        <v>1513</v>
      </c>
      <c r="Q67" t="s">
        <v>1514</v>
      </c>
    </row>
    <row r="68" spans="1:17" x14ac:dyDescent="0.25">
      <c r="A68" t="s">
        <v>39</v>
      </c>
      <c r="B68" t="s">
        <v>1544</v>
      </c>
      <c r="C68" t="s">
        <v>273</v>
      </c>
      <c r="D68" t="s">
        <v>1442</v>
      </c>
      <c r="E68">
        <v>3.7379999999999995</v>
      </c>
      <c r="F68" t="s">
        <v>1508</v>
      </c>
      <c r="G68" t="s">
        <v>1384</v>
      </c>
      <c r="H68" t="s">
        <v>1382</v>
      </c>
      <c r="I68" t="s">
        <v>1384</v>
      </c>
      <c r="J68" t="s">
        <v>1384</v>
      </c>
      <c r="K68" t="b">
        <v>0</v>
      </c>
      <c r="L68" t="b">
        <v>1</v>
      </c>
      <c r="M68" t="s">
        <v>1510</v>
      </c>
      <c r="N68" t="s">
        <v>1511</v>
      </c>
      <c r="O68" t="s">
        <v>1512</v>
      </c>
      <c r="P68" t="s">
        <v>1513</v>
      </c>
      <c r="Q68" t="s">
        <v>1514</v>
      </c>
    </row>
    <row r="69" spans="1:17" x14ac:dyDescent="0.25">
      <c r="A69" t="s">
        <v>39</v>
      </c>
      <c r="B69" t="s">
        <v>1545</v>
      </c>
      <c r="C69" t="s">
        <v>317</v>
      </c>
      <c r="D69" t="s">
        <v>1379</v>
      </c>
      <c r="E69">
        <v>49343</v>
      </c>
      <c r="F69" t="s">
        <v>1380</v>
      </c>
      <c r="G69" t="s">
        <v>1546</v>
      </c>
      <c r="H69" t="s">
        <v>1547</v>
      </c>
      <c r="I69" t="s">
        <v>1548</v>
      </c>
      <c r="J69" t="s">
        <v>1384</v>
      </c>
      <c r="K69" t="b">
        <v>1</v>
      </c>
      <c r="L69" t="b">
        <v>0</v>
      </c>
      <c r="M69" t="s">
        <v>1384</v>
      </c>
      <c r="N69" t="s">
        <v>1385</v>
      </c>
      <c r="O69" t="s">
        <v>1386</v>
      </c>
      <c r="P69" t="s">
        <v>1387</v>
      </c>
      <c r="Q69" t="s">
        <v>1549</v>
      </c>
    </row>
    <row r="70" spans="1:17" x14ac:dyDescent="0.25">
      <c r="A70" t="s">
        <v>39</v>
      </c>
      <c r="B70" t="s">
        <v>1550</v>
      </c>
      <c r="C70" t="s">
        <v>317</v>
      </c>
      <c r="D70" t="s">
        <v>1390</v>
      </c>
      <c r="E70">
        <v>49529</v>
      </c>
      <c r="F70" t="s">
        <v>1380</v>
      </c>
      <c r="G70" t="s">
        <v>1551</v>
      </c>
      <c r="H70" t="s">
        <v>1547</v>
      </c>
      <c r="I70" t="s">
        <v>1392</v>
      </c>
      <c r="J70" t="s">
        <v>1384</v>
      </c>
      <c r="K70" t="b">
        <v>1</v>
      </c>
      <c r="L70" t="b">
        <v>0</v>
      </c>
      <c r="M70" t="s">
        <v>1384</v>
      </c>
      <c r="N70" t="s">
        <v>1385</v>
      </c>
      <c r="O70" t="s">
        <v>1386</v>
      </c>
      <c r="P70" t="s">
        <v>1387</v>
      </c>
      <c r="Q70" t="s">
        <v>1549</v>
      </c>
    </row>
    <row r="71" spans="1:17" x14ac:dyDescent="0.25">
      <c r="A71" t="s">
        <v>39</v>
      </c>
      <c r="B71" t="s">
        <v>1552</v>
      </c>
      <c r="C71" t="s">
        <v>317</v>
      </c>
      <c r="D71" t="s">
        <v>1394</v>
      </c>
      <c r="E71">
        <v>49605</v>
      </c>
      <c r="F71" t="s">
        <v>1380</v>
      </c>
      <c r="G71" t="s">
        <v>1553</v>
      </c>
      <c r="H71" t="s">
        <v>1547</v>
      </c>
      <c r="I71" t="s">
        <v>1396</v>
      </c>
      <c r="J71" t="s">
        <v>1384</v>
      </c>
      <c r="K71" t="b">
        <v>1</v>
      </c>
      <c r="L71" t="b">
        <v>0</v>
      </c>
      <c r="M71" t="s">
        <v>1384</v>
      </c>
      <c r="N71" t="s">
        <v>1385</v>
      </c>
      <c r="O71" t="s">
        <v>1386</v>
      </c>
      <c r="P71" t="s">
        <v>1387</v>
      </c>
      <c r="Q71" t="s">
        <v>1549</v>
      </c>
    </row>
    <row r="72" spans="1:17" x14ac:dyDescent="0.25">
      <c r="A72" t="s">
        <v>39</v>
      </c>
      <c r="B72" t="s">
        <v>1554</v>
      </c>
      <c r="C72" t="s">
        <v>317</v>
      </c>
      <c r="D72" t="s">
        <v>1398</v>
      </c>
      <c r="E72">
        <v>73387</v>
      </c>
      <c r="F72" t="s">
        <v>1380</v>
      </c>
      <c r="G72" t="s">
        <v>1555</v>
      </c>
      <c r="H72" t="s">
        <v>1547</v>
      </c>
      <c r="I72" t="s">
        <v>1556</v>
      </c>
      <c r="J72" t="s">
        <v>1384</v>
      </c>
      <c r="K72" t="b">
        <v>1</v>
      </c>
      <c r="L72" t="b">
        <v>0</v>
      </c>
      <c r="M72" t="s">
        <v>1384</v>
      </c>
      <c r="N72" t="s">
        <v>1385</v>
      </c>
      <c r="O72" t="s">
        <v>1386</v>
      </c>
      <c r="P72" t="s">
        <v>1387</v>
      </c>
      <c r="Q72" t="s">
        <v>1549</v>
      </c>
    </row>
    <row r="73" spans="1:17" x14ac:dyDescent="0.25">
      <c r="A73" t="s">
        <v>39</v>
      </c>
      <c r="B73" t="s">
        <v>1557</v>
      </c>
      <c r="C73" t="s">
        <v>317</v>
      </c>
      <c r="D73" t="s">
        <v>1402</v>
      </c>
      <c r="E73">
        <v>72852</v>
      </c>
      <c r="F73" t="s">
        <v>1380</v>
      </c>
      <c r="G73" t="s">
        <v>1558</v>
      </c>
      <c r="H73" t="s">
        <v>1547</v>
      </c>
      <c r="I73" t="s">
        <v>1383</v>
      </c>
      <c r="J73" t="s">
        <v>1384</v>
      </c>
      <c r="K73" t="b">
        <v>1</v>
      </c>
      <c r="L73" t="b">
        <v>0</v>
      </c>
      <c r="M73" t="s">
        <v>1384</v>
      </c>
      <c r="N73" t="s">
        <v>1385</v>
      </c>
      <c r="O73" t="s">
        <v>1386</v>
      </c>
      <c r="P73" t="s">
        <v>1387</v>
      </c>
      <c r="Q73" t="s">
        <v>1549</v>
      </c>
    </row>
    <row r="74" spans="1:17" x14ac:dyDescent="0.25">
      <c r="A74" t="s">
        <v>39</v>
      </c>
      <c r="B74" t="s">
        <v>1559</v>
      </c>
      <c r="C74" t="s">
        <v>317</v>
      </c>
      <c r="D74" t="s">
        <v>1420</v>
      </c>
      <c r="E74">
        <v>71178</v>
      </c>
      <c r="F74" t="s">
        <v>1380</v>
      </c>
      <c r="G74" t="s">
        <v>1560</v>
      </c>
      <c r="H74" t="s">
        <v>1547</v>
      </c>
      <c r="I74" t="s">
        <v>1409</v>
      </c>
      <c r="J74" t="s">
        <v>1384</v>
      </c>
      <c r="K74" t="b">
        <v>1</v>
      </c>
      <c r="L74" t="b">
        <v>0</v>
      </c>
      <c r="M74" t="s">
        <v>1384</v>
      </c>
      <c r="N74" t="s">
        <v>1385</v>
      </c>
      <c r="O74" t="s">
        <v>1386</v>
      </c>
      <c r="P74" t="s">
        <v>1387</v>
      </c>
      <c r="Q74" t="s">
        <v>1549</v>
      </c>
    </row>
    <row r="75" spans="1:17" x14ac:dyDescent="0.25">
      <c r="A75" t="s">
        <v>39</v>
      </c>
      <c r="B75" t="s">
        <v>1561</v>
      </c>
      <c r="C75" t="s">
        <v>317</v>
      </c>
      <c r="D75" t="s">
        <v>1424</v>
      </c>
      <c r="E75">
        <v>75091</v>
      </c>
      <c r="F75" t="s">
        <v>1380</v>
      </c>
      <c r="G75" t="s">
        <v>1562</v>
      </c>
      <c r="H75" t="s">
        <v>1547</v>
      </c>
      <c r="I75" t="s">
        <v>1412</v>
      </c>
      <c r="J75" t="s">
        <v>1384</v>
      </c>
      <c r="K75" t="b">
        <v>1</v>
      </c>
      <c r="L75" t="b">
        <v>0</v>
      </c>
      <c r="M75" t="s">
        <v>1384</v>
      </c>
      <c r="N75" t="s">
        <v>1385</v>
      </c>
      <c r="O75" t="s">
        <v>1386</v>
      </c>
      <c r="P75" t="s">
        <v>1387</v>
      </c>
      <c r="Q75" t="s">
        <v>1549</v>
      </c>
    </row>
    <row r="76" spans="1:17" x14ac:dyDescent="0.25">
      <c r="A76" t="s">
        <v>39</v>
      </c>
      <c r="B76" t="s">
        <v>1563</v>
      </c>
      <c r="C76" t="s">
        <v>317</v>
      </c>
      <c r="D76" t="s">
        <v>1428</v>
      </c>
      <c r="E76">
        <v>78779</v>
      </c>
      <c r="F76" t="s">
        <v>1380</v>
      </c>
      <c r="G76" t="s">
        <v>1564</v>
      </c>
      <c r="H76" t="s">
        <v>1547</v>
      </c>
      <c r="I76" t="s">
        <v>1565</v>
      </c>
      <c r="J76" t="s">
        <v>1384</v>
      </c>
      <c r="K76" t="b">
        <v>1</v>
      </c>
      <c r="L76" t="b">
        <v>0</v>
      </c>
      <c r="M76" t="s">
        <v>1384</v>
      </c>
      <c r="N76" t="s">
        <v>1385</v>
      </c>
      <c r="O76" t="s">
        <v>1386</v>
      </c>
      <c r="P76" t="s">
        <v>1387</v>
      </c>
      <c r="Q76" t="s">
        <v>1549</v>
      </c>
    </row>
    <row r="77" spans="1:17" x14ac:dyDescent="0.25">
      <c r="A77" t="s">
        <v>39</v>
      </c>
      <c r="B77" t="s">
        <v>1566</v>
      </c>
      <c r="C77" t="s">
        <v>317</v>
      </c>
      <c r="D77" t="s">
        <v>1432</v>
      </c>
      <c r="E77">
        <v>66207</v>
      </c>
      <c r="F77" t="s">
        <v>1380</v>
      </c>
      <c r="G77" t="s">
        <v>1567</v>
      </c>
      <c r="H77" t="s">
        <v>1547</v>
      </c>
      <c r="I77" t="s">
        <v>1418</v>
      </c>
      <c r="J77" t="s">
        <v>1384</v>
      </c>
      <c r="K77" t="b">
        <v>1</v>
      </c>
      <c r="L77" t="b">
        <v>0</v>
      </c>
      <c r="M77" t="s">
        <v>1384</v>
      </c>
      <c r="N77" t="s">
        <v>1385</v>
      </c>
      <c r="O77" t="s">
        <v>1386</v>
      </c>
      <c r="P77" t="s">
        <v>1387</v>
      </c>
      <c r="Q77" t="s">
        <v>1549</v>
      </c>
    </row>
    <row r="78" spans="1:17" x14ac:dyDescent="0.25">
      <c r="A78" t="s">
        <v>39</v>
      </c>
      <c r="B78" t="s">
        <v>1568</v>
      </c>
      <c r="C78" t="s">
        <v>317</v>
      </c>
      <c r="D78" t="s">
        <v>1436</v>
      </c>
      <c r="E78">
        <v>57741</v>
      </c>
      <c r="F78" t="s">
        <v>1380</v>
      </c>
      <c r="G78" t="s">
        <v>1569</v>
      </c>
      <c r="H78" t="s">
        <v>1547</v>
      </c>
      <c r="I78" t="s">
        <v>1422</v>
      </c>
      <c r="J78" t="s">
        <v>1384</v>
      </c>
      <c r="K78" t="b">
        <v>1</v>
      </c>
      <c r="L78" t="b">
        <v>0</v>
      </c>
      <c r="M78" t="s">
        <v>1384</v>
      </c>
      <c r="N78" t="s">
        <v>1385</v>
      </c>
      <c r="O78" t="s">
        <v>1386</v>
      </c>
      <c r="P78" t="s">
        <v>1387</v>
      </c>
      <c r="Q78" t="s">
        <v>1549</v>
      </c>
    </row>
    <row r="79" spans="1:17" x14ac:dyDescent="0.25">
      <c r="A79" t="s">
        <v>39</v>
      </c>
      <c r="B79" t="s">
        <v>1570</v>
      </c>
      <c r="C79" t="s">
        <v>317</v>
      </c>
      <c r="D79" t="s">
        <v>1439</v>
      </c>
      <c r="E79">
        <v>66922</v>
      </c>
      <c r="F79" t="s">
        <v>1380</v>
      </c>
      <c r="G79" t="s">
        <v>1571</v>
      </c>
      <c r="H79" t="s">
        <v>1547</v>
      </c>
      <c r="I79" t="s">
        <v>1426</v>
      </c>
      <c r="J79" t="s">
        <v>1384</v>
      </c>
      <c r="K79" t="b">
        <v>1</v>
      </c>
      <c r="L79" t="b">
        <v>0</v>
      </c>
      <c r="M79" t="s">
        <v>1384</v>
      </c>
      <c r="N79" t="s">
        <v>1385</v>
      </c>
      <c r="O79" t="s">
        <v>1386</v>
      </c>
      <c r="P79" t="s">
        <v>1387</v>
      </c>
      <c r="Q79" t="s">
        <v>1549</v>
      </c>
    </row>
    <row r="80" spans="1:17" x14ac:dyDescent="0.25">
      <c r="A80" t="s">
        <v>39</v>
      </c>
      <c r="B80" t="s">
        <v>1572</v>
      </c>
      <c r="C80" t="s">
        <v>317</v>
      </c>
      <c r="D80" t="s">
        <v>1442</v>
      </c>
      <c r="E80">
        <v>86810</v>
      </c>
      <c r="F80" t="s">
        <v>1380</v>
      </c>
      <c r="G80" t="s">
        <v>1573</v>
      </c>
      <c r="H80" t="s">
        <v>1547</v>
      </c>
      <c r="I80" t="s">
        <v>1565</v>
      </c>
      <c r="J80" t="s">
        <v>1384</v>
      </c>
      <c r="K80" t="b">
        <v>1</v>
      </c>
      <c r="L80" t="b">
        <v>0</v>
      </c>
      <c r="M80" t="s">
        <v>1384</v>
      </c>
      <c r="N80" t="s">
        <v>1385</v>
      </c>
      <c r="O80" t="s">
        <v>1386</v>
      </c>
      <c r="P80" t="s">
        <v>1387</v>
      </c>
      <c r="Q80" t="s">
        <v>1549</v>
      </c>
    </row>
    <row r="81" spans="1:17" x14ac:dyDescent="0.25">
      <c r="A81" t="s">
        <v>39</v>
      </c>
      <c r="B81" t="s">
        <v>1574</v>
      </c>
      <c r="C81" t="s">
        <v>318</v>
      </c>
      <c r="D81" t="s">
        <v>1379</v>
      </c>
      <c r="E81">
        <v>37646</v>
      </c>
      <c r="F81" t="s">
        <v>1446</v>
      </c>
      <c r="G81" t="s">
        <v>1575</v>
      </c>
      <c r="H81" t="s">
        <v>1547</v>
      </c>
      <c r="I81" t="s">
        <v>1548</v>
      </c>
      <c r="J81" t="s">
        <v>1384</v>
      </c>
      <c r="K81" t="b">
        <v>1</v>
      </c>
      <c r="L81" t="b">
        <v>0</v>
      </c>
      <c r="M81" t="s">
        <v>1384</v>
      </c>
      <c r="N81" t="s">
        <v>1385</v>
      </c>
      <c r="O81" t="s">
        <v>1386</v>
      </c>
      <c r="P81" t="s">
        <v>1387</v>
      </c>
      <c r="Q81" t="s">
        <v>1576</v>
      </c>
    </row>
    <row r="82" spans="1:17" x14ac:dyDescent="0.25">
      <c r="A82" t="s">
        <v>39</v>
      </c>
      <c r="B82" t="s">
        <v>1577</v>
      </c>
      <c r="C82" t="s">
        <v>318</v>
      </c>
      <c r="D82" t="s">
        <v>1390</v>
      </c>
      <c r="E82">
        <v>39925</v>
      </c>
      <c r="F82" t="s">
        <v>1446</v>
      </c>
      <c r="G82" t="s">
        <v>1578</v>
      </c>
      <c r="H82" t="s">
        <v>1547</v>
      </c>
      <c r="I82" t="s">
        <v>1392</v>
      </c>
      <c r="J82" t="s">
        <v>1384</v>
      </c>
      <c r="K82" t="b">
        <v>1</v>
      </c>
      <c r="L82" t="b">
        <v>0</v>
      </c>
      <c r="M82" t="s">
        <v>1384</v>
      </c>
      <c r="N82" t="s">
        <v>1385</v>
      </c>
      <c r="O82" t="s">
        <v>1386</v>
      </c>
      <c r="P82" t="s">
        <v>1387</v>
      </c>
      <c r="Q82" t="s">
        <v>1576</v>
      </c>
    </row>
    <row r="83" spans="1:17" x14ac:dyDescent="0.25">
      <c r="A83" t="s">
        <v>39</v>
      </c>
      <c r="B83" t="s">
        <v>1579</v>
      </c>
      <c r="C83" t="s">
        <v>318</v>
      </c>
      <c r="D83" t="s">
        <v>1394</v>
      </c>
      <c r="E83">
        <v>43420</v>
      </c>
      <c r="F83" t="s">
        <v>1446</v>
      </c>
      <c r="G83" t="s">
        <v>1580</v>
      </c>
      <c r="H83" t="s">
        <v>1547</v>
      </c>
      <c r="I83" t="s">
        <v>1396</v>
      </c>
      <c r="J83" t="s">
        <v>1384</v>
      </c>
      <c r="K83" t="b">
        <v>1</v>
      </c>
      <c r="L83" t="b">
        <v>0</v>
      </c>
      <c r="M83" t="s">
        <v>1384</v>
      </c>
      <c r="N83" t="s">
        <v>1385</v>
      </c>
      <c r="O83" t="s">
        <v>1386</v>
      </c>
      <c r="P83" t="s">
        <v>1387</v>
      </c>
      <c r="Q83" t="s">
        <v>1576</v>
      </c>
    </row>
    <row r="84" spans="1:17" x14ac:dyDescent="0.25">
      <c r="A84" t="s">
        <v>39</v>
      </c>
      <c r="B84" t="s">
        <v>1581</v>
      </c>
      <c r="C84" t="s">
        <v>318</v>
      </c>
      <c r="D84" t="s">
        <v>1398</v>
      </c>
      <c r="E84">
        <v>52253</v>
      </c>
      <c r="F84" t="s">
        <v>1446</v>
      </c>
      <c r="G84" t="s">
        <v>1582</v>
      </c>
      <c r="H84" t="s">
        <v>1547</v>
      </c>
      <c r="I84" t="s">
        <v>1556</v>
      </c>
      <c r="J84" t="s">
        <v>1384</v>
      </c>
      <c r="K84" t="b">
        <v>1</v>
      </c>
      <c r="L84" t="b">
        <v>0</v>
      </c>
      <c r="M84" t="s">
        <v>1384</v>
      </c>
      <c r="N84" t="s">
        <v>1385</v>
      </c>
      <c r="O84" t="s">
        <v>1386</v>
      </c>
      <c r="P84" t="s">
        <v>1387</v>
      </c>
      <c r="Q84" t="s">
        <v>1576</v>
      </c>
    </row>
    <row r="85" spans="1:17" x14ac:dyDescent="0.25">
      <c r="A85" t="s">
        <v>39</v>
      </c>
      <c r="B85" t="s">
        <v>1583</v>
      </c>
      <c r="C85" t="s">
        <v>318</v>
      </c>
      <c r="D85" t="s">
        <v>1402</v>
      </c>
      <c r="E85">
        <v>47768</v>
      </c>
      <c r="F85" t="s">
        <v>1446</v>
      </c>
      <c r="G85" t="s">
        <v>1584</v>
      </c>
      <c r="H85" t="s">
        <v>1547</v>
      </c>
      <c r="I85" t="s">
        <v>1383</v>
      </c>
      <c r="J85" t="s">
        <v>1384</v>
      </c>
      <c r="K85" t="b">
        <v>1</v>
      </c>
      <c r="L85" t="b">
        <v>0</v>
      </c>
      <c r="M85" t="s">
        <v>1384</v>
      </c>
      <c r="N85" t="s">
        <v>1385</v>
      </c>
      <c r="O85" t="s">
        <v>1386</v>
      </c>
      <c r="P85" t="s">
        <v>1387</v>
      </c>
      <c r="Q85" t="s">
        <v>1576</v>
      </c>
    </row>
    <row r="86" spans="1:17" x14ac:dyDescent="0.25">
      <c r="A86" t="s">
        <v>39</v>
      </c>
      <c r="B86" t="s">
        <v>1585</v>
      </c>
      <c r="C86" t="s">
        <v>318</v>
      </c>
      <c r="D86" t="s">
        <v>1420</v>
      </c>
      <c r="E86">
        <v>50106</v>
      </c>
      <c r="F86" t="s">
        <v>1446</v>
      </c>
      <c r="G86" t="s">
        <v>1586</v>
      </c>
      <c r="H86" t="s">
        <v>1547</v>
      </c>
      <c r="I86" t="s">
        <v>1409</v>
      </c>
      <c r="J86" t="s">
        <v>1384</v>
      </c>
      <c r="K86" t="b">
        <v>1</v>
      </c>
      <c r="L86" t="b">
        <v>0</v>
      </c>
      <c r="M86" t="s">
        <v>1384</v>
      </c>
      <c r="N86" t="s">
        <v>1385</v>
      </c>
      <c r="O86" t="s">
        <v>1386</v>
      </c>
      <c r="P86" t="s">
        <v>1387</v>
      </c>
      <c r="Q86" t="s">
        <v>1576</v>
      </c>
    </row>
    <row r="87" spans="1:17" x14ac:dyDescent="0.25">
      <c r="A87" t="s">
        <v>39</v>
      </c>
      <c r="B87" t="s">
        <v>1587</v>
      </c>
      <c r="C87" t="s">
        <v>318</v>
      </c>
      <c r="D87" t="s">
        <v>1424</v>
      </c>
      <c r="E87">
        <v>51638</v>
      </c>
      <c r="F87" t="s">
        <v>1446</v>
      </c>
      <c r="G87" t="s">
        <v>1588</v>
      </c>
      <c r="H87" t="s">
        <v>1547</v>
      </c>
      <c r="I87" t="s">
        <v>1412</v>
      </c>
      <c r="J87" t="s">
        <v>1384</v>
      </c>
      <c r="K87" t="b">
        <v>1</v>
      </c>
      <c r="L87" t="b">
        <v>0</v>
      </c>
      <c r="M87" t="s">
        <v>1384</v>
      </c>
      <c r="N87" t="s">
        <v>1385</v>
      </c>
      <c r="O87" t="s">
        <v>1386</v>
      </c>
      <c r="P87" t="s">
        <v>1387</v>
      </c>
      <c r="Q87" t="s">
        <v>1576</v>
      </c>
    </row>
    <row r="88" spans="1:17" x14ac:dyDescent="0.25">
      <c r="A88" t="s">
        <v>39</v>
      </c>
      <c r="B88" t="s">
        <v>1589</v>
      </c>
      <c r="C88" t="s">
        <v>318</v>
      </c>
      <c r="D88" t="s">
        <v>1428</v>
      </c>
      <c r="E88">
        <v>55451</v>
      </c>
      <c r="F88" t="s">
        <v>1446</v>
      </c>
      <c r="G88" t="s">
        <v>1590</v>
      </c>
      <c r="H88" t="s">
        <v>1547</v>
      </c>
      <c r="I88" t="s">
        <v>1565</v>
      </c>
      <c r="J88" t="s">
        <v>1384</v>
      </c>
      <c r="K88" t="b">
        <v>1</v>
      </c>
      <c r="L88" t="b">
        <v>0</v>
      </c>
      <c r="M88" t="s">
        <v>1384</v>
      </c>
      <c r="N88" t="s">
        <v>1385</v>
      </c>
      <c r="O88" t="s">
        <v>1386</v>
      </c>
      <c r="P88" t="s">
        <v>1387</v>
      </c>
      <c r="Q88" t="s">
        <v>1576</v>
      </c>
    </row>
    <row r="89" spans="1:17" x14ac:dyDescent="0.25">
      <c r="A89" t="s">
        <v>39</v>
      </c>
      <c r="B89" t="s">
        <v>1591</v>
      </c>
      <c r="C89" t="s">
        <v>318</v>
      </c>
      <c r="D89" t="s">
        <v>1432</v>
      </c>
      <c r="E89">
        <v>54216</v>
      </c>
      <c r="F89" t="s">
        <v>1446</v>
      </c>
      <c r="G89" t="s">
        <v>1592</v>
      </c>
      <c r="H89" t="s">
        <v>1547</v>
      </c>
      <c r="I89" t="s">
        <v>1418</v>
      </c>
      <c r="J89" t="s">
        <v>1384</v>
      </c>
      <c r="K89" t="b">
        <v>1</v>
      </c>
      <c r="L89" t="b">
        <v>0</v>
      </c>
      <c r="M89" t="s">
        <v>1384</v>
      </c>
      <c r="N89" t="s">
        <v>1385</v>
      </c>
      <c r="O89" t="s">
        <v>1386</v>
      </c>
      <c r="P89" t="s">
        <v>1387</v>
      </c>
      <c r="Q89" t="s">
        <v>1576</v>
      </c>
    </row>
    <row r="90" spans="1:17" x14ac:dyDescent="0.25">
      <c r="A90" t="s">
        <v>39</v>
      </c>
      <c r="B90" t="s">
        <v>1593</v>
      </c>
      <c r="C90" t="s">
        <v>318</v>
      </c>
      <c r="D90" t="s">
        <v>1436</v>
      </c>
      <c r="E90">
        <v>57415</v>
      </c>
      <c r="F90" t="s">
        <v>1446</v>
      </c>
      <c r="G90" t="s">
        <v>1594</v>
      </c>
      <c r="H90" t="s">
        <v>1547</v>
      </c>
      <c r="I90" t="s">
        <v>1422</v>
      </c>
      <c r="J90" t="s">
        <v>1384</v>
      </c>
      <c r="K90" t="b">
        <v>1</v>
      </c>
      <c r="L90" t="b">
        <v>0</v>
      </c>
      <c r="M90" t="s">
        <v>1384</v>
      </c>
      <c r="N90" t="s">
        <v>1385</v>
      </c>
      <c r="O90" t="s">
        <v>1386</v>
      </c>
      <c r="P90" t="s">
        <v>1387</v>
      </c>
      <c r="Q90" t="s">
        <v>1576</v>
      </c>
    </row>
    <row r="91" spans="1:17" x14ac:dyDescent="0.25">
      <c r="A91" t="s">
        <v>39</v>
      </c>
      <c r="B91" t="s">
        <v>1595</v>
      </c>
      <c r="C91" t="s">
        <v>318</v>
      </c>
      <c r="D91" t="s">
        <v>1439</v>
      </c>
      <c r="E91">
        <v>61175</v>
      </c>
      <c r="F91" t="s">
        <v>1446</v>
      </c>
      <c r="G91" t="s">
        <v>1596</v>
      </c>
      <c r="H91" t="s">
        <v>1547</v>
      </c>
      <c r="I91" t="s">
        <v>1426</v>
      </c>
      <c r="J91" t="s">
        <v>1384</v>
      </c>
      <c r="K91" t="b">
        <v>1</v>
      </c>
      <c r="L91" t="b">
        <v>0</v>
      </c>
      <c r="M91" t="s">
        <v>1384</v>
      </c>
      <c r="N91" t="s">
        <v>1385</v>
      </c>
      <c r="O91" t="s">
        <v>1386</v>
      </c>
      <c r="P91" t="s">
        <v>1387</v>
      </c>
      <c r="Q91" t="s">
        <v>1576</v>
      </c>
    </row>
    <row r="92" spans="1:17" x14ac:dyDescent="0.25">
      <c r="A92" t="s">
        <v>39</v>
      </c>
      <c r="B92" t="s">
        <v>1597</v>
      </c>
      <c r="C92" t="s">
        <v>318</v>
      </c>
      <c r="D92" t="s">
        <v>1442</v>
      </c>
      <c r="E92">
        <v>67729</v>
      </c>
      <c r="F92" t="s">
        <v>1446</v>
      </c>
      <c r="G92" t="s">
        <v>1598</v>
      </c>
      <c r="H92" t="s">
        <v>1547</v>
      </c>
      <c r="I92" t="s">
        <v>1565</v>
      </c>
      <c r="J92" t="s">
        <v>1384</v>
      </c>
      <c r="K92" t="b">
        <v>1</v>
      </c>
      <c r="L92" t="b">
        <v>0</v>
      </c>
      <c r="M92" t="s">
        <v>1384</v>
      </c>
      <c r="N92" t="s">
        <v>1385</v>
      </c>
      <c r="O92" t="s">
        <v>1386</v>
      </c>
      <c r="P92" t="s">
        <v>1387</v>
      </c>
      <c r="Q92" t="s">
        <v>1599</v>
      </c>
    </row>
    <row r="93" spans="1:17" x14ac:dyDescent="0.25">
      <c r="A93" t="s">
        <v>39</v>
      </c>
      <c r="B93" t="s">
        <v>1600</v>
      </c>
      <c r="C93" t="s">
        <v>319</v>
      </c>
      <c r="D93" t="s">
        <v>1379</v>
      </c>
      <c r="E93">
        <v>34170</v>
      </c>
      <c r="F93" t="s">
        <v>1380</v>
      </c>
      <c r="G93" t="s">
        <v>1601</v>
      </c>
      <c r="H93" t="s">
        <v>1547</v>
      </c>
      <c r="I93" t="s">
        <v>1548</v>
      </c>
      <c r="J93" t="s">
        <v>1384</v>
      </c>
      <c r="K93" t="b">
        <v>1</v>
      </c>
      <c r="L93" t="b">
        <v>0</v>
      </c>
      <c r="M93" t="s">
        <v>1384</v>
      </c>
      <c r="N93" t="s">
        <v>1385</v>
      </c>
      <c r="O93" t="s">
        <v>1386</v>
      </c>
      <c r="P93" t="s">
        <v>1387</v>
      </c>
      <c r="Q93" t="s">
        <v>1384</v>
      </c>
    </row>
    <row r="94" spans="1:17" x14ac:dyDescent="0.25">
      <c r="A94" t="s">
        <v>39</v>
      </c>
      <c r="B94" t="s">
        <v>1602</v>
      </c>
      <c r="C94" t="s">
        <v>319</v>
      </c>
      <c r="D94" t="s">
        <v>1390</v>
      </c>
      <c r="E94">
        <v>36587</v>
      </c>
      <c r="F94" t="s">
        <v>1380</v>
      </c>
      <c r="G94" t="s">
        <v>1603</v>
      </c>
      <c r="H94" t="s">
        <v>1547</v>
      </c>
      <c r="I94" t="s">
        <v>1392</v>
      </c>
      <c r="J94" t="s">
        <v>1384</v>
      </c>
      <c r="K94" t="b">
        <v>1</v>
      </c>
      <c r="L94" t="b">
        <v>0</v>
      </c>
      <c r="M94" t="s">
        <v>1384</v>
      </c>
      <c r="N94" t="s">
        <v>1385</v>
      </c>
      <c r="O94" t="s">
        <v>1386</v>
      </c>
      <c r="P94" t="s">
        <v>1387</v>
      </c>
      <c r="Q94" t="s">
        <v>1384</v>
      </c>
    </row>
    <row r="95" spans="1:17" x14ac:dyDescent="0.25">
      <c r="A95" t="s">
        <v>39</v>
      </c>
      <c r="B95" t="s">
        <v>1604</v>
      </c>
      <c r="C95" t="s">
        <v>319</v>
      </c>
      <c r="D95" t="s">
        <v>1394</v>
      </c>
      <c r="E95">
        <v>35406</v>
      </c>
      <c r="F95" t="s">
        <v>1380</v>
      </c>
      <c r="G95" t="s">
        <v>1605</v>
      </c>
      <c r="H95" t="s">
        <v>1547</v>
      </c>
      <c r="I95" t="s">
        <v>1396</v>
      </c>
      <c r="J95" t="s">
        <v>1384</v>
      </c>
      <c r="K95" t="b">
        <v>1</v>
      </c>
      <c r="L95" t="b">
        <v>0</v>
      </c>
      <c r="M95" t="s">
        <v>1384</v>
      </c>
      <c r="N95" t="s">
        <v>1385</v>
      </c>
      <c r="O95" t="s">
        <v>1386</v>
      </c>
      <c r="P95" t="s">
        <v>1387</v>
      </c>
      <c r="Q95" t="s">
        <v>1384</v>
      </c>
    </row>
    <row r="96" spans="1:17" x14ac:dyDescent="0.25">
      <c r="A96" t="s">
        <v>39</v>
      </c>
      <c r="B96" t="s">
        <v>1606</v>
      </c>
      <c r="C96" t="s">
        <v>319</v>
      </c>
      <c r="D96" t="s">
        <v>1398</v>
      </c>
      <c r="E96">
        <v>33318</v>
      </c>
      <c r="F96" t="s">
        <v>1380</v>
      </c>
      <c r="G96" t="s">
        <v>1607</v>
      </c>
      <c r="H96" t="s">
        <v>1547</v>
      </c>
      <c r="I96" t="s">
        <v>1556</v>
      </c>
      <c r="J96" t="s">
        <v>1384</v>
      </c>
      <c r="K96" t="b">
        <v>1</v>
      </c>
      <c r="L96" t="b">
        <v>0</v>
      </c>
      <c r="M96" t="s">
        <v>1384</v>
      </c>
      <c r="N96" t="s">
        <v>1385</v>
      </c>
      <c r="O96" t="s">
        <v>1386</v>
      </c>
      <c r="P96" t="s">
        <v>1387</v>
      </c>
      <c r="Q96" t="s">
        <v>1384</v>
      </c>
    </row>
    <row r="97" spans="1:17" x14ac:dyDescent="0.25">
      <c r="A97" t="s">
        <v>39</v>
      </c>
      <c r="B97" t="s">
        <v>1608</v>
      </c>
      <c r="C97" t="s">
        <v>319</v>
      </c>
      <c r="D97" t="s">
        <v>1402</v>
      </c>
      <c r="E97">
        <v>31147</v>
      </c>
      <c r="F97" t="s">
        <v>1380</v>
      </c>
      <c r="G97" t="s">
        <v>1609</v>
      </c>
      <c r="H97" t="s">
        <v>1547</v>
      </c>
      <c r="I97" t="s">
        <v>1383</v>
      </c>
      <c r="J97" t="s">
        <v>1384</v>
      </c>
      <c r="K97" t="b">
        <v>1</v>
      </c>
      <c r="L97" t="b">
        <v>0</v>
      </c>
      <c r="M97" t="s">
        <v>1384</v>
      </c>
      <c r="N97" t="s">
        <v>1385</v>
      </c>
      <c r="O97" t="s">
        <v>1386</v>
      </c>
      <c r="P97" t="s">
        <v>1387</v>
      </c>
      <c r="Q97" t="s">
        <v>1384</v>
      </c>
    </row>
    <row r="98" spans="1:17" x14ac:dyDescent="0.25">
      <c r="A98" t="s">
        <v>39</v>
      </c>
      <c r="B98" t="s">
        <v>1610</v>
      </c>
      <c r="C98" t="s">
        <v>319</v>
      </c>
      <c r="D98" t="s">
        <v>1420</v>
      </c>
      <c r="E98">
        <v>34109</v>
      </c>
      <c r="F98" t="s">
        <v>1380</v>
      </c>
      <c r="G98" t="s">
        <v>1611</v>
      </c>
      <c r="H98" t="s">
        <v>1547</v>
      </c>
      <c r="I98" t="s">
        <v>1409</v>
      </c>
      <c r="J98" t="s">
        <v>1384</v>
      </c>
      <c r="K98" t="b">
        <v>1</v>
      </c>
      <c r="L98" t="b">
        <v>0</v>
      </c>
      <c r="M98" t="s">
        <v>1384</v>
      </c>
      <c r="N98" t="s">
        <v>1385</v>
      </c>
      <c r="O98" t="s">
        <v>1386</v>
      </c>
      <c r="P98" t="s">
        <v>1387</v>
      </c>
      <c r="Q98" t="s">
        <v>1384</v>
      </c>
    </row>
    <row r="99" spans="1:17" x14ac:dyDescent="0.25">
      <c r="A99" t="s">
        <v>39</v>
      </c>
      <c r="B99" t="s">
        <v>1612</v>
      </c>
      <c r="C99" t="s">
        <v>319</v>
      </c>
      <c r="D99" t="s">
        <v>1424</v>
      </c>
      <c r="E99">
        <v>36103</v>
      </c>
      <c r="F99" t="s">
        <v>1380</v>
      </c>
      <c r="G99" t="s">
        <v>1613</v>
      </c>
      <c r="H99" t="s">
        <v>1547</v>
      </c>
      <c r="I99" t="s">
        <v>1412</v>
      </c>
      <c r="J99" t="s">
        <v>1384</v>
      </c>
      <c r="K99" t="b">
        <v>1</v>
      </c>
      <c r="L99" t="b">
        <v>0</v>
      </c>
      <c r="M99" t="s">
        <v>1384</v>
      </c>
      <c r="N99" t="s">
        <v>1385</v>
      </c>
      <c r="O99" t="s">
        <v>1386</v>
      </c>
      <c r="P99" t="s">
        <v>1387</v>
      </c>
      <c r="Q99" t="s">
        <v>1384</v>
      </c>
    </row>
    <row r="100" spans="1:17" x14ac:dyDescent="0.25">
      <c r="A100" t="s">
        <v>39</v>
      </c>
      <c r="B100" t="s">
        <v>1614</v>
      </c>
      <c r="C100" t="s">
        <v>319</v>
      </c>
      <c r="D100" t="s">
        <v>1428</v>
      </c>
      <c r="E100">
        <v>34214</v>
      </c>
      <c r="F100" t="s">
        <v>1380</v>
      </c>
      <c r="G100" t="s">
        <v>1615</v>
      </c>
      <c r="H100" t="s">
        <v>1547</v>
      </c>
      <c r="I100" t="s">
        <v>1565</v>
      </c>
      <c r="J100" t="s">
        <v>1384</v>
      </c>
      <c r="K100" t="b">
        <v>1</v>
      </c>
      <c r="L100" t="b">
        <v>0</v>
      </c>
      <c r="M100" t="s">
        <v>1384</v>
      </c>
      <c r="N100" t="s">
        <v>1385</v>
      </c>
      <c r="O100" t="s">
        <v>1386</v>
      </c>
      <c r="P100" t="s">
        <v>1387</v>
      </c>
      <c r="Q100" t="s">
        <v>1384</v>
      </c>
    </row>
    <row r="101" spans="1:17" x14ac:dyDescent="0.25">
      <c r="A101" t="s">
        <v>39</v>
      </c>
      <c r="B101" t="s">
        <v>1616</v>
      </c>
      <c r="C101" t="s">
        <v>319</v>
      </c>
      <c r="D101" t="s">
        <v>1432</v>
      </c>
      <c r="E101">
        <v>35864</v>
      </c>
      <c r="F101" t="s">
        <v>1380</v>
      </c>
      <c r="G101" t="s">
        <v>1617</v>
      </c>
      <c r="H101" t="s">
        <v>1547</v>
      </c>
      <c r="I101" t="s">
        <v>1418</v>
      </c>
      <c r="J101" t="s">
        <v>1384</v>
      </c>
      <c r="K101" t="b">
        <v>1</v>
      </c>
      <c r="L101" t="b">
        <v>0</v>
      </c>
      <c r="M101" t="s">
        <v>1384</v>
      </c>
      <c r="N101" t="s">
        <v>1385</v>
      </c>
      <c r="O101" t="s">
        <v>1386</v>
      </c>
      <c r="P101" t="s">
        <v>1387</v>
      </c>
      <c r="Q101" t="s">
        <v>1384</v>
      </c>
    </row>
    <row r="102" spans="1:17" x14ac:dyDescent="0.25">
      <c r="A102" t="s">
        <v>39</v>
      </c>
      <c r="B102" t="s">
        <v>1618</v>
      </c>
      <c r="C102" t="s">
        <v>319</v>
      </c>
      <c r="D102" t="s">
        <v>1436</v>
      </c>
      <c r="E102">
        <v>40825</v>
      </c>
      <c r="F102" t="s">
        <v>1380</v>
      </c>
      <c r="G102" t="s">
        <v>1619</v>
      </c>
      <c r="H102" t="s">
        <v>1547</v>
      </c>
      <c r="I102" t="s">
        <v>1422</v>
      </c>
      <c r="J102" t="s">
        <v>1384</v>
      </c>
      <c r="K102" t="b">
        <v>1</v>
      </c>
      <c r="L102" t="b">
        <v>0</v>
      </c>
      <c r="M102" t="s">
        <v>1384</v>
      </c>
      <c r="N102" t="s">
        <v>1385</v>
      </c>
      <c r="O102" t="s">
        <v>1386</v>
      </c>
      <c r="P102" t="s">
        <v>1387</v>
      </c>
      <c r="Q102" t="s">
        <v>1384</v>
      </c>
    </row>
    <row r="103" spans="1:17" x14ac:dyDescent="0.25">
      <c r="A103" t="s">
        <v>39</v>
      </c>
      <c r="B103" t="s">
        <v>1620</v>
      </c>
      <c r="C103" t="s">
        <v>319</v>
      </c>
      <c r="D103" t="s">
        <v>1439</v>
      </c>
      <c r="E103">
        <v>41494</v>
      </c>
      <c r="F103" t="s">
        <v>1380</v>
      </c>
      <c r="G103" t="s">
        <v>1621</v>
      </c>
      <c r="H103" t="s">
        <v>1547</v>
      </c>
      <c r="I103" t="s">
        <v>1426</v>
      </c>
      <c r="J103" t="s">
        <v>1384</v>
      </c>
      <c r="K103" t="b">
        <v>1</v>
      </c>
      <c r="L103" t="b">
        <v>0</v>
      </c>
      <c r="M103" t="s">
        <v>1384</v>
      </c>
      <c r="N103" t="s">
        <v>1385</v>
      </c>
      <c r="O103" t="s">
        <v>1386</v>
      </c>
      <c r="P103" t="s">
        <v>1387</v>
      </c>
      <c r="Q103" t="s">
        <v>1384</v>
      </c>
    </row>
    <row r="104" spans="1:17" x14ac:dyDescent="0.25">
      <c r="A104" t="s">
        <v>39</v>
      </c>
      <c r="B104" t="s">
        <v>1622</v>
      </c>
      <c r="C104" t="s">
        <v>319</v>
      </c>
      <c r="D104" t="s">
        <v>1442</v>
      </c>
      <c r="E104">
        <v>38325</v>
      </c>
      <c r="F104" t="s">
        <v>1380</v>
      </c>
      <c r="G104" t="s">
        <v>1623</v>
      </c>
      <c r="H104" t="s">
        <v>1547</v>
      </c>
      <c r="I104" t="s">
        <v>1565</v>
      </c>
      <c r="J104" t="s">
        <v>1384</v>
      </c>
      <c r="K104" t="b">
        <v>1</v>
      </c>
      <c r="L104" t="b">
        <v>0</v>
      </c>
      <c r="M104" t="s">
        <v>1384</v>
      </c>
      <c r="N104" t="s">
        <v>1385</v>
      </c>
      <c r="O104" t="s">
        <v>1386</v>
      </c>
      <c r="P104" t="s">
        <v>1387</v>
      </c>
      <c r="Q104" t="s">
        <v>1384</v>
      </c>
    </row>
    <row r="105" spans="1:17" x14ac:dyDescent="0.25">
      <c r="A105" t="s">
        <v>39</v>
      </c>
      <c r="B105" t="s">
        <v>1624</v>
      </c>
      <c r="C105" t="s">
        <v>320</v>
      </c>
      <c r="D105" t="s">
        <v>1379</v>
      </c>
      <c r="E105">
        <v>15062</v>
      </c>
      <c r="F105" t="s">
        <v>1446</v>
      </c>
      <c r="G105" t="s">
        <v>1625</v>
      </c>
      <c r="H105" t="s">
        <v>1547</v>
      </c>
      <c r="I105" t="s">
        <v>1548</v>
      </c>
      <c r="J105" t="s">
        <v>1384</v>
      </c>
      <c r="K105" t="b">
        <v>1</v>
      </c>
      <c r="L105" t="b">
        <v>0</v>
      </c>
      <c r="M105" t="s">
        <v>1384</v>
      </c>
      <c r="N105" t="s">
        <v>1385</v>
      </c>
      <c r="O105" t="s">
        <v>1386</v>
      </c>
      <c r="P105" t="s">
        <v>1387</v>
      </c>
      <c r="Q105" t="s">
        <v>1626</v>
      </c>
    </row>
    <row r="106" spans="1:17" x14ac:dyDescent="0.25">
      <c r="A106" t="s">
        <v>39</v>
      </c>
      <c r="B106" t="s">
        <v>1627</v>
      </c>
      <c r="C106" t="s">
        <v>320</v>
      </c>
      <c r="D106" t="s">
        <v>1390</v>
      </c>
      <c r="E106">
        <v>14441</v>
      </c>
      <c r="F106" t="s">
        <v>1446</v>
      </c>
      <c r="G106" t="s">
        <v>1628</v>
      </c>
      <c r="H106" t="s">
        <v>1547</v>
      </c>
      <c r="I106" t="s">
        <v>1392</v>
      </c>
      <c r="J106" t="s">
        <v>1384</v>
      </c>
      <c r="K106" t="b">
        <v>1</v>
      </c>
      <c r="L106" t="b">
        <v>0</v>
      </c>
      <c r="M106" t="s">
        <v>1384</v>
      </c>
      <c r="N106" t="s">
        <v>1385</v>
      </c>
      <c r="O106" t="s">
        <v>1386</v>
      </c>
      <c r="P106" t="s">
        <v>1387</v>
      </c>
      <c r="Q106" t="s">
        <v>1626</v>
      </c>
    </row>
    <row r="107" spans="1:17" x14ac:dyDescent="0.25">
      <c r="A107" t="s">
        <v>39</v>
      </c>
      <c r="B107" t="s">
        <v>1629</v>
      </c>
      <c r="C107" t="s">
        <v>320</v>
      </c>
      <c r="D107" t="s">
        <v>1394</v>
      </c>
      <c r="E107">
        <v>14564</v>
      </c>
      <c r="F107" t="s">
        <v>1446</v>
      </c>
      <c r="G107" t="s">
        <v>1630</v>
      </c>
      <c r="H107" t="s">
        <v>1547</v>
      </c>
      <c r="I107" t="s">
        <v>1396</v>
      </c>
      <c r="J107" t="s">
        <v>1384</v>
      </c>
      <c r="K107" t="b">
        <v>1</v>
      </c>
      <c r="L107" t="b">
        <v>0</v>
      </c>
      <c r="M107" t="s">
        <v>1384</v>
      </c>
      <c r="N107" t="s">
        <v>1385</v>
      </c>
      <c r="O107" t="s">
        <v>1386</v>
      </c>
      <c r="P107" t="s">
        <v>1387</v>
      </c>
      <c r="Q107" t="s">
        <v>1626</v>
      </c>
    </row>
    <row r="108" spans="1:17" x14ac:dyDescent="0.25">
      <c r="A108" t="s">
        <v>39</v>
      </c>
      <c r="B108" t="s">
        <v>1631</v>
      </c>
      <c r="C108" t="s">
        <v>320</v>
      </c>
      <c r="D108" t="s">
        <v>1398</v>
      </c>
      <c r="E108">
        <v>13393</v>
      </c>
      <c r="F108" t="s">
        <v>1446</v>
      </c>
      <c r="G108" t="s">
        <v>1632</v>
      </c>
      <c r="H108" t="s">
        <v>1547</v>
      </c>
      <c r="I108" t="s">
        <v>1556</v>
      </c>
      <c r="J108" t="s">
        <v>1384</v>
      </c>
      <c r="K108" t="b">
        <v>1</v>
      </c>
      <c r="L108" t="b">
        <v>0</v>
      </c>
      <c r="M108" t="s">
        <v>1384</v>
      </c>
      <c r="N108" t="s">
        <v>1385</v>
      </c>
      <c r="O108" t="s">
        <v>1386</v>
      </c>
      <c r="P108" t="s">
        <v>1387</v>
      </c>
      <c r="Q108" t="s">
        <v>1626</v>
      </c>
    </row>
    <row r="109" spans="1:17" x14ac:dyDescent="0.25">
      <c r="A109" t="s">
        <v>39</v>
      </c>
      <c r="B109" t="s">
        <v>1633</v>
      </c>
      <c r="C109" t="s">
        <v>320</v>
      </c>
      <c r="D109" t="s">
        <v>1402</v>
      </c>
      <c r="E109">
        <v>12222</v>
      </c>
      <c r="F109" t="s">
        <v>1446</v>
      </c>
      <c r="G109" t="s">
        <v>1634</v>
      </c>
      <c r="H109" t="s">
        <v>1547</v>
      </c>
      <c r="I109" t="s">
        <v>1383</v>
      </c>
      <c r="J109" t="s">
        <v>1384</v>
      </c>
      <c r="K109" t="b">
        <v>1</v>
      </c>
      <c r="L109" t="b">
        <v>0</v>
      </c>
      <c r="M109" t="s">
        <v>1384</v>
      </c>
      <c r="N109" t="s">
        <v>1385</v>
      </c>
      <c r="O109" t="s">
        <v>1386</v>
      </c>
      <c r="P109" t="s">
        <v>1387</v>
      </c>
      <c r="Q109" t="s">
        <v>1626</v>
      </c>
    </row>
    <row r="110" spans="1:17" x14ac:dyDescent="0.25">
      <c r="A110" t="s">
        <v>39</v>
      </c>
      <c r="B110" t="s">
        <v>1635</v>
      </c>
      <c r="C110" t="s">
        <v>320</v>
      </c>
      <c r="D110" t="s">
        <v>1420</v>
      </c>
      <c r="E110">
        <v>17914</v>
      </c>
      <c r="F110" t="s">
        <v>1446</v>
      </c>
      <c r="G110" t="s">
        <v>1636</v>
      </c>
      <c r="H110" t="s">
        <v>1547</v>
      </c>
      <c r="I110" t="s">
        <v>1409</v>
      </c>
      <c r="J110" t="s">
        <v>1384</v>
      </c>
      <c r="K110" t="b">
        <v>1</v>
      </c>
      <c r="L110" t="b">
        <v>0</v>
      </c>
      <c r="M110" t="s">
        <v>1384</v>
      </c>
      <c r="N110" t="s">
        <v>1385</v>
      </c>
      <c r="O110" t="s">
        <v>1386</v>
      </c>
      <c r="P110" t="s">
        <v>1387</v>
      </c>
      <c r="Q110" t="s">
        <v>1626</v>
      </c>
    </row>
    <row r="111" spans="1:17" x14ac:dyDescent="0.25">
      <c r="A111" t="s">
        <v>39</v>
      </c>
      <c r="B111" t="s">
        <v>1637</v>
      </c>
      <c r="C111" t="s">
        <v>320</v>
      </c>
      <c r="D111" t="s">
        <v>1424</v>
      </c>
      <c r="E111">
        <v>12960</v>
      </c>
      <c r="F111" t="s">
        <v>1446</v>
      </c>
      <c r="G111" t="s">
        <v>1638</v>
      </c>
      <c r="H111" t="s">
        <v>1547</v>
      </c>
      <c r="I111" t="s">
        <v>1412</v>
      </c>
      <c r="J111" t="s">
        <v>1384</v>
      </c>
      <c r="K111" t="b">
        <v>1</v>
      </c>
      <c r="L111" t="b">
        <v>0</v>
      </c>
      <c r="M111" t="s">
        <v>1384</v>
      </c>
      <c r="N111" t="s">
        <v>1385</v>
      </c>
      <c r="O111" t="s">
        <v>1386</v>
      </c>
      <c r="P111" t="s">
        <v>1387</v>
      </c>
      <c r="Q111" t="s">
        <v>1626</v>
      </c>
    </row>
    <row r="112" spans="1:17" x14ac:dyDescent="0.25">
      <c r="A112" t="s">
        <v>39</v>
      </c>
      <c r="B112" t="s">
        <v>1639</v>
      </c>
      <c r="C112" t="s">
        <v>320</v>
      </c>
      <c r="D112" t="s">
        <v>1428</v>
      </c>
      <c r="E112">
        <v>22423</v>
      </c>
      <c r="F112" t="s">
        <v>1446</v>
      </c>
      <c r="G112" t="s">
        <v>1640</v>
      </c>
      <c r="H112" t="s">
        <v>1547</v>
      </c>
      <c r="I112" t="s">
        <v>1565</v>
      </c>
      <c r="J112" t="s">
        <v>1384</v>
      </c>
      <c r="K112" t="b">
        <v>1</v>
      </c>
      <c r="L112" t="b">
        <v>0</v>
      </c>
      <c r="M112" t="s">
        <v>1384</v>
      </c>
      <c r="N112" t="s">
        <v>1385</v>
      </c>
      <c r="O112" t="s">
        <v>1386</v>
      </c>
      <c r="P112" t="s">
        <v>1387</v>
      </c>
      <c r="Q112" t="s">
        <v>1626</v>
      </c>
    </row>
    <row r="113" spans="1:17" x14ac:dyDescent="0.25">
      <c r="A113" t="s">
        <v>39</v>
      </c>
      <c r="B113" t="s">
        <v>1641</v>
      </c>
      <c r="C113" t="s">
        <v>320</v>
      </c>
      <c r="D113" t="s">
        <v>1432</v>
      </c>
      <c r="E113">
        <v>28358</v>
      </c>
      <c r="F113" t="s">
        <v>1446</v>
      </c>
      <c r="G113" t="s">
        <v>1642</v>
      </c>
      <c r="H113" t="s">
        <v>1547</v>
      </c>
      <c r="I113" t="s">
        <v>1418</v>
      </c>
      <c r="J113" t="s">
        <v>1384</v>
      </c>
      <c r="K113" t="b">
        <v>1</v>
      </c>
      <c r="L113" t="b">
        <v>0</v>
      </c>
      <c r="M113" t="s">
        <v>1384</v>
      </c>
      <c r="N113" t="s">
        <v>1385</v>
      </c>
      <c r="O113" t="s">
        <v>1386</v>
      </c>
      <c r="P113" t="s">
        <v>1387</v>
      </c>
      <c r="Q113" t="s">
        <v>1626</v>
      </c>
    </row>
    <row r="114" spans="1:17" x14ac:dyDescent="0.25">
      <c r="A114" t="s">
        <v>39</v>
      </c>
      <c r="B114" t="s">
        <v>1643</v>
      </c>
      <c r="C114" t="s">
        <v>320</v>
      </c>
      <c r="D114" t="s">
        <v>1436</v>
      </c>
      <c r="E114">
        <v>35439</v>
      </c>
      <c r="F114" t="s">
        <v>1446</v>
      </c>
      <c r="G114" t="s">
        <v>1644</v>
      </c>
      <c r="H114" t="s">
        <v>1547</v>
      </c>
      <c r="I114" t="s">
        <v>1422</v>
      </c>
      <c r="J114" t="s">
        <v>1384</v>
      </c>
      <c r="K114" t="b">
        <v>1</v>
      </c>
      <c r="L114" t="b">
        <v>0</v>
      </c>
      <c r="M114" t="s">
        <v>1384</v>
      </c>
      <c r="N114" t="s">
        <v>1385</v>
      </c>
      <c r="O114" t="s">
        <v>1386</v>
      </c>
      <c r="P114" t="s">
        <v>1387</v>
      </c>
      <c r="Q114" t="s">
        <v>1626</v>
      </c>
    </row>
    <row r="115" spans="1:17" x14ac:dyDescent="0.25">
      <c r="A115" t="s">
        <v>39</v>
      </c>
      <c r="B115" t="s">
        <v>1645</v>
      </c>
      <c r="C115" t="s">
        <v>320</v>
      </c>
      <c r="D115" t="s">
        <v>1439</v>
      </c>
      <c r="E115">
        <v>27275</v>
      </c>
      <c r="F115" t="s">
        <v>1446</v>
      </c>
      <c r="G115" t="s">
        <v>1646</v>
      </c>
      <c r="H115" t="s">
        <v>1547</v>
      </c>
      <c r="I115" t="s">
        <v>1426</v>
      </c>
      <c r="J115" t="s">
        <v>1384</v>
      </c>
      <c r="K115" t="b">
        <v>1</v>
      </c>
      <c r="L115" t="b">
        <v>0</v>
      </c>
      <c r="M115" t="s">
        <v>1384</v>
      </c>
      <c r="N115" t="s">
        <v>1385</v>
      </c>
      <c r="O115" t="s">
        <v>1386</v>
      </c>
      <c r="P115" t="s">
        <v>1387</v>
      </c>
      <c r="Q115" t="s">
        <v>1626</v>
      </c>
    </row>
    <row r="116" spans="1:17" x14ac:dyDescent="0.25">
      <c r="A116" t="s">
        <v>39</v>
      </c>
      <c r="B116" t="s">
        <v>1647</v>
      </c>
      <c r="C116" t="s">
        <v>320</v>
      </c>
      <c r="D116" t="s">
        <v>1442</v>
      </c>
      <c r="E116">
        <v>36219</v>
      </c>
      <c r="F116" t="s">
        <v>1446</v>
      </c>
      <c r="G116" t="s">
        <v>1648</v>
      </c>
      <c r="H116" t="s">
        <v>1547</v>
      </c>
      <c r="I116" t="s">
        <v>1649</v>
      </c>
      <c r="J116" t="s">
        <v>1384</v>
      </c>
      <c r="K116" t="b">
        <v>1</v>
      </c>
      <c r="L116" t="b">
        <v>0</v>
      </c>
      <c r="M116" t="s">
        <v>1384</v>
      </c>
      <c r="N116" t="s">
        <v>1385</v>
      </c>
      <c r="O116" t="s">
        <v>1386</v>
      </c>
      <c r="P116" t="s">
        <v>1387</v>
      </c>
      <c r="Q116" t="s">
        <v>1650</v>
      </c>
    </row>
    <row r="117" spans="1:17" x14ac:dyDescent="0.25">
      <c r="A117" t="s">
        <v>39</v>
      </c>
      <c r="B117" t="s">
        <v>1651</v>
      </c>
      <c r="C117" t="s">
        <v>323</v>
      </c>
      <c r="D117" t="s">
        <v>1398</v>
      </c>
      <c r="E117">
        <v>6540</v>
      </c>
      <c r="F117" t="s">
        <v>1446</v>
      </c>
      <c r="G117" t="s">
        <v>1652</v>
      </c>
      <c r="H117" t="s">
        <v>1547</v>
      </c>
      <c r="I117" t="s">
        <v>1556</v>
      </c>
      <c r="J117" t="s">
        <v>1384</v>
      </c>
      <c r="K117" t="b">
        <v>1</v>
      </c>
      <c r="L117" t="b">
        <v>0</v>
      </c>
      <c r="M117" t="s">
        <v>1384</v>
      </c>
      <c r="N117" t="s">
        <v>1385</v>
      </c>
      <c r="O117" t="s">
        <v>1386</v>
      </c>
      <c r="P117" t="s">
        <v>1387</v>
      </c>
      <c r="Q117" t="s">
        <v>1653</v>
      </c>
    </row>
    <row r="118" spans="1:17" x14ac:dyDescent="0.25">
      <c r="A118" t="s">
        <v>39</v>
      </c>
      <c r="B118" t="s">
        <v>1654</v>
      </c>
      <c r="C118" t="s">
        <v>323</v>
      </c>
      <c r="D118" t="s">
        <v>1428</v>
      </c>
      <c r="E118">
        <v>7439</v>
      </c>
      <c r="F118" t="s">
        <v>1446</v>
      </c>
      <c r="G118" t="s">
        <v>1655</v>
      </c>
      <c r="H118" t="s">
        <v>1547</v>
      </c>
      <c r="I118" t="s">
        <v>1565</v>
      </c>
      <c r="J118" t="s">
        <v>1384</v>
      </c>
      <c r="K118" t="b">
        <v>1</v>
      </c>
      <c r="L118" t="b">
        <v>0</v>
      </c>
      <c r="M118" t="s">
        <v>1384</v>
      </c>
      <c r="N118" t="s">
        <v>1385</v>
      </c>
      <c r="O118" t="s">
        <v>1386</v>
      </c>
      <c r="P118" t="s">
        <v>1387</v>
      </c>
      <c r="Q118" t="s">
        <v>1653</v>
      </c>
    </row>
    <row r="119" spans="1:17" x14ac:dyDescent="0.25">
      <c r="A119" t="s">
        <v>39</v>
      </c>
      <c r="B119" t="s">
        <v>1656</v>
      </c>
      <c r="C119" t="s">
        <v>323</v>
      </c>
      <c r="D119" t="s">
        <v>1442</v>
      </c>
      <c r="E119">
        <v>8034</v>
      </c>
      <c r="F119" t="s">
        <v>1446</v>
      </c>
      <c r="G119" t="s">
        <v>1657</v>
      </c>
      <c r="H119" t="s">
        <v>1547</v>
      </c>
      <c r="I119" t="s">
        <v>1565</v>
      </c>
      <c r="J119" t="s">
        <v>1384</v>
      </c>
      <c r="K119" t="b">
        <v>1</v>
      </c>
      <c r="L119" t="b">
        <v>0</v>
      </c>
      <c r="M119" t="s">
        <v>1384</v>
      </c>
      <c r="N119" t="s">
        <v>1385</v>
      </c>
      <c r="O119" t="s">
        <v>1386</v>
      </c>
      <c r="P119" t="s">
        <v>1387</v>
      </c>
      <c r="Q119" t="s">
        <v>1653</v>
      </c>
    </row>
    <row r="120" spans="1:17" x14ac:dyDescent="0.25">
      <c r="A120" t="s">
        <v>39</v>
      </c>
      <c r="B120" t="s">
        <v>1658</v>
      </c>
      <c r="C120" t="s">
        <v>324</v>
      </c>
      <c r="D120" t="s">
        <v>1379</v>
      </c>
      <c r="E120">
        <v>22749</v>
      </c>
      <c r="F120" t="s">
        <v>1380</v>
      </c>
      <c r="G120" t="s">
        <v>1659</v>
      </c>
      <c r="H120" t="s">
        <v>1547</v>
      </c>
      <c r="I120" t="s">
        <v>1548</v>
      </c>
      <c r="J120" t="s">
        <v>1384</v>
      </c>
      <c r="K120" t="b">
        <v>1</v>
      </c>
      <c r="L120" t="b">
        <v>0</v>
      </c>
      <c r="M120" t="s">
        <v>1384</v>
      </c>
      <c r="N120" t="s">
        <v>1385</v>
      </c>
      <c r="O120" t="s">
        <v>1386</v>
      </c>
      <c r="P120" t="s">
        <v>1387</v>
      </c>
      <c r="Q120" t="s">
        <v>1384</v>
      </c>
    </row>
    <row r="121" spans="1:17" x14ac:dyDescent="0.25">
      <c r="A121" t="s">
        <v>39</v>
      </c>
      <c r="B121" t="s">
        <v>1660</v>
      </c>
      <c r="C121" t="s">
        <v>324</v>
      </c>
      <c r="D121" t="s">
        <v>1390</v>
      </c>
      <c r="E121">
        <v>22785</v>
      </c>
      <c r="F121" t="s">
        <v>1380</v>
      </c>
      <c r="G121" t="s">
        <v>1661</v>
      </c>
      <c r="H121" t="s">
        <v>1547</v>
      </c>
      <c r="I121" t="s">
        <v>1392</v>
      </c>
      <c r="J121" t="s">
        <v>1384</v>
      </c>
      <c r="K121" t="b">
        <v>1</v>
      </c>
      <c r="L121" t="b">
        <v>0</v>
      </c>
      <c r="M121" t="s">
        <v>1384</v>
      </c>
      <c r="N121" t="s">
        <v>1385</v>
      </c>
      <c r="O121" t="s">
        <v>1386</v>
      </c>
      <c r="P121" t="s">
        <v>1387</v>
      </c>
      <c r="Q121" t="s">
        <v>1384</v>
      </c>
    </row>
    <row r="122" spans="1:17" x14ac:dyDescent="0.25">
      <c r="A122" t="s">
        <v>39</v>
      </c>
      <c r="B122" t="s">
        <v>1662</v>
      </c>
      <c r="C122" t="s">
        <v>324</v>
      </c>
      <c r="D122" t="s">
        <v>1394</v>
      </c>
      <c r="E122">
        <v>22749</v>
      </c>
      <c r="F122" t="s">
        <v>1380</v>
      </c>
      <c r="G122" t="s">
        <v>1659</v>
      </c>
      <c r="H122" t="s">
        <v>1547</v>
      </c>
      <c r="I122" t="s">
        <v>1396</v>
      </c>
      <c r="J122" t="s">
        <v>1384</v>
      </c>
      <c r="K122" t="b">
        <v>1</v>
      </c>
      <c r="L122" t="b">
        <v>0</v>
      </c>
      <c r="M122" t="s">
        <v>1384</v>
      </c>
      <c r="N122" t="s">
        <v>1385</v>
      </c>
      <c r="O122" t="s">
        <v>1386</v>
      </c>
      <c r="P122" t="s">
        <v>1387</v>
      </c>
      <c r="Q122" t="s">
        <v>1384</v>
      </c>
    </row>
    <row r="123" spans="1:17" x14ac:dyDescent="0.25">
      <c r="A123" t="s">
        <v>39</v>
      </c>
      <c r="B123" t="s">
        <v>1663</v>
      </c>
      <c r="C123" t="s">
        <v>324</v>
      </c>
      <c r="D123" t="s">
        <v>1398</v>
      </c>
      <c r="E123">
        <v>22789</v>
      </c>
      <c r="F123" t="s">
        <v>1380</v>
      </c>
      <c r="G123" t="s">
        <v>1664</v>
      </c>
      <c r="H123" t="s">
        <v>1547</v>
      </c>
      <c r="I123" t="s">
        <v>1565</v>
      </c>
      <c r="J123" t="s">
        <v>1384</v>
      </c>
      <c r="K123" t="b">
        <v>1</v>
      </c>
      <c r="L123" t="b">
        <v>0</v>
      </c>
      <c r="M123" t="s">
        <v>1384</v>
      </c>
      <c r="N123" t="s">
        <v>1385</v>
      </c>
      <c r="O123" t="s">
        <v>1386</v>
      </c>
      <c r="P123" t="s">
        <v>1387</v>
      </c>
      <c r="Q123" t="s">
        <v>1384</v>
      </c>
    </row>
    <row r="124" spans="1:17" x14ac:dyDescent="0.25">
      <c r="A124" t="s">
        <v>39</v>
      </c>
      <c r="B124" t="s">
        <v>1665</v>
      </c>
      <c r="C124" t="s">
        <v>324</v>
      </c>
      <c r="D124" t="s">
        <v>1402</v>
      </c>
      <c r="E124">
        <v>22770</v>
      </c>
      <c r="F124" t="s">
        <v>1380</v>
      </c>
      <c r="G124" t="s">
        <v>1666</v>
      </c>
      <c r="H124" t="s">
        <v>1547</v>
      </c>
      <c r="I124" t="s">
        <v>1383</v>
      </c>
      <c r="J124" t="s">
        <v>1384</v>
      </c>
      <c r="K124" t="b">
        <v>1</v>
      </c>
      <c r="L124" t="b">
        <v>0</v>
      </c>
      <c r="M124" t="s">
        <v>1384</v>
      </c>
      <c r="N124" t="s">
        <v>1385</v>
      </c>
      <c r="O124" t="s">
        <v>1386</v>
      </c>
      <c r="P124" t="s">
        <v>1387</v>
      </c>
      <c r="Q124" t="s">
        <v>1384</v>
      </c>
    </row>
    <row r="125" spans="1:17" x14ac:dyDescent="0.25">
      <c r="A125" t="s">
        <v>39</v>
      </c>
      <c r="B125" t="s">
        <v>1667</v>
      </c>
      <c r="C125" t="s">
        <v>324</v>
      </c>
      <c r="D125" t="s">
        <v>1420</v>
      </c>
      <c r="E125">
        <v>22879</v>
      </c>
      <c r="F125" t="s">
        <v>1380</v>
      </c>
      <c r="G125" t="s">
        <v>1668</v>
      </c>
      <c r="H125" t="s">
        <v>1547</v>
      </c>
      <c r="I125" t="s">
        <v>1409</v>
      </c>
      <c r="J125" t="s">
        <v>1384</v>
      </c>
      <c r="K125" t="b">
        <v>1</v>
      </c>
      <c r="L125" t="b">
        <v>0</v>
      </c>
      <c r="M125" t="s">
        <v>1384</v>
      </c>
      <c r="N125" t="s">
        <v>1385</v>
      </c>
      <c r="O125" t="s">
        <v>1386</v>
      </c>
      <c r="P125" t="s">
        <v>1387</v>
      </c>
      <c r="Q125" t="s">
        <v>1384</v>
      </c>
    </row>
    <row r="126" spans="1:17" x14ac:dyDescent="0.25">
      <c r="A126" t="s">
        <v>39</v>
      </c>
      <c r="B126" t="s">
        <v>1669</v>
      </c>
      <c r="C126" t="s">
        <v>324</v>
      </c>
      <c r="D126" t="s">
        <v>1424</v>
      </c>
      <c r="E126">
        <v>23081</v>
      </c>
      <c r="F126" t="s">
        <v>1380</v>
      </c>
      <c r="G126" t="s">
        <v>1670</v>
      </c>
      <c r="H126" t="s">
        <v>1547</v>
      </c>
      <c r="I126" t="s">
        <v>1412</v>
      </c>
      <c r="J126" t="s">
        <v>1384</v>
      </c>
      <c r="K126" t="b">
        <v>1</v>
      </c>
      <c r="L126" t="b">
        <v>0</v>
      </c>
      <c r="M126" t="s">
        <v>1384</v>
      </c>
      <c r="N126" t="s">
        <v>1385</v>
      </c>
      <c r="O126" t="s">
        <v>1386</v>
      </c>
      <c r="P126" t="s">
        <v>1387</v>
      </c>
      <c r="Q126" t="s">
        <v>1384</v>
      </c>
    </row>
    <row r="127" spans="1:17" x14ac:dyDescent="0.25">
      <c r="A127" t="s">
        <v>39</v>
      </c>
      <c r="B127" t="s">
        <v>1671</v>
      </c>
      <c r="C127" t="s">
        <v>324</v>
      </c>
      <c r="D127" t="s">
        <v>1428</v>
      </c>
      <c r="E127">
        <v>23074</v>
      </c>
      <c r="F127" t="s">
        <v>1380</v>
      </c>
      <c r="G127" t="s">
        <v>1672</v>
      </c>
      <c r="H127" t="s">
        <v>1547</v>
      </c>
      <c r="I127" t="s">
        <v>1565</v>
      </c>
      <c r="J127" t="s">
        <v>1384</v>
      </c>
      <c r="K127" t="b">
        <v>1</v>
      </c>
      <c r="L127" t="b">
        <v>0</v>
      </c>
      <c r="M127" t="s">
        <v>1384</v>
      </c>
      <c r="N127" t="s">
        <v>1385</v>
      </c>
      <c r="O127" t="s">
        <v>1386</v>
      </c>
      <c r="P127" t="s">
        <v>1387</v>
      </c>
      <c r="Q127" t="s">
        <v>1384</v>
      </c>
    </row>
    <row r="128" spans="1:17" x14ac:dyDescent="0.25">
      <c r="A128" t="s">
        <v>39</v>
      </c>
      <c r="B128" t="s">
        <v>1673</v>
      </c>
      <c r="C128" t="s">
        <v>324</v>
      </c>
      <c r="D128" t="s">
        <v>1432</v>
      </c>
      <c r="E128">
        <v>23089</v>
      </c>
      <c r="F128" t="s">
        <v>1380</v>
      </c>
      <c r="G128" t="s">
        <v>1674</v>
      </c>
      <c r="H128" t="s">
        <v>1547</v>
      </c>
      <c r="I128" t="s">
        <v>1418</v>
      </c>
      <c r="J128" t="s">
        <v>1384</v>
      </c>
      <c r="K128" t="b">
        <v>1</v>
      </c>
      <c r="L128" t="b">
        <v>0</v>
      </c>
      <c r="M128" t="s">
        <v>1384</v>
      </c>
      <c r="N128" t="s">
        <v>1385</v>
      </c>
      <c r="O128" t="s">
        <v>1386</v>
      </c>
      <c r="P128" t="s">
        <v>1387</v>
      </c>
      <c r="Q128" t="s">
        <v>1384</v>
      </c>
    </row>
    <row r="129" spans="1:17" x14ac:dyDescent="0.25">
      <c r="A129" t="s">
        <v>39</v>
      </c>
      <c r="B129" t="s">
        <v>1675</v>
      </c>
      <c r="C129" t="s">
        <v>324</v>
      </c>
      <c r="D129" t="s">
        <v>1436</v>
      </c>
      <c r="E129">
        <v>23155</v>
      </c>
      <c r="F129" t="s">
        <v>1380</v>
      </c>
      <c r="G129" t="s">
        <v>1676</v>
      </c>
      <c r="H129" t="s">
        <v>1547</v>
      </c>
      <c r="I129" t="s">
        <v>1422</v>
      </c>
      <c r="J129" t="s">
        <v>1384</v>
      </c>
      <c r="K129" t="b">
        <v>1</v>
      </c>
      <c r="L129" t="b">
        <v>0</v>
      </c>
      <c r="M129" t="s">
        <v>1384</v>
      </c>
      <c r="N129" t="s">
        <v>1385</v>
      </c>
      <c r="O129" t="s">
        <v>1386</v>
      </c>
      <c r="P129" t="s">
        <v>1387</v>
      </c>
      <c r="Q129" t="s">
        <v>1384</v>
      </c>
    </row>
    <row r="130" spans="1:17" x14ac:dyDescent="0.25">
      <c r="A130" t="s">
        <v>39</v>
      </c>
      <c r="B130" t="s">
        <v>1677</v>
      </c>
      <c r="C130" t="s">
        <v>324</v>
      </c>
      <c r="D130" t="s">
        <v>1439</v>
      </c>
      <c r="E130">
        <v>23260</v>
      </c>
      <c r="F130" t="s">
        <v>1380</v>
      </c>
      <c r="G130" t="s">
        <v>1678</v>
      </c>
      <c r="H130" t="s">
        <v>1547</v>
      </c>
      <c r="I130" t="s">
        <v>1426</v>
      </c>
      <c r="J130" t="s">
        <v>1384</v>
      </c>
      <c r="K130" t="b">
        <v>1</v>
      </c>
      <c r="L130" t="b">
        <v>0</v>
      </c>
      <c r="M130" t="s">
        <v>1384</v>
      </c>
      <c r="N130" t="s">
        <v>1385</v>
      </c>
      <c r="O130" t="s">
        <v>1386</v>
      </c>
      <c r="P130" t="s">
        <v>1387</v>
      </c>
      <c r="Q130" t="s">
        <v>1384</v>
      </c>
    </row>
    <row r="131" spans="1:17" x14ac:dyDescent="0.25">
      <c r="A131" t="s">
        <v>39</v>
      </c>
      <c r="B131" t="s">
        <v>1679</v>
      </c>
      <c r="C131" t="s">
        <v>324</v>
      </c>
      <c r="D131" t="s">
        <v>1442</v>
      </c>
      <c r="E131">
        <v>23273</v>
      </c>
      <c r="F131" t="s">
        <v>1380</v>
      </c>
      <c r="G131" t="s">
        <v>1680</v>
      </c>
      <c r="H131" t="s">
        <v>1547</v>
      </c>
      <c r="I131" t="s">
        <v>1565</v>
      </c>
      <c r="J131" t="s">
        <v>1384</v>
      </c>
      <c r="K131" t="b">
        <v>1</v>
      </c>
      <c r="L131" t="b">
        <v>0</v>
      </c>
      <c r="M131" t="s">
        <v>1384</v>
      </c>
      <c r="N131" t="s">
        <v>1385</v>
      </c>
      <c r="O131" t="s">
        <v>1386</v>
      </c>
      <c r="P131" t="s">
        <v>1387</v>
      </c>
      <c r="Q131" t="s">
        <v>1384</v>
      </c>
    </row>
    <row r="132" spans="1:17" x14ac:dyDescent="0.25">
      <c r="A132" t="s">
        <v>39</v>
      </c>
      <c r="B132" t="s">
        <v>1681</v>
      </c>
      <c r="C132" t="s">
        <v>325</v>
      </c>
      <c r="D132" t="s">
        <v>1379</v>
      </c>
      <c r="E132">
        <v>46392</v>
      </c>
      <c r="F132" t="s">
        <v>1380</v>
      </c>
      <c r="G132" t="s">
        <v>1682</v>
      </c>
      <c r="H132" t="s">
        <v>1547</v>
      </c>
      <c r="I132" t="s">
        <v>1548</v>
      </c>
      <c r="J132" t="s">
        <v>1384</v>
      </c>
      <c r="K132" t="b">
        <v>1</v>
      </c>
      <c r="L132" t="b">
        <v>0</v>
      </c>
      <c r="M132" t="s">
        <v>1384</v>
      </c>
      <c r="N132" t="s">
        <v>1385</v>
      </c>
      <c r="O132" t="s">
        <v>1386</v>
      </c>
      <c r="P132" t="s">
        <v>1387</v>
      </c>
      <c r="Q132" t="s">
        <v>1683</v>
      </c>
    </row>
    <row r="133" spans="1:17" x14ac:dyDescent="0.25">
      <c r="A133" t="s">
        <v>39</v>
      </c>
      <c r="B133" t="s">
        <v>1684</v>
      </c>
      <c r="C133" t="s">
        <v>325</v>
      </c>
      <c r="D133" t="s">
        <v>1390</v>
      </c>
      <c r="E133">
        <v>50224</v>
      </c>
      <c r="F133" t="s">
        <v>1380</v>
      </c>
      <c r="G133" t="s">
        <v>1685</v>
      </c>
      <c r="H133" t="s">
        <v>1547</v>
      </c>
      <c r="I133" t="s">
        <v>1392</v>
      </c>
      <c r="J133" t="s">
        <v>1384</v>
      </c>
      <c r="K133" t="b">
        <v>1</v>
      </c>
      <c r="L133" t="b">
        <v>0</v>
      </c>
      <c r="M133" t="s">
        <v>1384</v>
      </c>
      <c r="N133" t="s">
        <v>1385</v>
      </c>
      <c r="O133" t="s">
        <v>1386</v>
      </c>
      <c r="P133" t="s">
        <v>1387</v>
      </c>
      <c r="Q133" t="s">
        <v>1683</v>
      </c>
    </row>
    <row r="134" spans="1:17" x14ac:dyDescent="0.25">
      <c r="A134" t="s">
        <v>39</v>
      </c>
      <c r="B134" t="s">
        <v>1686</v>
      </c>
      <c r="C134" t="s">
        <v>325</v>
      </c>
      <c r="D134" t="s">
        <v>1394</v>
      </c>
      <c r="E134">
        <v>53913</v>
      </c>
      <c r="F134" t="s">
        <v>1380</v>
      </c>
      <c r="G134" t="s">
        <v>1687</v>
      </c>
      <c r="H134" t="s">
        <v>1547</v>
      </c>
      <c r="I134" t="s">
        <v>1396</v>
      </c>
      <c r="J134" t="s">
        <v>1384</v>
      </c>
      <c r="K134" t="b">
        <v>1</v>
      </c>
      <c r="L134" t="b">
        <v>0</v>
      </c>
      <c r="M134" t="s">
        <v>1384</v>
      </c>
      <c r="N134" t="s">
        <v>1385</v>
      </c>
      <c r="O134" t="s">
        <v>1386</v>
      </c>
      <c r="P134" t="s">
        <v>1387</v>
      </c>
      <c r="Q134" t="s">
        <v>1683</v>
      </c>
    </row>
    <row r="135" spans="1:17" x14ac:dyDescent="0.25">
      <c r="A135" t="s">
        <v>39</v>
      </c>
      <c r="B135" t="s">
        <v>1688</v>
      </c>
      <c r="C135" t="s">
        <v>325</v>
      </c>
      <c r="D135" t="s">
        <v>1398</v>
      </c>
      <c r="E135">
        <v>121997</v>
      </c>
      <c r="F135" t="s">
        <v>1446</v>
      </c>
      <c r="G135" t="s">
        <v>1689</v>
      </c>
      <c r="H135" t="s">
        <v>1547</v>
      </c>
      <c r="I135" t="s">
        <v>1690</v>
      </c>
      <c r="J135" t="s">
        <v>1384</v>
      </c>
      <c r="K135" t="b">
        <v>1</v>
      </c>
      <c r="L135" t="b">
        <v>0</v>
      </c>
      <c r="M135" t="s">
        <v>1384</v>
      </c>
      <c r="N135" t="s">
        <v>1385</v>
      </c>
      <c r="O135" t="s">
        <v>1386</v>
      </c>
      <c r="P135" t="s">
        <v>1387</v>
      </c>
      <c r="Q135" t="s">
        <v>1691</v>
      </c>
    </row>
    <row r="136" spans="1:17" x14ac:dyDescent="0.25">
      <c r="A136" t="s">
        <v>39</v>
      </c>
      <c r="B136" t="s">
        <v>1692</v>
      </c>
      <c r="C136" t="s">
        <v>325</v>
      </c>
      <c r="D136" t="s">
        <v>1402</v>
      </c>
      <c r="E136">
        <v>60947</v>
      </c>
      <c r="F136" t="s">
        <v>1380</v>
      </c>
      <c r="G136" t="s">
        <v>1693</v>
      </c>
      <c r="H136" t="s">
        <v>1547</v>
      </c>
      <c r="I136" t="s">
        <v>1383</v>
      </c>
      <c r="J136" t="s">
        <v>1384</v>
      </c>
      <c r="K136" t="b">
        <v>1</v>
      </c>
      <c r="L136" t="b">
        <v>0</v>
      </c>
      <c r="M136" t="s">
        <v>1384</v>
      </c>
      <c r="N136" t="s">
        <v>1385</v>
      </c>
      <c r="O136" t="s">
        <v>1386</v>
      </c>
      <c r="P136" t="s">
        <v>1387</v>
      </c>
      <c r="Q136" t="s">
        <v>1683</v>
      </c>
    </row>
    <row r="137" spans="1:17" x14ac:dyDescent="0.25">
      <c r="A137" t="s">
        <v>39</v>
      </c>
      <c r="B137" t="s">
        <v>1694</v>
      </c>
      <c r="C137" t="s">
        <v>325</v>
      </c>
      <c r="D137" t="s">
        <v>1420</v>
      </c>
      <c r="E137">
        <v>63340</v>
      </c>
      <c r="F137" t="s">
        <v>1380</v>
      </c>
      <c r="G137" t="s">
        <v>1695</v>
      </c>
      <c r="H137" t="s">
        <v>1547</v>
      </c>
      <c r="I137" t="s">
        <v>1409</v>
      </c>
      <c r="J137" t="s">
        <v>1384</v>
      </c>
      <c r="K137" t="b">
        <v>1</v>
      </c>
      <c r="L137" t="b">
        <v>0</v>
      </c>
      <c r="M137" t="s">
        <v>1384</v>
      </c>
      <c r="N137" t="s">
        <v>1385</v>
      </c>
      <c r="O137" t="s">
        <v>1386</v>
      </c>
      <c r="P137" t="s">
        <v>1387</v>
      </c>
      <c r="Q137" t="s">
        <v>1683</v>
      </c>
    </row>
    <row r="138" spans="1:17" x14ac:dyDescent="0.25">
      <c r="A138" t="s">
        <v>39</v>
      </c>
      <c r="B138" t="s">
        <v>1696</v>
      </c>
      <c r="C138" t="s">
        <v>325</v>
      </c>
      <c r="D138" t="s">
        <v>1424</v>
      </c>
      <c r="E138">
        <v>71309</v>
      </c>
      <c r="F138" t="s">
        <v>1380</v>
      </c>
      <c r="G138" t="s">
        <v>1697</v>
      </c>
      <c r="H138" t="s">
        <v>1547</v>
      </c>
      <c r="I138" t="s">
        <v>1412</v>
      </c>
      <c r="J138" t="s">
        <v>1384</v>
      </c>
      <c r="K138" t="b">
        <v>1</v>
      </c>
      <c r="L138" t="b">
        <v>0</v>
      </c>
      <c r="M138" t="s">
        <v>1384</v>
      </c>
      <c r="N138" t="s">
        <v>1385</v>
      </c>
      <c r="O138" t="s">
        <v>1386</v>
      </c>
      <c r="P138" t="s">
        <v>1387</v>
      </c>
      <c r="Q138" t="s">
        <v>1683</v>
      </c>
    </row>
    <row r="139" spans="1:17" x14ac:dyDescent="0.25">
      <c r="A139" t="s">
        <v>39</v>
      </c>
      <c r="B139" t="s">
        <v>1698</v>
      </c>
      <c r="C139" t="s">
        <v>325</v>
      </c>
      <c r="D139" t="s">
        <v>1428</v>
      </c>
      <c r="E139">
        <v>150849</v>
      </c>
      <c r="F139" t="s">
        <v>1446</v>
      </c>
      <c r="G139" t="s">
        <v>1699</v>
      </c>
      <c r="H139" t="s">
        <v>1547</v>
      </c>
      <c r="I139" t="s">
        <v>1565</v>
      </c>
      <c r="J139" t="s">
        <v>1384</v>
      </c>
      <c r="K139" t="b">
        <v>1</v>
      </c>
      <c r="L139" t="b">
        <v>0</v>
      </c>
      <c r="M139" t="s">
        <v>1384</v>
      </c>
      <c r="N139" t="s">
        <v>1385</v>
      </c>
      <c r="O139" t="s">
        <v>1386</v>
      </c>
      <c r="P139" t="s">
        <v>1387</v>
      </c>
      <c r="Q139" t="s">
        <v>1691</v>
      </c>
    </row>
    <row r="140" spans="1:17" x14ac:dyDescent="0.25">
      <c r="A140" t="s">
        <v>39</v>
      </c>
      <c r="B140" t="s">
        <v>1700</v>
      </c>
      <c r="C140" t="s">
        <v>325</v>
      </c>
      <c r="D140" t="s">
        <v>1432</v>
      </c>
      <c r="E140">
        <v>84246</v>
      </c>
      <c r="F140" t="s">
        <v>1380</v>
      </c>
      <c r="G140" t="s">
        <v>1701</v>
      </c>
      <c r="H140" t="s">
        <v>1547</v>
      </c>
      <c r="I140" t="s">
        <v>1418</v>
      </c>
      <c r="J140" t="s">
        <v>1384</v>
      </c>
      <c r="K140" t="b">
        <v>1</v>
      </c>
      <c r="L140" t="b">
        <v>0</v>
      </c>
      <c r="M140" t="s">
        <v>1384</v>
      </c>
      <c r="N140" t="s">
        <v>1385</v>
      </c>
      <c r="O140" t="s">
        <v>1386</v>
      </c>
      <c r="P140" t="s">
        <v>1387</v>
      </c>
      <c r="Q140" t="s">
        <v>1683</v>
      </c>
    </row>
    <row r="141" spans="1:17" x14ac:dyDescent="0.25">
      <c r="A141" t="s">
        <v>39</v>
      </c>
      <c r="B141" t="s">
        <v>1702</v>
      </c>
      <c r="C141" t="s">
        <v>325</v>
      </c>
      <c r="D141" t="s">
        <v>1436</v>
      </c>
      <c r="E141">
        <v>87854</v>
      </c>
      <c r="F141" t="s">
        <v>1380</v>
      </c>
      <c r="G141" t="s">
        <v>1703</v>
      </c>
      <c r="H141" t="s">
        <v>1547</v>
      </c>
      <c r="I141" t="s">
        <v>1422</v>
      </c>
      <c r="J141" t="s">
        <v>1384</v>
      </c>
      <c r="K141" t="b">
        <v>1</v>
      </c>
      <c r="L141" t="b">
        <v>0</v>
      </c>
      <c r="M141" t="s">
        <v>1384</v>
      </c>
      <c r="N141" t="s">
        <v>1385</v>
      </c>
      <c r="O141" t="s">
        <v>1386</v>
      </c>
      <c r="P141" t="s">
        <v>1387</v>
      </c>
      <c r="Q141" t="s">
        <v>1683</v>
      </c>
    </row>
    <row r="142" spans="1:17" x14ac:dyDescent="0.25">
      <c r="A142" t="s">
        <v>39</v>
      </c>
      <c r="B142" t="s">
        <v>1704</v>
      </c>
      <c r="C142" t="s">
        <v>325</v>
      </c>
      <c r="D142" t="s">
        <v>1439</v>
      </c>
      <c r="E142">
        <v>99904</v>
      </c>
      <c r="F142" t="s">
        <v>1380</v>
      </c>
      <c r="G142" t="s">
        <v>1705</v>
      </c>
      <c r="H142" t="s">
        <v>1547</v>
      </c>
      <c r="I142" t="s">
        <v>1426</v>
      </c>
      <c r="J142" t="s">
        <v>1384</v>
      </c>
      <c r="K142" t="b">
        <v>1</v>
      </c>
      <c r="L142" t="b">
        <v>0</v>
      </c>
      <c r="M142" t="s">
        <v>1384</v>
      </c>
      <c r="N142" t="s">
        <v>1385</v>
      </c>
      <c r="O142" t="s">
        <v>1386</v>
      </c>
      <c r="P142" t="s">
        <v>1387</v>
      </c>
      <c r="Q142" t="s">
        <v>1683</v>
      </c>
    </row>
    <row r="143" spans="1:17" x14ac:dyDescent="0.25">
      <c r="A143" t="s">
        <v>39</v>
      </c>
      <c r="B143" t="s">
        <v>1706</v>
      </c>
      <c r="C143" t="s">
        <v>325</v>
      </c>
      <c r="D143" t="s">
        <v>1442</v>
      </c>
      <c r="E143">
        <v>200627</v>
      </c>
      <c r="F143" t="s">
        <v>1446</v>
      </c>
      <c r="G143" t="s">
        <v>1707</v>
      </c>
      <c r="H143" t="s">
        <v>1547</v>
      </c>
      <c r="I143" t="s">
        <v>1708</v>
      </c>
      <c r="J143" t="s">
        <v>1384</v>
      </c>
      <c r="K143" t="b">
        <v>1</v>
      </c>
      <c r="L143" t="b">
        <v>0</v>
      </c>
      <c r="M143" t="s">
        <v>1384</v>
      </c>
      <c r="N143" t="s">
        <v>1385</v>
      </c>
      <c r="O143" t="s">
        <v>1386</v>
      </c>
      <c r="P143" t="s">
        <v>1387</v>
      </c>
      <c r="Q143" t="s">
        <v>1709</v>
      </c>
    </row>
    <row r="144" spans="1:17" x14ac:dyDescent="0.25">
      <c r="A144" t="s">
        <v>39</v>
      </c>
      <c r="B144" t="s">
        <v>1710</v>
      </c>
      <c r="C144" t="s">
        <v>328</v>
      </c>
      <c r="D144" t="s">
        <v>1379</v>
      </c>
      <c r="E144">
        <v>1100</v>
      </c>
      <c r="F144" t="s">
        <v>1380</v>
      </c>
      <c r="G144" t="s">
        <v>1711</v>
      </c>
      <c r="H144" t="s">
        <v>1547</v>
      </c>
      <c r="I144" t="s">
        <v>1548</v>
      </c>
      <c r="J144" t="s">
        <v>1384</v>
      </c>
      <c r="K144" t="b">
        <v>1</v>
      </c>
      <c r="L144" t="b">
        <v>0</v>
      </c>
      <c r="M144" t="s">
        <v>1384</v>
      </c>
      <c r="N144" t="s">
        <v>1385</v>
      </c>
      <c r="O144" t="s">
        <v>1386</v>
      </c>
      <c r="P144" t="s">
        <v>1387</v>
      </c>
      <c r="Q144" t="s">
        <v>1384</v>
      </c>
    </row>
    <row r="145" spans="1:17" x14ac:dyDescent="0.25">
      <c r="A145" t="s">
        <v>39</v>
      </c>
      <c r="B145" t="s">
        <v>1712</v>
      </c>
      <c r="C145" t="s">
        <v>328</v>
      </c>
      <c r="D145" t="s">
        <v>1390</v>
      </c>
      <c r="E145">
        <v>1100</v>
      </c>
      <c r="F145" t="s">
        <v>1380</v>
      </c>
      <c r="G145" t="s">
        <v>1711</v>
      </c>
      <c r="H145" t="s">
        <v>1547</v>
      </c>
      <c r="I145" t="s">
        <v>1392</v>
      </c>
      <c r="J145" t="s">
        <v>1384</v>
      </c>
      <c r="K145" t="b">
        <v>1</v>
      </c>
      <c r="L145" t="b">
        <v>0</v>
      </c>
      <c r="M145" t="s">
        <v>1384</v>
      </c>
      <c r="N145" t="s">
        <v>1385</v>
      </c>
      <c r="O145" t="s">
        <v>1386</v>
      </c>
      <c r="P145" t="s">
        <v>1387</v>
      </c>
      <c r="Q145" t="s">
        <v>1384</v>
      </c>
    </row>
    <row r="146" spans="1:17" x14ac:dyDescent="0.25">
      <c r="A146" t="s">
        <v>39</v>
      </c>
      <c r="B146" t="s">
        <v>1713</v>
      </c>
      <c r="C146" t="s">
        <v>328</v>
      </c>
      <c r="D146" t="s">
        <v>1394</v>
      </c>
      <c r="E146">
        <v>166</v>
      </c>
      <c r="F146" t="s">
        <v>1380</v>
      </c>
      <c r="G146" t="s">
        <v>1714</v>
      </c>
      <c r="H146" t="s">
        <v>1547</v>
      </c>
      <c r="I146" t="s">
        <v>1396</v>
      </c>
      <c r="J146" t="s">
        <v>1384</v>
      </c>
      <c r="K146" t="b">
        <v>1</v>
      </c>
      <c r="L146" t="b">
        <v>0</v>
      </c>
      <c r="M146" t="s">
        <v>1384</v>
      </c>
      <c r="N146" t="s">
        <v>1385</v>
      </c>
      <c r="O146" t="s">
        <v>1386</v>
      </c>
      <c r="P146" t="s">
        <v>1387</v>
      </c>
      <c r="Q146" t="s">
        <v>1384</v>
      </c>
    </row>
    <row r="147" spans="1:17" x14ac:dyDescent="0.25">
      <c r="A147" t="s">
        <v>39</v>
      </c>
      <c r="B147" t="s">
        <v>1715</v>
      </c>
      <c r="C147" t="s">
        <v>328</v>
      </c>
      <c r="D147" t="s">
        <v>1398</v>
      </c>
      <c r="E147">
        <v>147</v>
      </c>
      <c r="F147" t="s">
        <v>1380</v>
      </c>
      <c r="G147" t="s">
        <v>1716</v>
      </c>
      <c r="H147" t="s">
        <v>1547</v>
      </c>
      <c r="I147" t="s">
        <v>1556</v>
      </c>
      <c r="J147" t="s">
        <v>1384</v>
      </c>
      <c r="K147" t="b">
        <v>1</v>
      </c>
      <c r="L147" t="b">
        <v>0</v>
      </c>
      <c r="M147" t="s">
        <v>1384</v>
      </c>
      <c r="N147" t="s">
        <v>1385</v>
      </c>
      <c r="O147" t="s">
        <v>1386</v>
      </c>
      <c r="P147" t="s">
        <v>1387</v>
      </c>
      <c r="Q147" t="s">
        <v>1384</v>
      </c>
    </row>
    <row r="148" spans="1:17" x14ac:dyDescent="0.25">
      <c r="A148" t="s">
        <v>39</v>
      </c>
      <c r="B148" t="s">
        <v>1717</v>
      </c>
      <c r="C148" t="s">
        <v>328</v>
      </c>
      <c r="D148" t="s">
        <v>1402</v>
      </c>
      <c r="E148">
        <v>50</v>
      </c>
      <c r="F148" t="s">
        <v>1380</v>
      </c>
      <c r="G148" t="s">
        <v>1718</v>
      </c>
      <c r="H148" t="s">
        <v>1547</v>
      </c>
      <c r="I148" t="s">
        <v>1383</v>
      </c>
      <c r="J148" t="s">
        <v>1384</v>
      </c>
      <c r="K148" t="b">
        <v>1</v>
      </c>
      <c r="L148" t="b">
        <v>0</v>
      </c>
      <c r="M148" t="s">
        <v>1384</v>
      </c>
      <c r="N148" t="s">
        <v>1385</v>
      </c>
      <c r="O148" t="s">
        <v>1386</v>
      </c>
      <c r="P148" t="s">
        <v>1387</v>
      </c>
      <c r="Q148" t="s">
        <v>1384</v>
      </c>
    </row>
    <row r="149" spans="1:17" x14ac:dyDescent="0.25">
      <c r="A149" t="s">
        <v>39</v>
      </c>
      <c r="B149" t="s">
        <v>1719</v>
      </c>
      <c r="C149" t="s">
        <v>328</v>
      </c>
      <c r="D149" t="s">
        <v>1420</v>
      </c>
      <c r="E149">
        <v>76</v>
      </c>
      <c r="F149" t="s">
        <v>1380</v>
      </c>
      <c r="G149" t="s">
        <v>1720</v>
      </c>
      <c r="H149" t="s">
        <v>1547</v>
      </c>
      <c r="I149" t="s">
        <v>1409</v>
      </c>
      <c r="J149" t="s">
        <v>1384</v>
      </c>
      <c r="K149" t="b">
        <v>1</v>
      </c>
      <c r="L149" t="b">
        <v>0</v>
      </c>
      <c r="M149" t="s">
        <v>1384</v>
      </c>
      <c r="N149" t="s">
        <v>1385</v>
      </c>
      <c r="O149" t="s">
        <v>1386</v>
      </c>
      <c r="P149" t="s">
        <v>1387</v>
      </c>
      <c r="Q149" t="s">
        <v>1384</v>
      </c>
    </row>
    <row r="150" spans="1:17" x14ac:dyDescent="0.25">
      <c r="A150" t="s">
        <v>39</v>
      </c>
      <c r="B150" t="s">
        <v>1721</v>
      </c>
      <c r="C150" t="s">
        <v>328</v>
      </c>
      <c r="D150" t="s">
        <v>1424</v>
      </c>
      <c r="E150">
        <v>88</v>
      </c>
      <c r="F150" t="s">
        <v>1380</v>
      </c>
      <c r="G150" t="s">
        <v>1722</v>
      </c>
      <c r="H150" t="s">
        <v>1547</v>
      </c>
      <c r="I150" t="s">
        <v>1412</v>
      </c>
      <c r="J150" t="s">
        <v>1384</v>
      </c>
      <c r="K150" t="b">
        <v>1</v>
      </c>
      <c r="L150" t="b">
        <v>0</v>
      </c>
      <c r="M150" t="s">
        <v>1384</v>
      </c>
      <c r="N150" t="s">
        <v>1385</v>
      </c>
      <c r="O150" t="s">
        <v>1386</v>
      </c>
      <c r="P150" t="s">
        <v>1387</v>
      </c>
      <c r="Q150" t="s">
        <v>1384</v>
      </c>
    </row>
    <row r="151" spans="1:17" x14ac:dyDescent="0.25">
      <c r="A151" t="s">
        <v>39</v>
      </c>
      <c r="B151" t="s">
        <v>1723</v>
      </c>
      <c r="C151" t="s">
        <v>328</v>
      </c>
      <c r="D151" t="s">
        <v>1428</v>
      </c>
      <c r="E151">
        <v>151</v>
      </c>
      <c r="F151" t="s">
        <v>1380</v>
      </c>
      <c r="G151" t="s">
        <v>1724</v>
      </c>
      <c r="H151" t="s">
        <v>1547</v>
      </c>
      <c r="I151" t="s">
        <v>1565</v>
      </c>
      <c r="J151" t="s">
        <v>1384</v>
      </c>
      <c r="K151" t="b">
        <v>1</v>
      </c>
      <c r="L151" t="b">
        <v>0</v>
      </c>
      <c r="M151" t="s">
        <v>1384</v>
      </c>
      <c r="N151" t="s">
        <v>1385</v>
      </c>
      <c r="O151" t="s">
        <v>1386</v>
      </c>
      <c r="P151" t="s">
        <v>1387</v>
      </c>
      <c r="Q151" t="s">
        <v>1384</v>
      </c>
    </row>
    <row r="152" spans="1:17" x14ac:dyDescent="0.25">
      <c r="A152" t="s">
        <v>39</v>
      </c>
      <c r="B152" t="s">
        <v>1725</v>
      </c>
      <c r="C152" t="s">
        <v>328</v>
      </c>
      <c r="D152" t="s">
        <v>1432</v>
      </c>
      <c r="E152">
        <v>76</v>
      </c>
      <c r="F152" t="s">
        <v>1380</v>
      </c>
      <c r="G152" t="s">
        <v>1720</v>
      </c>
      <c r="H152" t="s">
        <v>1547</v>
      </c>
      <c r="I152" t="s">
        <v>1418</v>
      </c>
      <c r="J152" t="s">
        <v>1384</v>
      </c>
      <c r="K152" t="b">
        <v>1</v>
      </c>
      <c r="L152" t="b">
        <v>0</v>
      </c>
      <c r="M152" t="s">
        <v>1384</v>
      </c>
      <c r="N152" t="s">
        <v>1385</v>
      </c>
      <c r="O152" t="s">
        <v>1386</v>
      </c>
      <c r="P152" t="s">
        <v>1387</v>
      </c>
      <c r="Q152" t="s">
        <v>1384</v>
      </c>
    </row>
    <row r="153" spans="1:17" x14ac:dyDescent="0.25">
      <c r="A153" t="s">
        <v>39</v>
      </c>
      <c r="B153" t="s">
        <v>1726</v>
      </c>
      <c r="C153" t="s">
        <v>328</v>
      </c>
      <c r="D153" t="s">
        <v>1436</v>
      </c>
      <c r="E153">
        <v>173</v>
      </c>
      <c r="F153" t="s">
        <v>1380</v>
      </c>
      <c r="G153" t="s">
        <v>1727</v>
      </c>
      <c r="H153" t="s">
        <v>1547</v>
      </c>
      <c r="I153" t="s">
        <v>1422</v>
      </c>
      <c r="J153" t="s">
        <v>1384</v>
      </c>
      <c r="K153" t="b">
        <v>1</v>
      </c>
      <c r="L153" t="b">
        <v>0</v>
      </c>
      <c r="M153" t="s">
        <v>1384</v>
      </c>
      <c r="N153" t="s">
        <v>1385</v>
      </c>
      <c r="O153" t="s">
        <v>1386</v>
      </c>
      <c r="P153" t="s">
        <v>1387</v>
      </c>
      <c r="Q153" t="s">
        <v>1384</v>
      </c>
    </row>
    <row r="154" spans="1:17" x14ac:dyDescent="0.25">
      <c r="A154" t="s">
        <v>39</v>
      </c>
      <c r="B154" t="s">
        <v>1728</v>
      </c>
      <c r="C154" t="s">
        <v>328</v>
      </c>
      <c r="D154" t="s">
        <v>1439</v>
      </c>
      <c r="E154">
        <v>220</v>
      </c>
      <c r="F154" t="s">
        <v>1380</v>
      </c>
      <c r="G154" t="s">
        <v>1729</v>
      </c>
      <c r="H154" t="s">
        <v>1547</v>
      </c>
      <c r="I154" t="s">
        <v>1426</v>
      </c>
      <c r="J154" t="s">
        <v>1384</v>
      </c>
      <c r="K154" t="b">
        <v>1</v>
      </c>
      <c r="L154" t="b">
        <v>0</v>
      </c>
      <c r="M154" t="s">
        <v>1384</v>
      </c>
      <c r="N154" t="s">
        <v>1385</v>
      </c>
      <c r="O154" t="s">
        <v>1386</v>
      </c>
      <c r="P154" t="s">
        <v>1387</v>
      </c>
      <c r="Q154" t="s">
        <v>1384</v>
      </c>
    </row>
    <row r="155" spans="1:17" x14ac:dyDescent="0.25">
      <c r="A155" t="s">
        <v>39</v>
      </c>
      <c r="B155" t="s">
        <v>1730</v>
      </c>
      <c r="C155" t="s">
        <v>328</v>
      </c>
      <c r="D155" t="s">
        <v>1442</v>
      </c>
      <c r="E155">
        <v>455</v>
      </c>
      <c r="F155" t="s">
        <v>1380</v>
      </c>
      <c r="G155" t="s">
        <v>1731</v>
      </c>
      <c r="H155" t="s">
        <v>1547</v>
      </c>
      <c r="I155" t="s">
        <v>1565</v>
      </c>
      <c r="J155" t="s">
        <v>1384</v>
      </c>
      <c r="K155" t="b">
        <v>1</v>
      </c>
      <c r="L155" t="b">
        <v>0</v>
      </c>
      <c r="M155" t="s">
        <v>1384</v>
      </c>
      <c r="N155" t="s">
        <v>1385</v>
      </c>
      <c r="O155" t="s">
        <v>1386</v>
      </c>
      <c r="P155" t="s">
        <v>1387</v>
      </c>
      <c r="Q155" t="s">
        <v>1384</v>
      </c>
    </row>
    <row r="156" spans="1:17" x14ac:dyDescent="0.25">
      <c r="A156" t="s">
        <v>39</v>
      </c>
      <c r="B156" t="s">
        <v>1732</v>
      </c>
      <c r="C156" t="s">
        <v>329</v>
      </c>
      <c r="D156" t="s">
        <v>1379</v>
      </c>
      <c r="E156">
        <v>66907</v>
      </c>
      <c r="F156" t="s">
        <v>1446</v>
      </c>
      <c r="G156" t="s">
        <v>1733</v>
      </c>
      <c r="H156" t="s">
        <v>1547</v>
      </c>
      <c r="I156" t="s">
        <v>1548</v>
      </c>
      <c r="J156" t="s">
        <v>1384</v>
      </c>
      <c r="K156" t="b">
        <v>1</v>
      </c>
      <c r="L156" t="b">
        <v>0</v>
      </c>
      <c r="M156" t="s">
        <v>1384</v>
      </c>
      <c r="N156" t="s">
        <v>1385</v>
      </c>
      <c r="O156" t="s">
        <v>1386</v>
      </c>
      <c r="P156" t="s">
        <v>1387</v>
      </c>
      <c r="Q156" t="s">
        <v>1734</v>
      </c>
    </row>
    <row r="157" spans="1:17" x14ac:dyDescent="0.25">
      <c r="A157" t="s">
        <v>39</v>
      </c>
      <c r="B157" t="s">
        <v>1735</v>
      </c>
      <c r="C157" t="s">
        <v>329</v>
      </c>
      <c r="D157" t="s">
        <v>1390</v>
      </c>
      <c r="E157">
        <v>69481</v>
      </c>
      <c r="F157" t="s">
        <v>1446</v>
      </c>
      <c r="G157" t="s">
        <v>1736</v>
      </c>
      <c r="H157" t="s">
        <v>1547</v>
      </c>
      <c r="I157" t="s">
        <v>1392</v>
      </c>
      <c r="J157" t="s">
        <v>1384</v>
      </c>
      <c r="K157" t="b">
        <v>1</v>
      </c>
      <c r="L157" t="b">
        <v>0</v>
      </c>
      <c r="M157" t="s">
        <v>1384</v>
      </c>
      <c r="N157" t="s">
        <v>1385</v>
      </c>
      <c r="O157" t="s">
        <v>1386</v>
      </c>
      <c r="P157" t="s">
        <v>1387</v>
      </c>
      <c r="Q157" t="s">
        <v>1734</v>
      </c>
    </row>
    <row r="158" spans="1:17" x14ac:dyDescent="0.25">
      <c r="A158" t="s">
        <v>39</v>
      </c>
      <c r="B158" t="s">
        <v>1737</v>
      </c>
      <c r="C158" t="s">
        <v>329</v>
      </c>
      <c r="D158" t="s">
        <v>1394</v>
      </c>
      <c r="E158">
        <v>72004</v>
      </c>
      <c r="F158" t="s">
        <v>1446</v>
      </c>
      <c r="G158" t="s">
        <v>1738</v>
      </c>
      <c r="H158" t="s">
        <v>1547</v>
      </c>
      <c r="I158" t="s">
        <v>1396</v>
      </c>
      <c r="J158" t="s">
        <v>1384</v>
      </c>
      <c r="K158" t="b">
        <v>1</v>
      </c>
      <c r="L158" t="b">
        <v>0</v>
      </c>
      <c r="M158" t="s">
        <v>1384</v>
      </c>
      <c r="N158" t="s">
        <v>1385</v>
      </c>
      <c r="O158" t="s">
        <v>1386</v>
      </c>
      <c r="P158" t="s">
        <v>1387</v>
      </c>
      <c r="Q158" t="s">
        <v>1734</v>
      </c>
    </row>
    <row r="159" spans="1:17" x14ac:dyDescent="0.25">
      <c r="A159" t="s">
        <v>39</v>
      </c>
      <c r="B159" t="s">
        <v>1739</v>
      </c>
      <c r="C159" t="s">
        <v>329</v>
      </c>
      <c r="D159" t="s">
        <v>1398</v>
      </c>
      <c r="E159">
        <v>84981</v>
      </c>
      <c r="F159" t="s">
        <v>1446</v>
      </c>
      <c r="G159" t="s">
        <v>1740</v>
      </c>
      <c r="H159" t="s">
        <v>1547</v>
      </c>
      <c r="I159" t="s">
        <v>1556</v>
      </c>
      <c r="J159" t="s">
        <v>1384</v>
      </c>
      <c r="K159" t="b">
        <v>1</v>
      </c>
      <c r="L159" t="b">
        <v>0</v>
      </c>
      <c r="M159" t="s">
        <v>1384</v>
      </c>
      <c r="N159" t="s">
        <v>1385</v>
      </c>
      <c r="O159" t="s">
        <v>1386</v>
      </c>
      <c r="P159" t="s">
        <v>1387</v>
      </c>
      <c r="Q159" t="s">
        <v>1734</v>
      </c>
    </row>
    <row r="160" spans="1:17" x14ac:dyDescent="0.25">
      <c r="A160" t="s">
        <v>39</v>
      </c>
      <c r="B160" t="s">
        <v>1741</v>
      </c>
      <c r="C160" t="s">
        <v>329</v>
      </c>
      <c r="D160" t="s">
        <v>1402</v>
      </c>
      <c r="E160">
        <v>73068</v>
      </c>
      <c r="F160" t="s">
        <v>1446</v>
      </c>
      <c r="G160" t="s">
        <v>1742</v>
      </c>
      <c r="H160" t="s">
        <v>1547</v>
      </c>
      <c r="I160" t="s">
        <v>1383</v>
      </c>
      <c r="J160" t="s">
        <v>1384</v>
      </c>
      <c r="K160" t="b">
        <v>1</v>
      </c>
      <c r="L160" t="b">
        <v>0</v>
      </c>
      <c r="M160" t="s">
        <v>1384</v>
      </c>
      <c r="N160" t="s">
        <v>1385</v>
      </c>
      <c r="O160" t="s">
        <v>1386</v>
      </c>
      <c r="P160" t="s">
        <v>1387</v>
      </c>
      <c r="Q160" t="s">
        <v>1734</v>
      </c>
    </row>
    <row r="161" spans="1:17" x14ac:dyDescent="0.25">
      <c r="A161" t="s">
        <v>39</v>
      </c>
      <c r="B161" t="s">
        <v>1743</v>
      </c>
      <c r="C161" t="s">
        <v>329</v>
      </c>
      <c r="D161" t="s">
        <v>1420</v>
      </c>
      <c r="E161">
        <v>81817</v>
      </c>
      <c r="F161" t="s">
        <v>1446</v>
      </c>
      <c r="G161" t="s">
        <v>1744</v>
      </c>
      <c r="H161" t="s">
        <v>1547</v>
      </c>
      <c r="I161" t="s">
        <v>1409</v>
      </c>
      <c r="J161" t="s">
        <v>1384</v>
      </c>
      <c r="K161" t="b">
        <v>1</v>
      </c>
      <c r="L161" t="b">
        <v>0</v>
      </c>
      <c r="M161" t="s">
        <v>1384</v>
      </c>
      <c r="N161" t="s">
        <v>1385</v>
      </c>
      <c r="O161" t="s">
        <v>1386</v>
      </c>
      <c r="P161" t="s">
        <v>1387</v>
      </c>
      <c r="Q161" t="s">
        <v>1734</v>
      </c>
    </row>
    <row r="162" spans="1:17" x14ac:dyDescent="0.25">
      <c r="A162" t="s">
        <v>39</v>
      </c>
      <c r="B162" t="s">
        <v>1745</v>
      </c>
      <c r="C162" t="s">
        <v>329</v>
      </c>
      <c r="D162" t="s">
        <v>1424</v>
      </c>
      <c r="E162">
        <v>84570</v>
      </c>
      <c r="F162" t="s">
        <v>1446</v>
      </c>
      <c r="G162" t="s">
        <v>1746</v>
      </c>
      <c r="H162" t="s">
        <v>1547</v>
      </c>
      <c r="I162" t="s">
        <v>1412</v>
      </c>
      <c r="J162" t="s">
        <v>1384</v>
      </c>
      <c r="K162" t="b">
        <v>1</v>
      </c>
      <c r="L162" t="b">
        <v>0</v>
      </c>
      <c r="M162" t="s">
        <v>1384</v>
      </c>
      <c r="N162" t="s">
        <v>1385</v>
      </c>
      <c r="O162" t="s">
        <v>1386</v>
      </c>
      <c r="P162" t="s">
        <v>1387</v>
      </c>
      <c r="Q162" t="s">
        <v>1734</v>
      </c>
    </row>
    <row r="163" spans="1:17" x14ac:dyDescent="0.25">
      <c r="A163" t="s">
        <v>39</v>
      </c>
      <c r="B163" t="s">
        <v>1747</v>
      </c>
      <c r="C163" t="s">
        <v>329</v>
      </c>
      <c r="D163" t="s">
        <v>1428</v>
      </c>
      <c r="E163">
        <v>94363</v>
      </c>
      <c r="F163" t="s">
        <v>1446</v>
      </c>
      <c r="G163" t="s">
        <v>1748</v>
      </c>
      <c r="H163" t="s">
        <v>1547</v>
      </c>
      <c r="I163" t="s">
        <v>1565</v>
      </c>
      <c r="J163" t="s">
        <v>1384</v>
      </c>
      <c r="K163" t="b">
        <v>1</v>
      </c>
      <c r="L163" t="b">
        <v>0</v>
      </c>
      <c r="M163" t="s">
        <v>1384</v>
      </c>
      <c r="N163" t="s">
        <v>1385</v>
      </c>
      <c r="O163" t="s">
        <v>1386</v>
      </c>
      <c r="P163" t="s">
        <v>1387</v>
      </c>
      <c r="Q163" t="s">
        <v>1734</v>
      </c>
    </row>
    <row r="164" spans="1:17" x14ac:dyDescent="0.25">
      <c r="A164" t="s">
        <v>39</v>
      </c>
      <c r="B164" t="s">
        <v>1749</v>
      </c>
      <c r="C164" t="s">
        <v>329</v>
      </c>
      <c r="D164" t="s">
        <v>1432</v>
      </c>
      <c r="E164">
        <v>89241</v>
      </c>
      <c r="F164" t="s">
        <v>1446</v>
      </c>
      <c r="G164" t="s">
        <v>1750</v>
      </c>
      <c r="H164" t="s">
        <v>1547</v>
      </c>
      <c r="I164" t="s">
        <v>1418</v>
      </c>
      <c r="J164" t="s">
        <v>1384</v>
      </c>
      <c r="K164" t="b">
        <v>1</v>
      </c>
      <c r="L164" t="b">
        <v>0</v>
      </c>
      <c r="M164" t="s">
        <v>1384</v>
      </c>
      <c r="N164" t="s">
        <v>1385</v>
      </c>
      <c r="O164" t="s">
        <v>1386</v>
      </c>
      <c r="P164" t="s">
        <v>1387</v>
      </c>
      <c r="Q164" t="s">
        <v>1734</v>
      </c>
    </row>
    <row r="165" spans="1:17" x14ac:dyDescent="0.25">
      <c r="A165" t="s">
        <v>39</v>
      </c>
      <c r="B165" t="s">
        <v>1751</v>
      </c>
      <c r="C165" t="s">
        <v>329</v>
      </c>
      <c r="D165" t="s">
        <v>1436</v>
      </c>
      <c r="E165">
        <v>98285</v>
      </c>
      <c r="F165" t="s">
        <v>1446</v>
      </c>
      <c r="G165" t="s">
        <v>1752</v>
      </c>
      <c r="H165" t="s">
        <v>1547</v>
      </c>
      <c r="I165" t="s">
        <v>1422</v>
      </c>
      <c r="J165" t="s">
        <v>1384</v>
      </c>
      <c r="K165" t="b">
        <v>1</v>
      </c>
      <c r="L165" t="b">
        <v>0</v>
      </c>
      <c r="M165" t="s">
        <v>1384</v>
      </c>
      <c r="N165" t="s">
        <v>1385</v>
      </c>
      <c r="O165" t="s">
        <v>1386</v>
      </c>
      <c r="P165" t="s">
        <v>1387</v>
      </c>
      <c r="Q165" t="s">
        <v>1734</v>
      </c>
    </row>
    <row r="166" spans="1:17" x14ac:dyDescent="0.25">
      <c r="A166" t="s">
        <v>39</v>
      </c>
      <c r="B166" t="s">
        <v>1753</v>
      </c>
      <c r="C166" t="s">
        <v>329</v>
      </c>
      <c r="D166" t="s">
        <v>1439</v>
      </c>
      <c r="E166">
        <v>106032</v>
      </c>
      <c r="F166" t="s">
        <v>1446</v>
      </c>
      <c r="G166" t="s">
        <v>1754</v>
      </c>
      <c r="H166" t="s">
        <v>1547</v>
      </c>
      <c r="I166" t="s">
        <v>1426</v>
      </c>
      <c r="J166" t="s">
        <v>1384</v>
      </c>
      <c r="K166" t="b">
        <v>1</v>
      </c>
      <c r="L166" t="b">
        <v>0</v>
      </c>
      <c r="M166" t="s">
        <v>1384</v>
      </c>
      <c r="N166" t="s">
        <v>1385</v>
      </c>
      <c r="O166" t="s">
        <v>1386</v>
      </c>
      <c r="P166" t="s">
        <v>1387</v>
      </c>
      <c r="Q166" t="s">
        <v>1734</v>
      </c>
    </row>
    <row r="167" spans="1:17" x14ac:dyDescent="0.25">
      <c r="A167" t="s">
        <v>39</v>
      </c>
      <c r="B167" t="s">
        <v>1755</v>
      </c>
      <c r="C167" t="s">
        <v>329</v>
      </c>
      <c r="D167" t="s">
        <v>1442</v>
      </c>
      <c r="E167">
        <v>121909</v>
      </c>
      <c r="F167" t="s">
        <v>1446</v>
      </c>
      <c r="G167" t="s">
        <v>1756</v>
      </c>
      <c r="H167" t="s">
        <v>1547</v>
      </c>
      <c r="I167" t="s">
        <v>1565</v>
      </c>
      <c r="J167" t="s">
        <v>1384</v>
      </c>
      <c r="K167" t="b">
        <v>1</v>
      </c>
      <c r="L167" t="b">
        <v>0</v>
      </c>
      <c r="M167" t="s">
        <v>1384</v>
      </c>
      <c r="N167" t="s">
        <v>1385</v>
      </c>
      <c r="O167" t="s">
        <v>1386</v>
      </c>
      <c r="P167" t="s">
        <v>1387</v>
      </c>
      <c r="Q167" t="s">
        <v>1757</v>
      </c>
    </row>
    <row r="168" spans="1:17" x14ac:dyDescent="0.25">
      <c r="A168" t="s">
        <v>39</v>
      </c>
      <c r="B168" t="s">
        <v>1758</v>
      </c>
      <c r="C168" t="s">
        <v>331</v>
      </c>
      <c r="D168" t="s">
        <v>1379</v>
      </c>
      <c r="E168">
        <v>85529</v>
      </c>
      <c r="F168" t="s">
        <v>1446</v>
      </c>
      <c r="G168" t="s">
        <v>1759</v>
      </c>
      <c r="H168" t="s">
        <v>1547</v>
      </c>
      <c r="I168" t="s">
        <v>1548</v>
      </c>
      <c r="J168" t="s">
        <v>1384</v>
      </c>
      <c r="K168" t="b">
        <v>1</v>
      </c>
      <c r="L168" t="b">
        <v>0</v>
      </c>
      <c r="M168" t="s">
        <v>1384</v>
      </c>
      <c r="N168" t="s">
        <v>1385</v>
      </c>
      <c r="O168" t="s">
        <v>1386</v>
      </c>
      <c r="P168" t="s">
        <v>1387</v>
      </c>
      <c r="Q168" t="s">
        <v>1760</v>
      </c>
    </row>
    <row r="169" spans="1:17" x14ac:dyDescent="0.25">
      <c r="A169" t="s">
        <v>39</v>
      </c>
      <c r="B169" t="s">
        <v>1761</v>
      </c>
      <c r="C169" t="s">
        <v>331</v>
      </c>
      <c r="D169" t="s">
        <v>1390</v>
      </c>
      <c r="E169">
        <v>87892</v>
      </c>
      <c r="F169" t="s">
        <v>1446</v>
      </c>
      <c r="G169" t="s">
        <v>1762</v>
      </c>
      <c r="H169" t="s">
        <v>1547</v>
      </c>
      <c r="I169" t="s">
        <v>1392</v>
      </c>
      <c r="J169" t="s">
        <v>1384</v>
      </c>
      <c r="K169" t="b">
        <v>1</v>
      </c>
      <c r="L169" t="b">
        <v>0</v>
      </c>
      <c r="M169" t="s">
        <v>1384</v>
      </c>
      <c r="N169" t="s">
        <v>1385</v>
      </c>
      <c r="O169" t="s">
        <v>1386</v>
      </c>
      <c r="P169" t="s">
        <v>1387</v>
      </c>
      <c r="Q169" t="s">
        <v>1760</v>
      </c>
    </row>
    <row r="170" spans="1:17" x14ac:dyDescent="0.25">
      <c r="A170" t="s">
        <v>39</v>
      </c>
      <c r="B170" t="s">
        <v>1763</v>
      </c>
      <c r="C170" t="s">
        <v>331</v>
      </c>
      <c r="D170" t="s">
        <v>1394</v>
      </c>
      <c r="E170">
        <v>88300</v>
      </c>
      <c r="F170" t="s">
        <v>1446</v>
      </c>
      <c r="G170" t="s">
        <v>1764</v>
      </c>
      <c r="H170" t="s">
        <v>1547</v>
      </c>
      <c r="I170" t="s">
        <v>1396</v>
      </c>
      <c r="J170" t="s">
        <v>1384</v>
      </c>
      <c r="K170" t="b">
        <v>1</v>
      </c>
      <c r="L170" t="b">
        <v>0</v>
      </c>
      <c r="M170" t="s">
        <v>1384</v>
      </c>
      <c r="N170" t="s">
        <v>1385</v>
      </c>
      <c r="O170" t="s">
        <v>1386</v>
      </c>
      <c r="P170" t="s">
        <v>1387</v>
      </c>
      <c r="Q170" t="s">
        <v>1760</v>
      </c>
    </row>
    <row r="171" spans="1:17" x14ac:dyDescent="0.25">
      <c r="A171" t="s">
        <v>39</v>
      </c>
      <c r="B171" t="s">
        <v>1765</v>
      </c>
      <c r="C171" t="s">
        <v>331</v>
      </c>
      <c r="D171" t="s">
        <v>1398</v>
      </c>
      <c r="E171">
        <v>90866</v>
      </c>
      <c r="F171" t="s">
        <v>1446</v>
      </c>
      <c r="G171" t="s">
        <v>1766</v>
      </c>
      <c r="H171" t="s">
        <v>1547</v>
      </c>
      <c r="I171" t="s">
        <v>1556</v>
      </c>
      <c r="J171" t="s">
        <v>1384</v>
      </c>
      <c r="K171" t="b">
        <v>1</v>
      </c>
      <c r="L171" t="b">
        <v>0</v>
      </c>
      <c r="M171" t="s">
        <v>1384</v>
      </c>
      <c r="N171" t="s">
        <v>1385</v>
      </c>
      <c r="O171" t="s">
        <v>1386</v>
      </c>
      <c r="P171" t="s">
        <v>1387</v>
      </c>
      <c r="Q171" t="s">
        <v>1760</v>
      </c>
    </row>
    <row r="172" spans="1:17" x14ac:dyDescent="0.25">
      <c r="A172" t="s">
        <v>39</v>
      </c>
      <c r="B172" t="s">
        <v>1767</v>
      </c>
      <c r="C172" t="s">
        <v>331</v>
      </c>
      <c r="D172" t="s">
        <v>1402</v>
      </c>
      <c r="E172">
        <v>91946</v>
      </c>
      <c r="F172" t="s">
        <v>1446</v>
      </c>
      <c r="G172" t="s">
        <v>1768</v>
      </c>
      <c r="H172" t="s">
        <v>1547</v>
      </c>
      <c r="I172" t="s">
        <v>1383</v>
      </c>
      <c r="J172" t="s">
        <v>1384</v>
      </c>
      <c r="K172" t="b">
        <v>1</v>
      </c>
      <c r="L172" t="b">
        <v>0</v>
      </c>
      <c r="M172" t="s">
        <v>1384</v>
      </c>
      <c r="N172" t="s">
        <v>1385</v>
      </c>
      <c r="O172" t="s">
        <v>1386</v>
      </c>
      <c r="P172" t="s">
        <v>1387</v>
      </c>
      <c r="Q172" t="s">
        <v>1760</v>
      </c>
    </row>
    <row r="173" spans="1:17" x14ac:dyDescent="0.25">
      <c r="A173" t="s">
        <v>39</v>
      </c>
      <c r="B173" t="s">
        <v>1769</v>
      </c>
      <c r="C173" t="s">
        <v>331</v>
      </c>
      <c r="D173" t="s">
        <v>1420</v>
      </c>
      <c r="E173">
        <v>93436</v>
      </c>
      <c r="F173" t="s">
        <v>1446</v>
      </c>
      <c r="G173" t="s">
        <v>1770</v>
      </c>
      <c r="H173" t="s">
        <v>1547</v>
      </c>
      <c r="I173" t="s">
        <v>1409</v>
      </c>
      <c r="J173" t="s">
        <v>1384</v>
      </c>
      <c r="K173" t="b">
        <v>1</v>
      </c>
      <c r="L173" t="b">
        <v>0</v>
      </c>
      <c r="M173" t="s">
        <v>1384</v>
      </c>
      <c r="N173" t="s">
        <v>1385</v>
      </c>
      <c r="O173" t="s">
        <v>1386</v>
      </c>
      <c r="P173" t="s">
        <v>1387</v>
      </c>
      <c r="Q173" t="s">
        <v>1760</v>
      </c>
    </row>
    <row r="174" spans="1:17" x14ac:dyDescent="0.25">
      <c r="A174" t="s">
        <v>39</v>
      </c>
      <c r="B174" t="s">
        <v>1771</v>
      </c>
      <c r="C174" t="s">
        <v>331</v>
      </c>
      <c r="D174" t="s">
        <v>1424</v>
      </c>
      <c r="E174">
        <v>95982</v>
      </c>
      <c r="F174" t="s">
        <v>1446</v>
      </c>
      <c r="G174" t="s">
        <v>1772</v>
      </c>
      <c r="H174" t="s">
        <v>1547</v>
      </c>
      <c r="I174" t="s">
        <v>1412</v>
      </c>
      <c r="J174" t="s">
        <v>1384</v>
      </c>
      <c r="K174" t="b">
        <v>1</v>
      </c>
      <c r="L174" t="b">
        <v>0</v>
      </c>
      <c r="M174" t="s">
        <v>1384</v>
      </c>
      <c r="N174" t="s">
        <v>1385</v>
      </c>
      <c r="O174" t="s">
        <v>1386</v>
      </c>
      <c r="P174" t="s">
        <v>1387</v>
      </c>
      <c r="Q174" t="s">
        <v>1760</v>
      </c>
    </row>
    <row r="175" spans="1:17" x14ac:dyDescent="0.25">
      <c r="A175" t="s">
        <v>39</v>
      </c>
      <c r="B175" t="s">
        <v>1773</v>
      </c>
      <c r="C175" t="s">
        <v>331</v>
      </c>
      <c r="D175" t="s">
        <v>1428</v>
      </c>
      <c r="E175">
        <v>97699</v>
      </c>
      <c r="F175" t="s">
        <v>1446</v>
      </c>
      <c r="G175" t="s">
        <v>1774</v>
      </c>
      <c r="H175" t="s">
        <v>1547</v>
      </c>
      <c r="I175" t="s">
        <v>1565</v>
      </c>
      <c r="J175" t="s">
        <v>1384</v>
      </c>
      <c r="K175" t="b">
        <v>1</v>
      </c>
      <c r="L175" t="b">
        <v>0</v>
      </c>
      <c r="M175" t="s">
        <v>1384</v>
      </c>
      <c r="N175" t="s">
        <v>1385</v>
      </c>
      <c r="O175" t="s">
        <v>1386</v>
      </c>
      <c r="P175" t="s">
        <v>1387</v>
      </c>
      <c r="Q175" t="s">
        <v>1760</v>
      </c>
    </row>
    <row r="176" spans="1:17" x14ac:dyDescent="0.25">
      <c r="A176" t="s">
        <v>39</v>
      </c>
      <c r="B176" t="s">
        <v>1775</v>
      </c>
      <c r="C176" t="s">
        <v>331</v>
      </c>
      <c r="D176" t="s">
        <v>1432</v>
      </c>
      <c r="E176">
        <v>102330</v>
      </c>
      <c r="F176" t="s">
        <v>1446</v>
      </c>
      <c r="G176" t="s">
        <v>1776</v>
      </c>
      <c r="H176" t="s">
        <v>1547</v>
      </c>
      <c r="I176" t="s">
        <v>1418</v>
      </c>
      <c r="J176" t="s">
        <v>1384</v>
      </c>
      <c r="K176" t="b">
        <v>1</v>
      </c>
      <c r="L176" t="b">
        <v>0</v>
      </c>
      <c r="M176" t="s">
        <v>1384</v>
      </c>
      <c r="N176" t="s">
        <v>1385</v>
      </c>
      <c r="O176" t="s">
        <v>1386</v>
      </c>
      <c r="P176" t="s">
        <v>1387</v>
      </c>
      <c r="Q176" t="s">
        <v>1760</v>
      </c>
    </row>
    <row r="177" spans="1:17" x14ac:dyDescent="0.25">
      <c r="A177" t="s">
        <v>39</v>
      </c>
      <c r="B177" t="s">
        <v>1777</v>
      </c>
      <c r="C177" t="s">
        <v>331</v>
      </c>
      <c r="D177" t="s">
        <v>1436</v>
      </c>
      <c r="E177">
        <v>106653</v>
      </c>
      <c r="F177" t="s">
        <v>1446</v>
      </c>
      <c r="G177" t="s">
        <v>1778</v>
      </c>
      <c r="H177" t="s">
        <v>1547</v>
      </c>
      <c r="I177" t="s">
        <v>1422</v>
      </c>
      <c r="J177" t="s">
        <v>1384</v>
      </c>
      <c r="K177" t="b">
        <v>1</v>
      </c>
      <c r="L177" t="b">
        <v>0</v>
      </c>
      <c r="M177" t="s">
        <v>1384</v>
      </c>
      <c r="N177" t="s">
        <v>1385</v>
      </c>
      <c r="O177" t="s">
        <v>1386</v>
      </c>
      <c r="P177" t="s">
        <v>1387</v>
      </c>
      <c r="Q177" t="s">
        <v>1760</v>
      </c>
    </row>
    <row r="178" spans="1:17" x14ac:dyDescent="0.25">
      <c r="A178" t="s">
        <v>39</v>
      </c>
      <c r="B178" t="s">
        <v>1779</v>
      </c>
      <c r="C178" t="s">
        <v>331</v>
      </c>
      <c r="D178" t="s">
        <v>1439</v>
      </c>
      <c r="E178">
        <v>107346</v>
      </c>
      <c r="F178" t="s">
        <v>1446</v>
      </c>
      <c r="G178" t="s">
        <v>1780</v>
      </c>
      <c r="H178" t="s">
        <v>1547</v>
      </c>
      <c r="I178" t="s">
        <v>1426</v>
      </c>
      <c r="J178" t="s">
        <v>1384</v>
      </c>
      <c r="K178" t="b">
        <v>1</v>
      </c>
      <c r="L178" t="b">
        <v>0</v>
      </c>
      <c r="M178" t="s">
        <v>1384</v>
      </c>
      <c r="N178" t="s">
        <v>1385</v>
      </c>
      <c r="O178" t="s">
        <v>1386</v>
      </c>
      <c r="P178" t="s">
        <v>1387</v>
      </c>
      <c r="Q178" t="s">
        <v>1760</v>
      </c>
    </row>
    <row r="179" spans="1:17" x14ac:dyDescent="0.25">
      <c r="A179" t="s">
        <v>39</v>
      </c>
      <c r="B179" t="s">
        <v>1781</v>
      </c>
      <c r="C179" t="s">
        <v>331</v>
      </c>
      <c r="D179" t="s">
        <v>1442</v>
      </c>
      <c r="E179">
        <v>109828</v>
      </c>
      <c r="F179" t="s">
        <v>1446</v>
      </c>
      <c r="G179" t="s">
        <v>1782</v>
      </c>
      <c r="H179" t="s">
        <v>1547</v>
      </c>
      <c r="I179" t="s">
        <v>1565</v>
      </c>
      <c r="J179" t="s">
        <v>1384</v>
      </c>
      <c r="K179" t="b">
        <v>1</v>
      </c>
      <c r="L179" t="b">
        <v>0</v>
      </c>
      <c r="M179" t="s">
        <v>1384</v>
      </c>
      <c r="N179" t="s">
        <v>1385</v>
      </c>
      <c r="O179" t="s">
        <v>1386</v>
      </c>
      <c r="P179" t="s">
        <v>1387</v>
      </c>
      <c r="Q179" t="s">
        <v>1783</v>
      </c>
    </row>
    <row r="180" spans="1:17" x14ac:dyDescent="0.25">
      <c r="A180" t="s">
        <v>39</v>
      </c>
      <c r="B180" t="s">
        <v>1784</v>
      </c>
      <c r="C180" t="s">
        <v>334</v>
      </c>
      <c r="D180" t="s">
        <v>1379</v>
      </c>
      <c r="E180">
        <v>69472</v>
      </c>
      <c r="F180" t="s">
        <v>1446</v>
      </c>
      <c r="G180" t="s">
        <v>1785</v>
      </c>
      <c r="H180" t="s">
        <v>1547</v>
      </c>
      <c r="I180" t="s">
        <v>1548</v>
      </c>
      <c r="J180" t="s">
        <v>1384</v>
      </c>
      <c r="K180" t="b">
        <v>1</v>
      </c>
      <c r="L180" t="b">
        <v>0</v>
      </c>
      <c r="M180" t="s">
        <v>1384</v>
      </c>
      <c r="N180" t="s">
        <v>1385</v>
      </c>
      <c r="O180" t="s">
        <v>1386</v>
      </c>
      <c r="P180" t="s">
        <v>1387</v>
      </c>
      <c r="Q180" t="s">
        <v>1786</v>
      </c>
    </row>
    <row r="181" spans="1:17" x14ac:dyDescent="0.25">
      <c r="A181" t="s">
        <v>39</v>
      </c>
      <c r="B181" t="s">
        <v>1787</v>
      </c>
      <c r="C181" t="s">
        <v>334</v>
      </c>
      <c r="D181" t="s">
        <v>1390</v>
      </c>
      <c r="E181">
        <v>67472</v>
      </c>
      <c r="F181" t="s">
        <v>1446</v>
      </c>
      <c r="G181" t="s">
        <v>1788</v>
      </c>
      <c r="H181" t="s">
        <v>1547</v>
      </c>
      <c r="I181" t="s">
        <v>1392</v>
      </c>
      <c r="J181" t="s">
        <v>1384</v>
      </c>
      <c r="K181" t="b">
        <v>1</v>
      </c>
      <c r="L181" t="b">
        <v>0</v>
      </c>
      <c r="M181" t="s">
        <v>1384</v>
      </c>
      <c r="N181" t="s">
        <v>1385</v>
      </c>
      <c r="O181" t="s">
        <v>1386</v>
      </c>
      <c r="P181" t="s">
        <v>1387</v>
      </c>
      <c r="Q181" t="s">
        <v>1786</v>
      </c>
    </row>
    <row r="182" spans="1:17" x14ac:dyDescent="0.25">
      <c r="A182" t="s">
        <v>39</v>
      </c>
      <c r="B182" t="s">
        <v>1789</v>
      </c>
      <c r="C182" t="s">
        <v>334</v>
      </c>
      <c r="D182" t="s">
        <v>1394</v>
      </c>
      <c r="E182">
        <v>67472</v>
      </c>
      <c r="F182" t="s">
        <v>1446</v>
      </c>
      <c r="G182" t="s">
        <v>1788</v>
      </c>
      <c r="H182" t="s">
        <v>1547</v>
      </c>
      <c r="I182" t="s">
        <v>1396</v>
      </c>
      <c r="J182" t="s">
        <v>1384</v>
      </c>
      <c r="K182" t="b">
        <v>1</v>
      </c>
      <c r="L182" t="b">
        <v>0</v>
      </c>
      <c r="M182" t="s">
        <v>1384</v>
      </c>
      <c r="N182" t="s">
        <v>1385</v>
      </c>
      <c r="O182" t="s">
        <v>1386</v>
      </c>
      <c r="P182" t="s">
        <v>1387</v>
      </c>
      <c r="Q182" t="s">
        <v>1786</v>
      </c>
    </row>
    <row r="183" spans="1:17" x14ac:dyDescent="0.25">
      <c r="A183" t="s">
        <v>39</v>
      </c>
      <c r="B183" t="s">
        <v>1790</v>
      </c>
      <c r="C183" t="s">
        <v>334</v>
      </c>
      <c r="D183" t="s">
        <v>1398</v>
      </c>
      <c r="E183">
        <v>67182</v>
      </c>
      <c r="F183" t="s">
        <v>1446</v>
      </c>
      <c r="G183" t="s">
        <v>1791</v>
      </c>
      <c r="H183" t="s">
        <v>1547</v>
      </c>
      <c r="I183" t="s">
        <v>1556</v>
      </c>
      <c r="J183" t="s">
        <v>1384</v>
      </c>
      <c r="K183" t="b">
        <v>1</v>
      </c>
      <c r="L183" t="b">
        <v>0</v>
      </c>
      <c r="M183" t="s">
        <v>1384</v>
      </c>
      <c r="N183" t="s">
        <v>1385</v>
      </c>
      <c r="O183" t="s">
        <v>1386</v>
      </c>
      <c r="P183" t="s">
        <v>1387</v>
      </c>
      <c r="Q183" t="s">
        <v>1786</v>
      </c>
    </row>
    <row r="184" spans="1:17" x14ac:dyDescent="0.25">
      <c r="A184" t="s">
        <v>39</v>
      </c>
      <c r="B184" t="s">
        <v>1792</v>
      </c>
      <c r="C184" t="s">
        <v>334</v>
      </c>
      <c r="D184" t="s">
        <v>1402</v>
      </c>
      <c r="E184">
        <v>66852</v>
      </c>
      <c r="F184" t="s">
        <v>1446</v>
      </c>
      <c r="G184" t="s">
        <v>1793</v>
      </c>
      <c r="H184" t="s">
        <v>1547</v>
      </c>
      <c r="I184" t="s">
        <v>1383</v>
      </c>
      <c r="J184" t="s">
        <v>1384</v>
      </c>
      <c r="K184" t="b">
        <v>1</v>
      </c>
      <c r="L184" t="b">
        <v>0</v>
      </c>
      <c r="M184" t="s">
        <v>1384</v>
      </c>
      <c r="N184" t="s">
        <v>1385</v>
      </c>
      <c r="O184" t="s">
        <v>1386</v>
      </c>
      <c r="P184" t="s">
        <v>1387</v>
      </c>
      <c r="Q184" t="s">
        <v>1786</v>
      </c>
    </row>
    <row r="185" spans="1:17" x14ac:dyDescent="0.25">
      <c r="A185" t="s">
        <v>39</v>
      </c>
      <c r="B185" t="s">
        <v>1794</v>
      </c>
      <c r="C185" t="s">
        <v>334</v>
      </c>
      <c r="D185" t="s">
        <v>1420</v>
      </c>
      <c r="E185">
        <v>62683</v>
      </c>
      <c r="F185" t="s">
        <v>1446</v>
      </c>
      <c r="G185" t="s">
        <v>1795</v>
      </c>
      <c r="H185" t="s">
        <v>1547</v>
      </c>
      <c r="I185" t="s">
        <v>1409</v>
      </c>
      <c r="J185" t="s">
        <v>1384</v>
      </c>
      <c r="K185" t="b">
        <v>1</v>
      </c>
      <c r="L185" t="b">
        <v>0</v>
      </c>
      <c r="M185" t="s">
        <v>1384</v>
      </c>
      <c r="N185" t="s">
        <v>1385</v>
      </c>
      <c r="O185" t="s">
        <v>1386</v>
      </c>
      <c r="P185" t="s">
        <v>1387</v>
      </c>
      <c r="Q185" t="s">
        <v>1786</v>
      </c>
    </row>
    <row r="186" spans="1:17" x14ac:dyDescent="0.25">
      <c r="A186" t="s">
        <v>39</v>
      </c>
      <c r="B186" t="s">
        <v>1796</v>
      </c>
      <c r="C186" t="s">
        <v>334</v>
      </c>
      <c r="D186" t="s">
        <v>1424</v>
      </c>
      <c r="E186">
        <v>60500</v>
      </c>
      <c r="F186" t="s">
        <v>1446</v>
      </c>
      <c r="G186" t="s">
        <v>1797</v>
      </c>
      <c r="H186" t="s">
        <v>1547</v>
      </c>
      <c r="I186" t="s">
        <v>1412</v>
      </c>
      <c r="J186" t="s">
        <v>1384</v>
      </c>
      <c r="K186" t="b">
        <v>1</v>
      </c>
      <c r="L186" t="b">
        <v>0</v>
      </c>
      <c r="M186" t="s">
        <v>1384</v>
      </c>
      <c r="N186" t="s">
        <v>1385</v>
      </c>
      <c r="O186" t="s">
        <v>1386</v>
      </c>
      <c r="P186" t="s">
        <v>1387</v>
      </c>
      <c r="Q186" t="s">
        <v>1786</v>
      </c>
    </row>
    <row r="187" spans="1:17" x14ac:dyDescent="0.25">
      <c r="A187" t="s">
        <v>39</v>
      </c>
      <c r="B187" t="s">
        <v>1798</v>
      </c>
      <c r="C187" t="s">
        <v>334</v>
      </c>
      <c r="D187" t="s">
        <v>1428</v>
      </c>
      <c r="E187">
        <v>58000</v>
      </c>
      <c r="F187" t="s">
        <v>1446</v>
      </c>
      <c r="G187" t="s">
        <v>1799</v>
      </c>
      <c r="H187" t="s">
        <v>1547</v>
      </c>
      <c r="I187" t="s">
        <v>1565</v>
      </c>
      <c r="J187" t="s">
        <v>1384</v>
      </c>
      <c r="K187" t="b">
        <v>1</v>
      </c>
      <c r="L187" t="b">
        <v>0</v>
      </c>
      <c r="M187" t="s">
        <v>1384</v>
      </c>
      <c r="N187" t="s">
        <v>1385</v>
      </c>
      <c r="O187" t="s">
        <v>1386</v>
      </c>
      <c r="P187" t="s">
        <v>1387</v>
      </c>
      <c r="Q187" t="s">
        <v>1786</v>
      </c>
    </row>
    <row r="188" spans="1:17" x14ac:dyDescent="0.25">
      <c r="A188" t="s">
        <v>39</v>
      </c>
      <c r="B188" t="s">
        <v>1800</v>
      </c>
      <c r="C188" t="s">
        <v>334</v>
      </c>
      <c r="D188" t="s">
        <v>1432</v>
      </c>
      <c r="E188">
        <v>58750</v>
      </c>
      <c r="F188" t="s">
        <v>1446</v>
      </c>
      <c r="G188" t="s">
        <v>1801</v>
      </c>
      <c r="H188" t="s">
        <v>1547</v>
      </c>
      <c r="I188" t="s">
        <v>1418</v>
      </c>
      <c r="J188" t="s">
        <v>1384</v>
      </c>
      <c r="K188" t="b">
        <v>1</v>
      </c>
      <c r="L188" t="b">
        <v>0</v>
      </c>
      <c r="M188" t="s">
        <v>1384</v>
      </c>
      <c r="N188" t="s">
        <v>1385</v>
      </c>
      <c r="O188" t="s">
        <v>1386</v>
      </c>
      <c r="P188" t="s">
        <v>1387</v>
      </c>
      <c r="Q188" t="s">
        <v>1786</v>
      </c>
    </row>
    <row r="189" spans="1:17" x14ac:dyDescent="0.25">
      <c r="A189" t="s">
        <v>39</v>
      </c>
      <c r="B189" t="s">
        <v>1802</v>
      </c>
      <c r="C189" t="s">
        <v>334</v>
      </c>
      <c r="D189" t="s">
        <v>1436</v>
      </c>
      <c r="E189">
        <v>56082</v>
      </c>
      <c r="F189" t="s">
        <v>1446</v>
      </c>
      <c r="G189" t="s">
        <v>1803</v>
      </c>
      <c r="H189" t="s">
        <v>1547</v>
      </c>
      <c r="I189" t="s">
        <v>1422</v>
      </c>
      <c r="J189" t="s">
        <v>1384</v>
      </c>
      <c r="K189" t="b">
        <v>1</v>
      </c>
      <c r="L189" t="b">
        <v>0</v>
      </c>
      <c r="M189" t="s">
        <v>1384</v>
      </c>
      <c r="N189" t="s">
        <v>1385</v>
      </c>
      <c r="O189" t="s">
        <v>1386</v>
      </c>
      <c r="P189" t="s">
        <v>1387</v>
      </c>
      <c r="Q189" t="s">
        <v>1786</v>
      </c>
    </row>
    <row r="190" spans="1:17" x14ac:dyDescent="0.25">
      <c r="A190" t="s">
        <v>39</v>
      </c>
      <c r="B190" t="s">
        <v>1804</v>
      </c>
      <c r="C190" t="s">
        <v>334</v>
      </c>
      <c r="D190" t="s">
        <v>1439</v>
      </c>
      <c r="E190">
        <v>55097</v>
      </c>
      <c r="F190" t="s">
        <v>1446</v>
      </c>
      <c r="G190" t="s">
        <v>1805</v>
      </c>
      <c r="H190" t="s">
        <v>1547</v>
      </c>
      <c r="I190" t="s">
        <v>1426</v>
      </c>
      <c r="J190" t="s">
        <v>1384</v>
      </c>
      <c r="K190" t="b">
        <v>1</v>
      </c>
      <c r="L190" t="b">
        <v>0</v>
      </c>
      <c r="M190" t="s">
        <v>1384</v>
      </c>
      <c r="N190" t="s">
        <v>1385</v>
      </c>
      <c r="O190" t="s">
        <v>1386</v>
      </c>
      <c r="P190" t="s">
        <v>1387</v>
      </c>
      <c r="Q190" t="s">
        <v>1786</v>
      </c>
    </row>
    <row r="191" spans="1:17" x14ac:dyDescent="0.25">
      <c r="A191" t="s">
        <v>39</v>
      </c>
      <c r="B191" t="s">
        <v>1806</v>
      </c>
      <c r="C191" t="s">
        <v>334</v>
      </c>
      <c r="D191" t="s">
        <v>1442</v>
      </c>
      <c r="E191">
        <v>68836</v>
      </c>
      <c r="F191" t="s">
        <v>1446</v>
      </c>
      <c r="G191" t="s">
        <v>1807</v>
      </c>
      <c r="H191" t="s">
        <v>1547</v>
      </c>
      <c r="I191" t="s">
        <v>1565</v>
      </c>
      <c r="J191" t="s">
        <v>1384</v>
      </c>
      <c r="K191" t="b">
        <v>1</v>
      </c>
      <c r="L191" t="b">
        <v>0</v>
      </c>
      <c r="M191" t="s">
        <v>1384</v>
      </c>
      <c r="N191" t="s">
        <v>1385</v>
      </c>
      <c r="O191" t="s">
        <v>1386</v>
      </c>
      <c r="P191" t="s">
        <v>1387</v>
      </c>
      <c r="Q191" t="s">
        <v>1808</v>
      </c>
    </row>
    <row r="192" spans="1:17" x14ac:dyDescent="0.25">
      <c r="A192" t="s">
        <v>39</v>
      </c>
      <c r="B192" t="s">
        <v>1809</v>
      </c>
      <c r="C192" t="s">
        <v>336</v>
      </c>
      <c r="D192" t="s">
        <v>1379</v>
      </c>
      <c r="E192">
        <v>24626</v>
      </c>
      <c r="F192" t="s">
        <v>1446</v>
      </c>
      <c r="G192" t="s">
        <v>1810</v>
      </c>
      <c r="H192" t="s">
        <v>1547</v>
      </c>
      <c r="I192" t="s">
        <v>1811</v>
      </c>
      <c r="J192" t="s">
        <v>1384</v>
      </c>
      <c r="K192" t="b">
        <v>1</v>
      </c>
      <c r="L192" t="b">
        <v>0</v>
      </c>
      <c r="M192" t="s">
        <v>1384</v>
      </c>
      <c r="N192" t="s">
        <v>1385</v>
      </c>
      <c r="O192" t="s">
        <v>1386</v>
      </c>
      <c r="P192" t="s">
        <v>1387</v>
      </c>
      <c r="Q192" t="s">
        <v>1812</v>
      </c>
    </row>
    <row r="193" spans="1:17" x14ac:dyDescent="0.25">
      <c r="A193" t="s">
        <v>39</v>
      </c>
      <c r="B193" t="s">
        <v>1813</v>
      </c>
      <c r="C193" t="s">
        <v>336</v>
      </c>
      <c r="D193" t="s">
        <v>1390</v>
      </c>
      <c r="E193">
        <v>29103</v>
      </c>
      <c r="F193" t="s">
        <v>1446</v>
      </c>
      <c r="G193" t="s">
        <v>1814</v>
      </c>
      <c r="H193" t="s">
        <v>1547</v>
      </c>
      <c r="I193" t="s">
        <v>1815</v>
      </c>
      <c r="J193" t="s">
        <v>1384</v>
      </c>
      <c r="K193" t="b">
        <v>1</v>
      </c>
      <c r="L193" t="b">
        <v>0</v>
      </c>
      <c r="M193" t="s">
        <v>1384</v>
      </c>
      <c r="N193" t="s">
        <v>1385</v>
      </c>
      <c r="O193" t="s">
        <v>1386</v>
      </c>
      <c r="P193" t="s">
        <v>1387</v>
      </c>
      <c r="Q193" t="s">
        <v>1812</v>
      </c>
    </row>
    <row r="194" spans="1:17" x14ac:dyDescent="0.25">
      <c r="A194" t="s">
        <v>39</v>
      </c>
      <c r="B194" t="s">
        <v>1816</v>
      </c>
      <c r="C194" t="s">
        <v>336</v>
      </c>
      <c r="D194" t="s">
        <v>1394</v>
      </c>
      <c r="E194">
        <v>29960</v>
      </c>
      <c r="F194" t="s">
        <v>1446</v>
      </c>
      <c r="G194" t="s">
        <v>1817</v>
      </c>
      <c r="H194" t="s">
        <v>1547</v>
      </c>
      <c r="I194" t="s">
        <v>1818</v>
      </c>
      <c r="J194" t="s">
        <v>1384</v>
      </c>
      <c r="K194" t="b">
        <v>1</v>
      </c>
      <c r="L194" t="b">
        <v>0</v>
      </c>
      <c r="M194" t="s">
        <v>1384</v>
      </c>
      <c r="N194" t="s">
        <v>1385</v>
      </c>
      <c r="O194" t="s">
        <v>1386</v>
      </c>
      <c r="P194" t="s">
        <v>1387</v>
      </c>
      <c r="Q194" t="s">
        <v>1812</v>
      </c>
    </row>
    <row r="195" spans="1:17" x14ac:dyDescent="0.25">
      <c r="A195" t="s">
        <v>39</v>
      </c>
      <c r="B195" t="s">
        <v>1819</v>
      </c>
      <c r="C195" t="s">
        <v>336</v>
      </c>
      <c r="D195" t="s">
        <v>1398</v>
      </c>
      <c r="E195">
        <v>35419</v>
      </c>
      <c r="F195" t="s">
        <v>1446</v>
      </c>
      <c r="G195" t="s">
        <v>1820</v>
      </c>
      <c r="H195" t="s">
        <v>1547</v>
      </c>
      <c r="I195" t="s">
        <v>1690</v>
      </c>
      <c r="J195" t="s">
        <v>1384</v>
      </c>
      <c r="K195" t="b">
        <v>1</v>
      </c>
      <c r="L195" t="b">
        <v>0</v>
      </c>
      <c r="M195" t="s">
        <v>1384</v>
      </c>
      <c r="N195" t="s">
        <v>1385</v>
      </c>
      <c r="O195" t="s">
        <v>1386</v>
      </c>
      <c r="P195" t="s">
        <v>1387</v>
      </c>
      <c r="Q195" t="s">
        <v>1812</v>
      </c>
    </row>
    <row r="196" spans="1:17" x14ac:dyDescent="0.25">
      <c r="A196" t="s">
        <v>39</v>
      </c>
      <c r="B196" t="s">
        <v>1821</v>
      </c>
      <c r="C196" t="s">
        <v>336</v>
      </c>
      <c r="D196" t="s">
        <v>1402</v>
      </c>
      <c r="E196">
        <v>36807</v>
      </c>
      <c r="F196" t="s">
        <v>1446</v>
      </c>
      <c r="G196" t="s">
        <v>1822</v>
      </c>
      <c r="H196" t="s">
        <v>1547</v>
      </c>
      <c r="I196" t="s">
        <v>1823</v>
      </c>
      <c r="J196" t="s">
        <v>1384</v>
      </c>
      <c r="K196" t="b">
        <v>1</v>
      </c>
      <c r="L196" t="b">
        <v>0</v>
      </c>
      <c r="M196" t="s">
        <v>1384</v>
      </c>
      <c r="N196" t="s">
        <v>1385</v>
      </c>
      <c r="O196" t="s">
        <v>1386</v>
      </c>
      <c r="P196" t="s">
        <v>1387</v>
      </c>
      <c r="Q196" t="s">
        <v>1812</v>
      </c>
    </row>
    <row r="197" spans="1:17" x14ac:dyDescent="0.25">
      <c r="A197" t="s">
        <v>39</v>
      </c>
      <c r="B197" t="s">
        <v>1824</v>
      </c>
      <c r="C197" t="s">
        <v>336</v>
      </c>
      <c r="D197" t="s">
        <v>1420</v>
      </c>
      <c r="E197">
        <v>42551</v>
      </c>
      <c r="F197" t="s">
        <v>1446</v>
      </c>
      <c r="G197" t="s">
        <v>1825</v>
      </c>
      <c r="H197" t="s">
        <v>1547</v>
      </c>
      <c r="I197" t="s">
        <v>1826</v>
      </c>
      <c r="J197" t="s">
        <v>1384</v>
      </c>
      <c r="K197" t="b">
        <v>1</v>
      </c>
      <c r="L197" t="b">
        <v>0</v>
      </c>
      <c r="M197" t="s">
        <v>1384</v>
      </c>
      <c r="N197" t="s">
        <v>1385</v>
      </c>
      <c r="O197" t="s">
        <v>1386</v>
      </c>
      <c r="P197" t="s">
        <v>1387</v>
      </c>
      <c r="Q197" t="s">
        <v>1812</v>
      </c>
    </row>
    <row r="198" spans="1:17" x14ac:dyDescent="0.25">
      <c r="A198" t="s">
        <v>39</v>
      </c>
      <c r="B198" t="s">
        <v>1827</v>
      </c>
      <c r="C198" t="s">
        <v>336</v>
      </c>
      <c r="D198" t="s">
        <v>1424</v>
      </c>
      <c r="E198">
        <v>48520</v>
      </c>
      <c r="F198" t="s">
        <v>1446</v>
      </c>
      <c r="G198" t="s">
        <v>1828</v>
      </c>
      <c r="H198" t="s">
        <v>1547</v>
      </c>
      <c r="I198" t="s">
        <v>1829</v>
      </c>
      <c r="J198" t="s">
        <v>1384</v>
      </c>
      <c r="K198" t="b">
        <v>1</v>
      </c>
      <c r="L198" t="b">
        <v>0</v>
      </c>
      <c r="M198" t="s">
        <v>1384</v>
      </c>
      <c r="N198" t="s">
        <v>1385</v>
      </c>
      <c r="O198" t="s">
        <v>1386</v>
      </c>
      <c r="P198" t="s">
        <v>1387</v>
      </c>
      <c r="Q198" t="s">
        <v>1812</v>
      </c>
    </row>
    <row r="199" spans="1:17" x14ac:dyDescent="0.25">
      <c r="A199" t="s">
        <v>39</v>
      </c>
      <c r="B199" t="s">
        <v>1830</v>
      </c>
      <c r="C199" t="s">
        <v>336</v>
      </c>
      <c r="D199" t="s">
        <v>1428</v>
      </c>
      <c r="E199">
        <v>48719</v>
      </c>
      <c r="F199" t="s">
        <v>1446</v>
      </c>
      <c r="G199" t="s">
        <v>1831</v>
      </c>
      <c r="H199" t="s">
        <v>1547</v>
      </c>
      <c r="I199" t="s">
        <v>1565</v>
      </c>
      <c r="J199" t="s">
        <v>1384</v>
      </c>
      <c r="K199" t="b">
        <v>1</v>
      </c>
      <c r="L199" t="b">
        <v>0</v>
      </c>
      <c r="M199" t="s">
        <v>1384</v>
      </c>
      <c r="N199" t="s">
        <v>1385</v>
      </c>
      <c r="O199" t="s">
        <v>1386</v>
      </c>
      <c r="P199" t="s">
        <v>1387</v>
      </c>
      <c r="Q199" t="s">
        <v>1832</v>
      </c>
    </row>
    <row r="200" spans="1:17" x14ac:dyDescent="0.25">
      <c r="A200" t="s">
        <v>39</v>
      </c>
      <c r="B200" t="s">
        <v>1833</v>
      </c>
      <c r="C200" t="s">
        <v>336</v>
      </c>
      <c r="D200" t="s">
        <v>1432</v>
      </c>
      <c r="E200">
        <v>49018</v>
      </c>
      <c r="F200" t="s">
        <v>1446</v>
      </c>
      <c r="G200" t="s">
        <v>1834</v>
      </c>
      <c r="H200" t="s">
        <v>1547</v>
      </c>
      <c r="I200" t="s">
        <v>1835</v>
      </c>
      <c r="J200" t="s">
        <v>1384</v>
      </c>
      <c r="K200" t="b">
        <v>1</v>
      </c>
      <c r="L200" t="b">
        <v>0</v>
      </c>
      <c r="M200" t="s">
        <v>1384</v>
      </c>
      <c r="N200" t="s">
        <v>1385</v>
      </c>
      <c r="O200" t="s">
        <v>1386</v>
      </c>
      <c r="P200" t="s">
        <v>1387</v>
      </c>
      <c r="Q200" t="s">
        <v>1812</v>
      </c>
    </row>
    <row r="201" spans="1:17" x14ac:dyDescent="0.25">
      <c r="A201" t="s">
        <v>39</v>
      </c>
      <c r="B201" t="s">
        <v>1836</v>
      </c>
      <c r="C201" t="s">
        <v>336</v>
      </c>
      <c r="D201" t="s">
        <v>1436</v>
      </c>
      <c r="E201">
        <v>54501</v>
      </c>
      <c r="F201" t="s">
        <v>1446</v>
      </c>
      <c r="G201" t="s">
        <v>1837</v>
      </c>
      <c r="H201" t="s">
        <v>1547</v>
      </c>
      <c r="I201" t="s">
        <v>1838</v>
      </c>
      <c r="J201" t="s">
        <v>1384</v>
      </c>
      <c r="K201" t="b">
        <v>1</v>
      </c>
      <c r="L201" t="b">
        <v>0</v>
      </c>
      <c r="M201" t="s">
        <v>1384</v>
      </c>
      <c r="N201" t="s">
        <v>1385</v>
      </c>
      <c r="O201" t="s">
        <v>1386</v>
      </c>
      <c r="P201" t="s">
        <v>1387</v>
      </c>
      <c r="Q201" t="s">
        <v>1812</v>
      </c>
    </row>
    <row r="202" spans="1:17" x14ac:dyDescent="0.25">
      <c r="A202" t="s">
        <v>39</v>
      </c>
      <c r="B202" t="s">
        <v>1839</v>
      </c>
      <c r="C202" t="s">
        <v>336</v>
      </c>
      <c r="D202" t="s">
        <v>1439</v>
      </c>
      <c r="E202">
        <v>57035</v>
      </c>
      <c r="F202" t="s">
        <v>1446</v>
      </c>
      <c r="G202" t="s">
        <v>1840</v>
      </c>
      <c r="H202" t="s">
        <v>1547</v>
      </c>
      <c r="I202" t="s">
        <v>1426</v>
      </c>
      <c r="J202" t="s">
        <v>1384</v>
      </c>
      <c r="K202" t="b">
        <v>1</v>
      </c>
      <c r="L202" t="b">
        <v>0</v>
      </c>
      <c r="M202" t="s">
        <v>1384</v>
      </c>
      <c r="N202" t="s">
        <v>1385</v>
      </c>
      <c r="O202" t="s">
        <v>1386</v>
      </c>
      <c r="P202" t="s">
        <v>1387</v>
      </c>
      <c r="Q202" t="s">
        <v>1812</v>
      </c>
    </row>
    <row r="203" spans="1:17" x14ac:dyDescent="0.25">
      <c r="A203" t="s">
        <v>39</v>
      </c>
      <c r="B203" t="s">
        <v>1841</v>
      </c>
      <c r="C203" t="s">
        <v>336</v>
      </c>
      <c r="D203" t="s">
        <v>1442</v>
      </c>
      <c r="E203">
        <v>54033</v>
      </c>
      <c r="F203" t="s">
        <v>1446</v>
      </c>
      <c r="G203" t="s">
        <v>1842</v>
      </c>
      <c r="H203" t="s">
        <v>1547</v>
      </c>
      <c r="I203" t="s">
        <v>1565</v>
      </c>
      <c r="J203" t="s">
        <v>1384</v>
      </c>
      <c r="K203" t="b">
        <v>1</v>
      </c>
      <c r="L203" t="b">
        <v>0</v>
      </c>
      <c r="M203" t="s">
        <v>1384</v>
      </c>
      <c r="N203" t="s">
        <v>1385</v>
      </c>
      <c r="O203" t="s">
        <v>1386</v>
      </c>
      <c r="P203" t="s">
        <v>1387</v>
      </c>
      <c r="Q203" t="s">
        <v>1843</v>
      </c>
    </row>
    <row r="204" spans="1:17" x14ac:dyDescent="0.25">
      <c r="A204" t="s">
        <v>39</v>
      </c>
      <c r="B204" t="s">
        <v>1844</v>
      </c>
      <c r="C204" t="s">
        <v>340</v>
      </c>
      <c r="D204" t="s">
        <v>1379</v>
      </c>
      <c r="E204">
        <v>72134</v>
      </c>
      <c r="F204" t="s">
        <v>1446</v>
      </c>
      <c r="G204" t="s">
        <v>1845</v>
      </c>
      <c r="H204" t="s">
        <v>1547</v>
      </c>
      <c r="I204" t="s">
        <v>1846</v>
      </c>
      <c r="J204" t="s">
        <v>1384</v>
      </c>
      <c r="K204" t="b">
        <v>1</v>
      </c>
      <c r="L204" t="b">
        <v>0</v>
      </c>
      <c r="M204" t="s">
        <v>1384</v>
      </c>
      <c r="N204" t="s">
        <v>1385</v>
      </c>
      <c r="O204" t="s">
        <v>1386</v>
      </c>
      <c r="P204" t="s">
        <v>1387</v>
      </c>
      <c r="Q204" t="s">
        <v>1847</v>
      </c>
    </row>
    <row r="205" spans="1:17" x14ac:dyDescent="0.25">
      <c r="A205" t="s">
        <v>39</v>
      </c>
      <c r="B205" t="s">
        <v>1848</v>
      </c>
      <c r="C205" t="s">
        <v>340</v>
      </c>
      <c r="D205" t="s">
        <v>1390</v>
      </c>
      <c r="E205">
        <v>79167</v>
      </c>
      <c r="F205" t="s">
        <v>1446</v>
      </c>
      <c r="G205" t="s">
        <v>1849</v>
      </c>
      <c r="H205" t="s">
        <v>1547</v>
      </c>
      <c r="I205" t="s">
        <v>1850</v>
      </c>
      <c r="J205" t="s">
        <v>1384</v>
      </c>
      <c r="K205" t="b">
        <v>1</v>
      </c>
      <c r="L205" t="b">
        <v>0</v>
      </c>
      <c r="M205" t="s">
        <v>1384</v>
      </c>
      <c r="N205" t="s">
        <v>1385</v>
      </c>
      <c r="O205" t="s">
        <v>1386</v>
      </c>
      <c r="P205" t="s">
        <v>1387</v>
      </c>
      <c r="Q205" t="s">
        <v>1847</v>
      </c>
    </row>
    <row r="206" spans="1:17" x14ac:dyDescent="0.25">
      <c r="A206" t="s">
        <v>39</v>
      </c>
      <c r="B206" t="s">
        <v>1851</v>
      </c>
      <c r="C206" t="s">
        <v>340</v>
      </c>
      <c r="D206" t="s">
        <v>1394</v>
      </c>
      <c r="E206">
        <v>84982</v>
      </c>
      <c r="F206" t="s">
        <v>1446</v>
      </c>
      <c r="G206" t="s">
        <v>1852</v>
      </c>
      <c r="H206" t="s">
        <v>1547</v>
      </c>
      <c r="I206" t="s">
        <v>1853</v>
      </c>
      <c r="J206" t="s">
        <v>1384</v>
      </c>
      <c r="K206" t="b">
        <v>1</v>
      </c>
      <c r="L206" t="b">
        <v>0</v>
      </c>
      <c r="M206" t="s">
        <v>1384</v>
      </c>
      <c r="N206" t="s">
        <v>1385</v>
      </c>
      <c r="O206" t="s">
        <v>1386</v>
      </c>
      <c r="P206" t="s">
        <v>1387</v>
      </c>
      <c r="Q206" t="s">
        <v>1847</v>
      </c>
    </row>
    <row r="207" spans="1:17" x14ac:dyDescent="0.25">
      <c r="A207" t="s">
        <v>39</v>
      </c>
      <c r="B207" t="s">
        <v>1854</v>
      </c>
      <c r="C207" t="s">
        <v>340</v>
      </c>
      <c r="D207" t="s">
        <v>1398</v>
      </c>
      <c r="E207">
        <v>91297</v>
      </c>
      <c r="F207" t="s">
        <v>1446</v>
      </c>
      <c r="G207" t="s">
        <v>1855</v>
      </c>
      <c r="H207" t="s">
        <v>1547</v>
      </c>
      <c r="I207" t="s">
        <v>1690</v>
      </c>
      <c r="J207" t="s">
        <v>1384</v>
      </c>
      <c r="K207" t="b">
        <v>1</v>
      </c>
      <c r="L207" t="b">
        <v>0</v>
      </c>
      <c r="M207" t="s">
        <v>1384</v>
      </c>
      <c r="N207" t="s">
        <v>1385</v>
      </c>
      <c r="O207" t="s">
        <v>1386</v>
      </c>
      <c r="P207" t="s">
        <v>1387</v>
      </c>
      <c r="Q207" t="s">
        <v>1847</v>
      </c>
    </row>
    <row r="208" spans="1:17" x14ac:dyDescent="0.25">
      <c r="A208" t="s">
        <v>39</v>
      </c>
      <c r="B208" t="s">
        <v>1856</v>
      </c>
      <c r="C208" t="s">
        <v>340</v>
      </c>
      <c r="D208" t="s">
        <v>1402</v>
      </c>
      <c r="E208">
        <v>96210</v>
      </c>
      <c r="F208" t="s">
        <v>1446</v>
      </c>
      <c r="G208" t="s">
        <v>1857</v>
      </c>
      <c r="H208" t="s">
        <v>1547</v>
      </c>
      <c r="I208" t="s">
        <v>1858</v>
      </c>
      <c r="J208" t="s">
        <v>1384</v>
      </c>
      <c r="K208" t="b">
        <v>1</v>
      </c>
      <c r="L208" t="b">
        <v>0</v>
      </c>
      <c r="M208" t="s">
        <v>1384</v>
      </c>
      <c r="N208" t="s">
        <v>1385</v>
      </c>
      <c r="O208" t="s">
        <v>1386</v>
      </c>
      <c r="P208" t="s">
        <v>1387</v>
      </c>
      <c r="Q208" t="s">
        <v>1847</v>
      </c>
    </row>
    <row r="209" spans="1:17" x14ac:dyDescent="0.25">
      <c r="A209" t="s">
        <v>39</v>
      </c>
      <c r="B209" t="s">
        <v>1859</v>
      </c>
      <c r="C209" t="s">
        <v>340</v>
      </c>
      <c r="D209" t="s">
        <v>1420</v>
      </c>
      <c r="E209">
        <v>102906</v>
      </c>
      <c r="F209" t="s">
        <v>1446</v>
      </c>
      <c r="G209" t="s">
        <v>1860</v>
      </c>
      <c r="H209" t="s">
        <v>1547</v>
      </c>
      <c r="I209" t="s">
        <v>1861</v>
      </c>
      <c r="J209" t="s">
        <v>1384</v>
      </c>
      <c r="K209" t="b">
        <v>1</v>
      </c>
      <c r="L209" t="b">
        <v>0</v>
      </c>
      <c r="M209" t="s">
        <v>1384</v>
      </c>
      <c r="N209" t="s">
        <v>1385</v>
      </c>
      <c r="O209" t="s">
        <v>1386</v>
      </c>
      <c r="P209" t="s">
        <v>1387</v>
      </c>
      <c r="Q209" t="s">
        <v>1847</v>
      </c>
    </row>
    <row r="210" spans="1:17" x14ac:dyDescent="0.25">
      <c r="A210" t="s">
        <v>39</v>
      </c>
      <c r="B210" t="s">
        <v>1862</v>
      </c>
      <c r="C210" t="s">
        <v>340</v>
      </c>
      <c r="D210" t="s">
        <v>1424</v>
      </c>
      <c r="E210">
        <v>108207</v>
      </c>
      <c r="F210" t="s">
        <v>1446</v>
      </c>
      <c r="G210" t="s">
        <v>1863</v>
      </c>
      <c r="H210" t="s">
        <v>1547</v>
      </c>
      <c r="I210" t="s">
        <v>1864</v>
      </c>
      <c r="J210" t="s">
        <v>1384</v>
      </c>
      <c r="K210" t="b">
        <v>1</v>
      </c>
      <c r="L210" t="b">
        <v>0</v>
      </c>
      <c r="M210" t="s">
        <v>1384</v>
      </c>
      <c r="N210" t="s">
        <v>1385</v>
      </c>
      <c r="O210" t="s">
        <v>1386</v>
      </c>
      <c r="P210" t="s">
        <v>1387</v>
      </c>
      <c r="Q210" t="s">
        <v>1847</v>
      </c>
    </row>
    <row r="211" spans="1:17" x14ac:dyDescent="0.25">
      <c r="A211" t="s">
        <v>39</v>
      </c>
      <c r="B211" t="s">
        <v>1865</v>
      </c>
      <c r="C211" t="s">
        <v>340</v>
      </c>
      <c r="D211" t="s">
        <v>1428</v>
      </c>
      <c r="E211">
        <v>113138</v>
      </c>
      <c r="F211" t="s">
        <v>1446</v>
      </c>
      <c r="G211" t="s">
        <v>1866</v>
      </c>
      <c r="H211" t="s">
        <v>1547</v>
      </c>
      <c r="I211" t="s">
        <v>1565</v>
      </c>
      <c r="J211" t="s">
        <v>1384</v>
      </c>
      <c r="K211" t="b">
        <v>1</v>
      </c>
      <c r="L211" t="b">
        <v>0</v>
      </c>
      <c r="M211" t="s">
        <v>1384</v>
      </c>
      <c r="N211" t="s">
        <v>1385</v>
      </c>
      <c r="O211" t="s">
        <v>1386</v>
      </c>
      <c r="P211" t="s">
        <v>1387</v>
      </c>
      <c r="Q211" t="s">
        <v>1867</v>
      </c>
    </row>
    <row r="212" spans="1:17" x14ac:dyDescent="0.25">
      <c r="A212" t="s">
        <v>39</v>
      </c>
      <c r="B212" t="s">
        <v>1868</v>
      </c>
      <c r="C212" t="s">
        <v>340</v>
      </c>
      <c r="D212" t="s">
        <v>1432</v>
      </c>
      <c r="E212">
        <v>116788</v>
      </c>
      <c r="F212" t="s">
        <v>1446</v>
      </c>
      <c r="G212" t="s">
        <v>1869</v>
      </c>
      <c r="H212" t="s">
        <v>1547</v>
      </c>
      <c r="I212" t="s">
        <v>1870</v>
      </c>
      <c r="J212" t="s">
        <v>1384</v>
      </c>
      <c r="K212" t="b">
        <v>1</v>
      </c>
      <c r="L212" t="b">
        <v>0</v>
      </c>
      <c r="M212" t="s">
        <v>1384</v>
      </c>
      <c r="N212" t="s">
        <v>1385</v>
      </c>
      <c r="O212" t="s">
        <v>1386</v>
      </c>
      <c r="P212" t="s">
        <v>1387</v>
      </c>
      <c r="Q212" t="s">
        <v>1847</v>
      </c>
    </row>
    <row r="213" spans="1:17" x14ac:dyDescent="0.25">
      <c r="A213" t="s">
        <v>39</v>
      </c>
      <c r="B213" t="s">
        <v>1871</v>
      </c>
      <c r="C213" t="s">
        <v>340</v>
      </c>
      <c r="D213" t="s">
        <v>1436</v>
      </c>
      <c r="E213">
        <v>123198</v>
      </c>
      <c r="F213" t="s">
        <v>1446</v>
      </c>
      <c r="G213" t="s">
        <v>1872</v>
      </c>
      <c r="H213" t="s">
        <v>1547</v>
      </c>
      <c r="I213" t="s">
        <v>1873</v>
      </c>
      <c r="J213" t="s">
        <v>1384</v>
      </c>
      <c r="K213" t="b">
        <v>1</v>
      </c>
      <c r="L213" t="b">
        <v>0</v>
      </c>
      <c r="M213" t="s">
        <v>1384</v>
      </c>
      <c r="N213" t="s">
        <v>1385</v>
      </c>
      <c r="O213" t="s">
        <v>1386</v>
      </c>
      <c r="P213" t="s">
        <v>1387</v>
      </c>
      <c r="Q213" t="s">
        <v>1847</v>
      </c>
    </row>
    <row r="214" spans="1:17" x14ac:dyDescent="0.25">
      <c r="A214" t="s">
        <v>39</v>
      </c>
      <c r="B214" t="s">
        <v>1874</v>
      </c>
      <c r="C214" t="s">
        <v>340</v>
      </c>
      <c r="D214" t="s">
        <v>1439</v>
      </c>
      <c r="E214">
        <v>127954</v>
      </c>
      <c r="F214" t="s">
        <v>1446</v>
      </c>
      <c r="G214" t="s">
        <v>1875</v>
      </c>
      <c r="H214" t="s">
        <v>1547</v>
      </c>
      <c r="I214" t="s">
        <v>1426</v>
      </c>
      <c r="J214" t="s">
        <v>1384</v>
      </c>
      <c r="K214" t="b">
        <v>1</v>
      </c>
      <c r="L214" t="b">
        <v>0</v>
      </c>
      <c r="M214" t="s">
        <v>1384</v>
      </c>
      <c r="N214" t="s">
        <v>1385</v>
      </c>
      <c r="O214" t="s">
        <v>1386</v>
      </c>
      <c r="P214" t="s">
        <v>1387</v>
      </c>
      <c r="Q214" t="s">
        <v>1847</v>
      </c>
    </row>
    <row r="215" spans="1:17" x14ac:dyDescent="0.25">
      <c r="A215" t="s">
        <v>39</v>
      </c>
      <c r="B215" t="s">
        <v>1876</v>
      </c>
      <c r="C215" t="s">
        <v>340</v>
      </c>
      <c r="D215" t="s">
        <v>1442</v>
      </c>
      <c r="E215">
        <v>132299</v>
      </c>
      <c r="F215" t="s">
        <v>1446</v>
      </c>
      <c r="G215" t="s">
        <v>1877</v>
      </c>
      <c r="H215" t="s">
        <v>1547</v>
      </c>
      <c r="I215" t="s">
        <v>1565</v>
      </c>
      <c r="J215" t="s">
        <v>1384</v>
      </c>
      <c r="K215" t="b">
        <v>1</v>
      </c>
      <c r="L215" t="b">
        <v>0</v>
      </c>
      <c r="M215" t="s">
        <v>1384</v>
      </c>
      <c r="N215" t="s">
        <v>1385</v>
      </c>
      <c r="O215" t="s">
        <v>1386</v>
      </c>
      <c r="P215" t="s">
        <v>1387</v>
      </c>
      <c r="Q215" t="s">
        <v>1878</v>
      </c>
    </row>
    <row r="216" spans="1:17" x14ac:dyDescent="0.25">
      <c r="A216" t="s">
        <v>39</v>
      </c>
      <c r="B216" t="s">
        <v>1879</v>
      </c>
      <c r="C216" t="s">
        <v>341</v>
      </c>
      <c r="D216" t="s">
        <v>1379</v>
      </c>
      <c r="E216">
        <v>86365</v>
      </c>
      <c r="F216" t="s">
        <v>1380</v>
      </c>
      <c r="G216" t="s">
        <v>1880</v>
      </c>
      <c r="H216" t="s">
        <v>1547</v>
      </c>
      <c r="I216" t="s">
        <v>1548</v>
      </c>
      <c r="J216" t="s">
        <v>1384</v>
      </c>
      <c r="K216" t="b">
        <v>1</v>
      </c>
      <c r="L216" t="b">
        <v>0</v>
      </c>
      <c r="M216" t="s">
        <v>1384</v>
      </c>
      <c r="N216" t="s">
        <v>1385</v>
      </c>
      <c r="O216" t="s">
        <v>1386</v>
      </c>
      <c r="P216" t="s">
        <v>1387</v>
      </c>
      <c r="Q216" t="s">
        <v>1384</v>
      </c>
    </row>
    <row r="217" spans="1:17" x14ac:dyDescent="0.25">
      <c r="A217" t="s">
        <v>39</v>
      </c>
      <c r="B217" t="s">
        <v>1881</v>
      </c>
      <c r="C217" t="s">
        <v>341</v>
      </c>
      <c r="D217" t="s">
        <v>1390</v>
      </c>
      <c r="E217">
        <v>93115</v>
      </c>
      <c r="F217" t="s">
        <v>1380</v>
      </c>
      <c r="G217" t="s">
        <v>1882</v>
      </c>
      <c r="H217" t="s">
        <v>1547</v>
      </c>
      <c r="I217" t="s">
        <v>1392</v>
      </c>
      <c r="J217" t="s">
        <v>1384</v>
      </c>
      <c r="K217" t="b">
        <v>1</v>
      </c>
      <c r="L217" t="b">
        <v>0</v>
      </c>
      <c r="M217" t="s">
        <v>1384</v>
      </c>
      <c r="N217" t="s">
        <v>1385</v>
      </c>
      <c r="O217" t="s">
        <v>1386</v>
      </c>
      <c r="P217" t="s">
        <v>1387</v>
      </c>
      <c r="Q217" t="s">
        <v>1384</v>
      </c>
    </row>
    <row r="218" spans="1:17" x14ac:dyDescent="0.25">
      <c r="A218" t="s">
        <v>39</v>
      </c>
      <c r="B218" t="s">
        <v>1883</v>
      </c>
      <c r="C218" t="s">
        <v>341</v>
      </c>
      <c r="D218" t="s">
        <v>1394</v>
      </c>
      <c r="E218">
        <v>102994</v>
      </c>
      <c r="F218" t="s">
        <v>1380</v>
      </c>
      <c r="G218" t="s">
        <v>1884</v>
      </c>
      <c r="H218" t="s">
        <v>1547</v>
      </c>
      <c r="I218" t="s">
        <v>1396</v>
      </c>
      <c r="J218" t="s">
        <v>1384</v>
      </c>
      <c r="K218" t="b">
        <v>1</v>
      </c>
      <c r="L218" t="b">
        <v>0</v>
      </c>
      <c r="M218" t="s">
        <v>1384</v>
      </c>
      <c r="N218" t="s">
        <v>1385</v>
      </c>
      <c r="O218" t="s">
        <v>1386</v>
      </c>
      <c r="P218" t="s">
        <v>1387</v>
      </c>
      <c r="Q218" t="s">
        <v>1384</v>
      </c>
    </row>
    <row r="219" spans="1:17" x14ac:dyDescent="0.25">
      <c r="A219" t="s">
        <v>39</v>
      </c>
      <c r="B219" t="s">
        <v>1885</v>
      </c>
      <c r="C219" t="s">
        <v>341</v>
      </c>
      <c r="D219" t="s">
        <v>1398</v>
      </c>
      <c r="E219">
        <v>113618</v>
      </c>
      <c r="F219" t="s">
        <v>1380</v>
      </c>
      <c r="G219" t="s">
        <v>1886</v>
      </c>
      <c r="H219" t="s">
        <v>1547</v>
      </c>
      <c r="I219" t="s">
        <v>1556</v>
      </c>
      <c r="J219" t="s">
        <v>1384</v>
      </c>
      <c r="K219" t="b">
        <v>1</v>
      </c>
      <c r="L219" t="b">
        <v>0</v>
      </c>
      <c r="M219" t="s">
        <v>1384</v>
      </c>
      <c r="N219" t="s">
        <v>1385</v>
      </c>
      <c r="O219" t="s">
        <v>1386</v>
      </c>
      <c r="P219" t="s">
        <v>1387</v>
      </c>
      <c r="Q219" t="s">
        <v>1384</v>
      </c>
    </row>
    <row r="220" spans="1:17" x14ac:dyDescent="0.25">
      <c r="A220" t="s">
        <v>39</v>
      </c>
      <c r="B220" t="s">
        <v>1887</v>
      </c>
      <c r="C220" t="s">
        <v>341</v>
      </c>
      <c r="D220" t="s">
        <v>1402</v>
      </c>
      <c r="E220">
        <v>124049</v>
      </c>
      <c r="F220" t="s">
        <v>1380</v>
      </c>
      <c r="G220" t="s">
        <v>1888</v>
      </c>
      <c r="H220" t="s">
        <v>1547</v>
      </c>
      <c r="I220" t="s">
        <v>1383</v>
      </c>
      <c r="J220" t="s">
        <v>1384</v>
      </c>
      <c r="K220" t="b">
        <v>1</v>
      </c>
      <c r="L220" t="b">
        <v>0</v>
      </c>
      <c r="M220" t="s">
        <v>1384</v>
      </c>
      <c r="N220" t="s">
        <v>1385</v>
      </c>
      <c r="O220" t="s">
        <v>1386</v>
      </c>
      <c r="P220" t="s">
        <v>1387</v>
      </c>
      <c r="Q220" t="s">
        <v>1384</v>
      </c>
    </row>
    <row r="221" spans="1:17" x14ac:dyDescent="0.25">
      <c r="A221" t="s">
        <v>39</v>
      </c>
      <c r="B221" t="s">
        <v>1889</v>
      </c>
      <c r="C221" t="s">
        <v>341</v>
      </c>
      <c r="D221" t="s">
        <v>1420</v>
      </c>
      <c r="E221">
        <v>137534</v>
      </c>
      <c r="F221" t="s">
        <v>1380</v>
      </c>
      <c r="G221" t="s">
        <v>1890</v>
      </c>
      <c r="H221" t="s">
        <v>1547</v>
      </c>
      <c r="I221" t="s">
        <v>1409</v>
      </c>
      <c r="J221" t="s">
        <v>1384</v>
      </c>
      <c r="K221" t="b">
        <v>1</v>
      </c>
      <c r="L221" t="b">
        <v>0</v>
      </c>
      <c r="M221" t="s">
        <v>1384</v>
      </c>
      <c r="N221" t="s">
        <v>1385</v>
      </c>
      <c r="O221" t="s">
        <v>1386</v>
      </c>
      <c r="P221" t="s">
        <v>1387</v>
      </c>
      <c r="Q221" t="s">
        <v>1384</v>
      </c>
    </row>
    <row r="222" spans="1:17" x14ac:dyDescent="0.25">
      <c r="A222" t="s">
        <v>39</v>
      </c>
      <c r="B222" t="s">
        <v>1891</v>
      </c>
      <c r="C222" t="s">
        <v>341</v>
      </c>
      <c r="D222" t="s">
        <v>1424</v>
      </c>
      <c r="E222">
        <v>152862</v>
      </c>
      <c r="F222" t="s">
        <v>1380</v>
      </c>
      <c r="G222" t="s">
        <v>1892</v>
      </c>
      <c r="H222" t="s">
        <v>1547</v>
      </c>
      <c r="I222" t="s">
        <v>1412</v>
      </c>
      <c r="J222" t="s">
        <v>1384</v>
      </c>
      <c r="K222" t="b">
        <v>1</v>
      </c>
      <c r="L222" t="b">
        <v>0</v>
      </c>
      <c r="M222" t="s">
        <v>1384</v>
      </c>
      <c r="N222" t="s">
        <v>1385</v>
      </c>
      <c r="O222" t="s">
        <v>1386</v>
      </c>
      <c r="P222" t="s">
        <v>1387</v>
      </c>
      <c r="Q222" t="s">
        <v>1384</v>
      </c>
    </row>
    <row r="223" spans="1:17" x14ac:dyDescent="0.25">
      <c r="A223" t="s">
        <v>39</v>
      </c>
      <c r="B223" t="s">
        <v>1893</v>
      </c>
      <c r="C223" t="s">
        <v>341</v>
      </c>
      <c r="D223" t="s">
        <v>1428</v>
      </c>
      <c r="E223">
        <v>172866</v>
      </c>
      <c r="F223" t="s">
        <v>1380</v>
      </c>
      <c r="G223" t="s">
        <v>1894</v>
      </c>
      <c r="H223" t="s">
        <v>1547</v>
      </c>
      <c r="I223" t="s">
        <v>1565</v>
      </c>
      <c r="J223" t="s">
        <v>1384</v>
      </c>
      <c r="K223" t="b">
        <v>1</v>
      </c>
      <c r="L223" t="b">
        <v>0</v>
      </c>
      <c r="M223" t="s">
        <v>1384</v>
      </c>
      <c r="N223" t="s">
        <v>1385</v>
      </c>
      <c r="O223" t="s">
        <v>1386</v>
      </c>
      <c r="P223" t="s">
        <v>1387</v>
      </c>
      <c r="Q223" t="s">
        <v>1384</v>
      </c>
    </row>
    <row r="224" spans="1:17" x14ac:dyDescent="0.25">
      <c r="A224" t="s">
        <v>39</v>
      </c>
      <c r="B224" t="s">
        <v>1895</v>
      </c>
      <c r="C224" t="s">
        <v>341</v>
      </c>
      <c r="D224" t="s">
        <v>1432</v>
      </c>
      <c r="E224">
        <v>189993</v>
      </c>
      <c r="F224" t="s">
        <v>1380</v>
      </c>
      <c r="G224" t="s">
        <v>1896</v>
      </c>
      <c r="H224" t="s">
        <v>1547</v>
      </c>
      <c r="I224" t="s">
        <v>1418</v>
      </c>
      <c r="J224" t="s">
        <v>1384</v>
      </c>
      <c r="K224" t="b">
        <v>1</v>
      </c>
      <c r="L224" t="b">
        <v>0</v>
      </c>
      <c r="M224" t="s">
        <v>1384</v>
      </c>
      <c r="N224" t="s">
        <v>1385</v>
      </c>
      <c r="O224" t="s">
        <v>1386</v>
      </c>
      <c r="P224" t="s">
        <v>1387</v>
      </c>
      <c r="Q224" t="s">
        <v>1384</v>
      </c>
    </row>
    <row r="225" spans="1:17" x14ac:dyDescent="0.25">
      <c r="A225" t="s">
        <v>39</v>
      </c>
      <c r="B225" t="s">
        <v>1897</v>
      </c>
      <c r="C225" t="s">
        <v>341</v>
      </c>
      <c r="D225" t="s">
        <v>1436</v>
      </c>
      <c r="E225">
        <v>208157</v>
      </c>
      <c r="F225" t="s">
        <v>1380</v>
      </c>
      <c r="G225" t="s">
        <v>1898</v>
      </c>
      <c r="H225" t="s">
        <v>1547</v>
      </c>
      <c r="I225" t="s">
        <v>1422</v>
      </c>
      <c r="J225" t="s">
        <v>1384</v>
      </c>
      <c r="K225" t="b">
        <v>1</v>
      </c>
      <c r="L225" t="b">
        <v>0</v>
      </c>
      <c r="M225" t="s">
        <v>1384</v>
      </c>
      <c r="N225" t="s">
        <v>1385</v>
      </c>
      <c r="O225" t="s">
        <v>1386</v>
      </c>
      <c r="P225" t="s">
        <v>1387</v>
      </c>
      <c r="Q225" t="s">
        <v>1384</v>
      </c>
    </row>
    <row r="226" spans="1:17" x14ac:dyDescent="0.25">
      <c r="A226" t="s">
        <v>39</v>
      </c>
      <c r="B226" t="s">
        <v>1899</v>
      </c>
      <c r="C226" t="s">
        <v>341</v>
      </c>
      <c r="D226" t="s">
        <v>1439</v>
      </c>
      <c r="E226">
        <v>229344</v>
      </c>
      <c r="F226" t="s">
        <v>1380</v>
      </c>
      <c r="G226" t="s">
        <v>1900</v>
      </c>
      <c r="H226" t="s">
        <v>1547</v>
      </c>
      <c r="I226" t="s">
        <v>1426</v>
      </c>
      <c r="J226" t="s">
        <v>1384</v>
      </c>
      <c r="K226" t="b">
        <v>1</v>
      </c>
      <c r="L226" t="b">
        <v>0</v>
      </c>
      <c r="M226" t="s">
        <v>1384</v>
      </c>
      <c r="N226" t="s">
        <v>1385</v>
      </c>
      <c r="O226" t="s">
        <v>1386</v>
      </c>
      <c r="P226" t="s">
        <v>1387</v>
      </c>
      <c r="Q226" t="s">
        <v>1384</v>
      </c>
    </row>
    <row r="227" spans="1:17" x14ac:dyDescent="0.25">
      <c r="A227" t="s">
        <v>39</v>
      </c>
      <c r="B227" t="s">
        <v>1901</v>
      </c>
      <c r="C227" t="s">
        <v>341</v>
      </c>
      <c r="D227" t="s">
        <v>1442</v>
      </c>
      <c r="E227">
        <v>250536</v>
      </c>
      <c r="F227" t="s">
        <v>1380</v>
      </c>
      <c r="G227" t="s">
        <v>1902</v>
      </c>
      <c r="H227" t="s">
        <v>1547</v>
      </c>
      <c r="I227" t="s">
        <v>1565</v>
      </c>
      <c r="J227" t="s">
        <v>1384</v>
      </c>
      <c r="K227" t="b">
        <v>1</v>
      </c>
      <c r="L227" t="b">
        <v>0</v>
      </c>
      <c r="M227" t="s">
        <v>1384</v>
      </c>
      <c r="N227" t="s">
        <v>1385</v>
      </c>
      <c r="O227" t="s">
        <v>1386</v>
      </c>
      <c r="P227" t="s">
        <v>1387</v>
      </c>
      <c r="Q227" t="s">
        <v>1384</v>
      </c>
    </row>
    <row r="228" spans="1:17" x14ac:dyDescent="0.25">
      <c r="A228" t="s">
        <v>39</v>
      </c>
      <c r="B228" t="s">
        <v>1903</v>
      </c>
      <c r="C228" t="s">
        <v>1904</v>
      </c>
      <c r="D228" t="s">
        <v>1379</v>
      </c>
      <c r="E228">
        <v>0</v>
      </c>
      <c r="F228" t="s">
        <v>1446</v>
      </c>
      <c r="G228" t="s">
        <v>1905</v>
      </c>
      <c r="H228" t="s">
        <v>1547</v>
      </c>
      <c r="I228" t="s">
        <v>1384</v>
      </c>
      <c r="J228" t="s">
        <v>1384</v>
      </c>
      <c r="K228" t="b">
        <v>1</v>
      </c>
      <c r="L228" t="b">
        <v>0</v>
      </c>
      <c r="M228" t="s">
        <v>1384</v>
      </c>
      <c r="N228" t="s">
        <v>1385</v>
      </c>
      <c r="O228" t="s">
        <v>1386</v>
      </c>
      <c r="P228" t="s">
        <v>1387</v>
      </c>
      <c r="Q228" t="s">
        <v>1906</v>
      </c>
    </row>
    <row r="229" spans="1:17" x14ac:dyDescent="0.25">
      <c r="A229" t="s">
        <v>39</v>
      </c>
      <c r="B229" t="s">
        <v>1907</v>
      </c>
      <c r="C229" t="s">
        <v>1904</v>
      </c>
      <c r="D229" t="s">
        <v>1390</v>
      </c>
      <c r="E229">
        <v>0</v>
      </c>
      <c r="F229" t="s">
        <v>1446</v>
      </c>
      <c r="G229" t="s">
        <v>1905</v>
      </c>
      <c r="H229" t="s">
        <v>1547</v>
      </c>
      <c r="I229" t="s">
        <v>1384</v>
      </c>
      <c r="J229" t="s">
        <v>1384</v>
      </c>
      <c r="K229" t="b">
        <v>1</v>
      </c>
      <c r="L229" t="b">
        <v>0</v>
      </c>
      <c r="M229" t="s">
        <v>1384</v>
      </c>
      <c r="N229" t="s">
        <v>1385</v>
      </c>
      <c r="O229" t="s">
        <v>1386</v>
      </c>
      <c r="P229" t="s">
        <v>1387</v>
      </c>
      <c r="Q229" t="s">
        <v>1906</v>
      </c>
    </row>
    <row r="230" spans="1:17" x14ac:dyDescent="0.25">
      <c r="A230" t="s">
        <v>39</v>
      </c>
      <c r="B230" t="s">
        <v>1908</v>
      </c>
      <c r="C230" t="s">
        <v>1904</v>
      </c>
      <c r="D230" t="s">
        <v>1394</v>
      </c>
      <c r="E230">
        <v>0</v>
      </c>
      <c r="F230" t="s">
        <v>1446</v>
      </c>
      <c r="G230" t="s">
        <v>1905</v>
      </c>
      <c r="H230" t="s">
        <v>1547</v>
      </c>
      <c r="I230" t="s">
        <v>1384</v>
      </c>
      <c r="J230" t="s">
        <v>1384</v>
      </c>
      <c r="K230" t="b">
        <v>1</v>
      </c>
      <c r="L230" t="b">
        <v>0</v>
      </c>
      <c r="M230" t="s">
        <v>1384</v>
      </c>
      <c r="N230" t="s">
        <v>1385</v>
      </c>
      <c r="O230" t="s">
        <v>1386</v>
      </c>
      <c r="P230" t="s">
        <v>1387</v>
      </c>
      <c r="Q230" t="s">
        <v>1906</v>
      </c>
    </row>
    <row r="231" spans="1:17" x14ac:dyDescent="0.25">
      <c r="A231" t="s">
        <v>39</v>
      </c>
      <c r="B231" t="s">
        <v>1909</v>
      </c>
      <c r="C231" t="s">
        <v>1904</v>
      </c>
      <c r="D231" t="s">
        <v>1398</v>
      </c>
      <c r="E231">
        <v>0</v>
      </c>
      <c r="F231" t="s">
        <v>1446</v>
      </c>
      <c r="G231" t="s">
        <v>1905</v>
      </c>
      <c r="H231" t="s">
        <v>1547</v>
      </c>
      <c r="I231" t="s">
        <v>1384</v>
      </c>
      <c r="J231" t="s">
        <v>1384</v>
      </c>
      <c r="K231" t="b">
        <v>1</v>
      </c>
      <c r="L231" t="b">
        <v>0</v>
      </c>
      <c r="M231" t="s">
        <v>1384</v>
      </c>
      <c r="N231" t="s">
        <v>1385</v>
      </c>
      <c r="O231" t="s">
        <v>1386</v>
      </c>
      <c r="P231" t="s">
        <v>1387</v>
      </c>
      <c r="Q231" t="s">
        <v>1906</v>
      </c>
    </row>
    <row r="232" spans="1:17" x14ac:dyDescent="0.25">
      <c r="A232" t="s">
        <v>39</v>
      </c>
      <c r="B232" t="s">
        <v>1910</v>
      </c>
      <c r="C232" t="s">
        <v>1904</v>
      </c>
      <c r="D232" t="s">
        <v>1402</v>
      </c>
      <c r="E232">
        <v>0</v>
      </c>
      <c r="F232" t="s">
        <v>1446</v>
      </c>
      <c r="G232" t="s">
        <v>1905</v>
      </c>
      <c r="H232" t="s">
        <v>1547</v>
      </c>
      <c r="I232" t="s">
        <v>1384</v>
      </c>
      <c r="J232" t="s">
        <v>1384</v>
      </c>
      <c r="K232" t="b">
        <v>1</v>
      </c>
      <c r="L232" t="b">
        <v>0</v>
      </c>
      <c r="M232" t="s">
        <v>1384</v>
      </c>
      <c r="N232" t="s">
        <v>1385</v>
      </c>
      <c r="O232" t="s">
        <v>1386</v>
      </c>
      <c r="P232" t="s">
        <v>1387</v>
      </c>
      <c r="Q232" t="s">
        <v>1906</v>
      </c>
    </row>
    <row r="233" spans="1:17" x14ac:dyDescent="0.25">
      <c r="A233" t="s">
        <v>39</v>
      </c>
      <c r="B233" t="s">
        <v>1911</v>
      </c>
      <c r="C233" t="s">
        <v>1904</v>
      </c>
      <c r="D233" t="s">
        <v>1420</v>
      </c>
      <c r="E233">
        <v>0</v>
      </c>
      <c r="F233" t="s">
        <v>1446</v>
      </c>
      <c r="G233" t="s">
        <v>1905</v>
      </c>
      <c r="H233" t="s">
        <v>1547</v>
      </c>
      <c r="I233" t="s">
        <v>1384</v>
      </c>
      <c r="J233" t="s">
        <v>1384</v>
      </c>
      <c r="K233" t="b">
        <v>1</v>
      </c>
      <c r="L233" t="b">
        <v>0</v>
      </c>
      <c r="M233" t="s">
        <v>1384</v>
      </c>
      <c r="N233" t="s">
        <v>1385</v>
      </c>
      <c r="O233" t="s">
        <v>1386</v>
      </c>
      <c r="P233" t="s">
        <v>1387</v>
      </c>
      <c r="Q233" t="s">
        <v>1906</v>
      </c>
    </row>
    <row r="234" spans="1:17" x14ac:dyDescent="0.25">
      <c r="A234" t="s">
        <v>39</v>
      </c>
      <c r="B234" t="s">
        <v>1912</v>
      </c>
      <c r="C234" t="s">
        <v>1904</v>
      </c>
      <c r="D234" t="s">
        <v>1424</v>
      </c>
      <c r="E234">
        <v>0</v>
      </c>
      <c r="F234" t="s">
        <v>1446</v>
      </c>
      <c r="G234" t="s">
        <v>1905</v>
      </c>
      <c r="H234" t="s">
        <v>1547</v>
      </c>
      <c r="I234" t="s">
        <v>1384</v>
      </c>
      <c r="J234" t="s">
        <v>1384</v>
      </c>
      <c r="K234" t="b">
        <v>1</v>
      </c>
      <c r="L234" t="b">
        <v>0</v>
      </c>
      <c r="M234" t="s">
        <v>1384</v>
      </c>
      <c r="N234" t="s">
        <v>1385</v>
      </c>
      <c r="O234" t="s">
        <v>1386</v>
      </c>
      <c r="P234" t="s">
        <v>1387</v>
      </c>
      <c r="Q234" t="s">
        <v>1906</v>
      </c>
    </row>
    <row r="235" spans="1:17" x14ac:dyDescent="0.25">
      <c r="A235" t="s">
        <v>39</v>
      </c>
      <c r="B235" t="s">
        <v>1913</v>
      </c>
      <c r="C235" t="s">
        <v>1904</v>
      </c>
      <c r="D235" t="s">
        <v>1428</v>
      </c>
      <c r="E235">
        <v>0</v>
      </c>
      <c r="F235" t="s">
        <v>1446</v>
      </c>
      <c r="G235" t="s">
        <v>1905</v>
      </c>
      <c r="H235" t="s">
        <v>1547</v>
      </c>
      <c r="I235" t="s">
        <v>1384</v>
      </c>
      <c r="J235" t="s">
        <v>1384</v>
      </c>
      <c r="K235" t="b">
        <v>1</v>
      </c>
      <c r="L235" t="b">
        <v>0</v>
      </c>
      <c r="M235" t="s">
        <v>1384</v>
      </c>
      <c r="N235" t="s">
        <v>1385</v>
      </c>
      <c r="O235" t="s">
        <v>1386</v>
      </c>
      <c r="P235" t="s">
        <v>1387</v>
      </c>
      <c r="Q235" t="s">
        <v>1906</v>
      </c>
    </row>
    <row r="236" spans="1:17" x14ac:dyDescent="0.25">
      <c r="A236" t="s">
        <v>39</v>
      </c>
      <c r="B236" t="s">
        <v>1914</v>
      </c>
      <c r="C236" t="s">
        <v>1904</v>
      </c>
      <c r="D236" t="s">
        <v>1432</v>
      </c>
      <c r="E236">
        <v>0</v>
      </c>
      <c r="F236" t="s">
        <v>1446</v>
      </c>
      <c r="G236" t="s">
        <v>1905</v>
      </c>
      <c r="H236" t="s">
        <v>1547</v>
      </c>
      <c r="I236" t="s">
        <v>1384</v>
      </c>
      <c r="J236" t="s">
        <v>1384</v>
      </c>
      <c r="K236" t="b">
        <v>1</v>
      </c>
      <c r="L236" t="b">
        <v>0</v>
      </c>
      <c r="M236" t="s">
        <v>1384</v>
      </c>
      <c r="N236" t="s">
        <v>1385</v>
      </c>
      <c r="O236" t="s">
        <v>1386</v>
      </c>
      <c r="P236" t="s">
        <v>1387</v>
      </c>
      <c r="Q236" t="s">
        <v>1906</v>
      </c>
    </row>
    <row r="237" spans="1:17" x14ac:dyDescent="0.25">
      <c r="A237" t="s">
        <v>39</v>
      </c>
      <c r="B237" t="s">
        <v>1915</v>
      </c>
      <c r="C237" t="s">
        <v>1904</v>
      </c>
      <c r="D237" t="s">
        <v>1436</v>
      </c>
      <c r="E237">
        <v>0</v>
      </c>
      <c r="F237" t="s">
        <v>1446</v>
      </c>
      <c r="G237" t="s">
        <v>1905</v>
      </c>
      <c r="H237" t="s">
        <v>1547</v>
      </c>
      <c r="I237" t="s">
        <v>1384</v>
      </c>
      <c r="J237" t="s">
        <v>1384</v>
      </c>
      <c r="K237" t="b">
        <v>1</v>
      </c>
      <c r="L237" t="b">
        <v>0</v>
      </c>
      <c r="M237" t="s">
        <v>1384</v>
      </c>
      <c r="N237" t="s">
        <v>1385</v>
      </c>
      <c r="O237" t="s">
        <v>1386</v>
      </c>
      <c r="P237" t="s">
        <v>1387</v>
      </c>
      <c r="Q237" t="s">
        <v>1906</v>
      </c>
    </row>
    <row r="238" spans="1:17" x14ac:dyDescent="0.25">
      <c r="A238" t="s">
        <v>39</v>
      </c>
      <c r="B238" t="s">
        <v>1916</v>
      </c>
      <c r="C238" t="s">
        <v>1904</v>
      </c>
      <c r="D238" t="s">
        <v>1439</v>
      </c>
      <c r="E238">
        <v>0</v>
      </c>
      <c r="F238" t="s">
        <v>1446</v>
      </c>
      <c r="G238" t="s">
        <v>1905</v>
      </c>
      <c r="H238" t="s">
        <v>1547</v>
      </c>
      <c r="I238" t="s">
        <v>1384</v>
      </c>
      <c r="J238" t="s">
        <v>1384</v>
      </c>
      <c r="K238" t="b">
        <v>1</v>
      </c>
      <c r="L238" t="b">
        <v>0</v>
      </c>
      <c r="M238" t="s">
        <v>1384</v>
      </c>
      <c r="N238" t="s">
        <v>1385</v>
      </c>
      <c r="O238" t="s">
        <v>1386</v>
      </c>
      <c r="P238" t="s">
        <v>1387</v>
      </c>
      <c r="Q238" t="s">
        <v>1906</v>
      </c>
    </row>
    <row r="239" spans="1:17" x14ac:dyDescent="0.25">
      <c r="A239" t="s">
        <v>39</v>
      </c>
      <c r="B239" t="s">
        <v>1917</v>
      </c>
      <c r="C239" t="s">
        <v>1904</v>
      </c>
      <c r="D239" t="s">
        <v>1442</v>
      </c>
      <c r="E239">
        <v>0</v>
      </c>
      <c r="F239" t="s">
        <v>1446</v>
      </c>
      <c r="G239" t="s">
        <v>1905</v>
      </c>
      <c r="H239" t="s">
        <v>1547</v>
      </c>
      <c r="I239" t="s">
        <v>1384</v>
      </c>
      <c r="J239" t="s">
        <v>1384</v>
      </c>
      <c r="K239" t="b">
        <v>1</v>
      </c>
      <c r="L239" t="b">
        <v>0</v>
      </c>
      <c r="M239" t="s">
        <v>1384</v>
      </c>
      <c r="N239" t="s">
        <v>1385</v>
      </c>
      <c r="O239" t="s">
        <v>1386</v>
      </c>
      <c r="P239" t="s">
        <v>1387</v>
      </c>
      <c r="Q239" t="s">
        <v>1906</v>
      </c>
    </row>
    <row r="240" spans="1:17" x14ac:dyDescent="0.25">
      <c r="A240" t="s">
        <v>39</v>
      </c>
      <c r="B240" t="s">
        <v>1918</v>
      </c>
      <c r="C240" t="s">
        <v>343</v>
      </c>
      <c r="D240" t="s">
        <v>1379</v>
      </c>
      <c r="E240">
        <v>-3973</v>
      </c>
      <c r="F240" t="s">
        <v>1380</v>
      </c>
      <c r="G240" t="s">
        <v>1919</v>
      </c>
      <c r="H240" t="s">
        <v>1547</v>
      </c>
      <c r="I240" t="s">
        <v>1548</v>
      </c>
      <c r="J240" t="s">
        <v>1384</v>
      </c>
      <c r="K240" t="b">
        <v>1</v>
      </c>
      <c r="L240" t="b">
        <v>0</v>
      </c>
      <c r="M240" t="s">
        <v>1384</v>
      </c>
      <c r="N240" t="s">
        <v>1385</v>
      </c>
      <c r="O240" t="s">
        <v>1386</v>
      </c>
      <c r="P240" t="s">
        <v>1387</v>
      </c>
      <c r="Q240" t="s">
        <v>1384</v>
      </c>
    </row>
    <row r="241" spans="1:17" x14ac:dyDescent="0.25">
      <c r="A241" t="s">
        <v>39</v>
      </c>
      <c r="B241" t="s">
        <v>1920</v>
      </c>
      <c r="C241" t="s">
        <v>343</v>
      </c>
      <c r="D241" t="s">
        <v>1390</v>
      </c>
      <c r="E241">
        <v>-3680</v>
      </c>
      <c r="F241" t="s">
        <v>1380</v>
      </c>
      <c r="G241" t="s">
        <v>1921</v>
      </c>
      <c r="H241" t="s">
        <v>1547</v>
      </c>
      <c r="I241" t="s">
        <v>1392</v>
      </c>
      <c r="J241" t="s">
        <v>1384</v>
      </c>
      <c r="K241" t="b">
        <v>1</v>
      </c>
      <c r="L241" t="b">
        <v>0</v>
      </c>
      <c r="M241" t="s">
        <v>1384</v>
      </c>
      <c r="N241" t="s">
        <v>1385</v>
      </c>
      <c r="O241" t="s">
        <v>1386</v>
      </c>
      <c r="P241" t="s">
        <v>1387</v>
      </c>
      <c r="Q241" t="s">
        <v>1384</v>
      </c>
    </row>
    <row r="242" spans="1:17" x14ac:dyDescent="0.25">
      <c r="A242" t="s">
        <v>39</v>
      </c>
      <c r="B242" t="s">
        <v>1922</v>
      </c>
      <c r="C242" t="s">
        <v>343</v>
      </c>
      <c r="D242" t="s">
        <v>1394</v>
      </c>
      <c r="E242">
        <v>-5003</v>
      </c>
      <c r="F242" t="s">
        <v>1380</v>
      </c>
      <c r="G242" t="s">
        <v>1923</v>
      </c>
      <c r="H242" t="s">
        <v>1547</v>
      </c>
      <c r="I242" t="s">
        <v>1396</v>
      </c>
      <c r="J242" t="s">
        <v>1384</v>
      </c>
      <c r="K242" t="b">
        <v>1</v>
      </c>
      <c r="L242" t="b">
        <v>0</v>
      </c>
      <c r="M242" t="s">
        <v>1384</v>
      </c>
      <c r="N242" t="s">
        <v>1385</v>
      </c>
      <c r="O242" t="s">
        <v>1386</v>
      </c>
      <c r="P242" t="s">
        <v>1387</v>
      </c>
      <c r="Q242" t="s">
        <v>1384</v>
      </c>
    </row>
    <row r="243" spans="1:17" x14ac:dyDescent="0.25">
      <c r="A243" t="s">
        <v>39</v>
      </c>
      <c r="B243" t="s">
        <v>1924</v>
      </c>
      <c r="C243" t="s">
        <v>343</v>
      </c>
      <c r="D243" t="s">
        <v>1398</v>
      </c>
      <c r="E243">
        <v>-3040</v>
      </c>
      <c r="F243" t="s">
        <v>1380</v>
      </c>
      <c r="G243" t="s">
        <v>1925</v>
      </c>
      <c r="H243" t="s">
        <v>1547</v>
      </c>
      <c r="I243" t="s">
        <v>1556</v>
      </c>
      <c r="J243" t="s">
        <v>1384</v>
      </c>
      <c r="K243" t="b">
        <v>1</v>
      </c>
      <c r="L243" t="b">
        <v>0</v>
      </c>
      <c r="M243" t="s">
        <v>1384</v>
      </c>
      <c r="N243" t="s">
        <v>1385</v>
      </c>
      <c r="O243" t="s">
        <v>1386</v>
      </c>
      <c r="P243" t="s">
        <v>1387</v>
      </c>
      <c r="Q243" t="s">
        <v>1384</v>
      </c>
    </row>
    <row r="244" spans="1:17" x14ac:dyDescent="0.25">
      <c r="A244" t="s">
        <v>39</v>
      </c>
      <c r="B244" t="s">
        <v>1926</v>
      </c>
      <c r="C244" t="s">
        <v>343</v>
      </c>
      <c r="D244" t="s">
        <v>1402</v>
      </c>
      <c r="E244">
        <v>-3598</v>
      </c>
      <c r="F244" t="s">
        <v>1380</v>
      </c>
      <c r="G244" t="s">
        <v>1927</v>
      </c>
      <c r="H244" t="s">
        <v>1547</v>
      </c>
      <c r="I244" t="s">
        <v>1383</v>
      </c>
      <c r="J244" t="s">
        <v>1384</v>
      </c>
      <c r="K244" t="b">
        <v>1</v>
      </c>
      <c r="L244" t="b">
        <v>0</v>
      </c>
      <c r="M244" t="s">
        <v>1384</v>
      </c>
      <c r="N244" t="s">
        <v>1385</v>
      </c>
      <c r="O244" t="s">
        <v>1386</v>
      </c>
      <c r="P244" t="s">
        <v>1387</v>
      </c>
      <c r="Q244" t="s">
        <v>1384</v>
      </c>
    </row>
    <row r="245" spans="1:17" x14ac:dyDescent="0.25">
      <c r="A245" t="s">
        <v>39</v>
      </c>
      <c r="B245" t="s">
        <v>1928</v>
      </c>
      <c r="C245" t="s">
        <v>343</v>
      </c>
      <c r="D245" t="s">
        <v>1420</v>
      </c>
      <c r="E245">
        <v>-3993</v>
      </c>
      <c r="F245" t="s">
        <v>1380</v>
      </c>
      <c r="G245" t="s">
        <v>1929</v>
      </c>
      <c r="H245" t="s">
        <v>1547</v>
      </c>
      <c r="I245" t="s">
        <v>1409</v>
      </c>
      <c r="J245" t="s">
        <v>1384</v>
      </c>
      <c r="K245" t="b">
        <v>1</v>
      </c>
      <c r="L245" t="b">
        <v>0</v>
      </c>
      <c r="M245" t="s">
        <v>1384</v>
      </c>
      <c r="N245" t="s">
        <v>1385</v>
      </c>
      <c r="O245" t="s">
        <v>1386</v>
      </c>
      <c r="P245" t="s">
        <v>1387</v>
      </c>
      <c r="Q245" t="s">
        <v>1384</v>
      </c>
    </row>
    <row r="246" spans="1:17" x14ac:dyDescent="0.25">
      <c r="A246" t="s">
        <v>39</v>
      </c>
      <c r="B246" t="s">
        <v>1930</v>
      </c>
      <c r="C246" t="s">
        <v>343</v>
      </c>
      <c r="D246" t="s">
        <v>1424</v>
      </c>
      <c r="E246">
        <v>-1918</v>
      </c>
      <c r="F246" t="s">
        <v>1380</v>
      </c>
      <c r="G246" t="s">
        <v>1931</v>
      </c>
      <c r="H246" t="s">
        <v>1547</v>
      </c>
      <c r="I246" t="s">
        <v>1412</v>
      </c>
      <c r="J246" t="s">
        <v>1384</v>
      </c>
      <c r="K246" t="b">
        <v>1</v>
      </c>
      <c r="L246" t="b">
        <v>0</v>
      </c>
      <c r="M246" t="s">
        <v>1384</v>
      </c>
      <c r="N246" t="s">
        <v>1385</v>
      </c>
      <c r="O246" t="s">
        <v>1386</v>
      </c>
      <c r="P246" t="s">
        <v>1387</v>
      </c>
      <c r="Q246" t="s">
        <v>1384</v>
      </c>
    </row>
    <row r="247" spans="1:17" x14ac:dyDescent="0.25">
      <c r="A247" t="s">
        <v>39</v>
      </c>
      <c r="B247" t="s">
        <v>1932</v>
      </c>
      <c r="C247" t="s">
        <v>343</v>
      </c>
      <c r="D247" t="s">
        <v>1428</v>
      </c>
      <c r="E247">
        <v>-34</v>
      </c>
      <c r="F247" t="s">
        <v>1380</v>
      </c>
      <c r="G247" t="s">
        <v>1933</v>
      </c>
      <c r="H247" t="s">
        <v>1547</v>
      </c>
      <c r="I247" t="s">
        <v>1565</v>
      </c>
      <c r="J247" t="s">
        <v>1384</v>
      </c>
      <c r="K247" t="b">
        <v>1</v>
      </c>
      <c r="L247" t="b">
        <v>0</v>
      </c>
      <c r="M247" t="s">
        <v>1384</v>
      </c>
      <c r="N247" t="s">
        <v>1385</v>
      </c>
      <c r="O247" t="s">
        <v>1386</v>
      </c>
      <c r="P247" t="s">
        <v>1387</v>
      </c>
      <c r="Q247" t="s">
        <v>1384</v>
      </c>
    </row>
    <row r="248" spans="1:17" x14ac:dyDescent="0.25">
      <c r="A248" t="s">
        <v>39</v>
      </c>
      <c r="B248" t="s">
        <v>1934</v>
      </c>
      <c r="C248" t="s">
        <v>343</v>
      </c>
      <c r="D248" t="s">
        <v>1432</v>
      </c>
      <c r="E248">
        <v>-914</v>
      </c>
      <c r="F248" t="s">
        <v>1380</v>
      </c>
      <c r="G248" t="s">
        <v>1935</v>
      </c>
      <c r="H248" t="s">
        <v>1547</v>
      </c>
      <c r="I248" t="s">
        <v>1418</v>
      </c>
      <c r="J248" t="s">
        <v>1384</v>
      </c>
      <c r="K248" t="b">
        <v>1</v>
      </c>
      <c r="L248" t="b">
        <v>0</v>
      </c>
      <c r="M248" t="s">
        <v>1384</v>
      </c>
      <c r="N248" t="s">
        <v>1385</v>
      </c>
      <c r="O248" t="s">
        <v>1386</v>
      </c>
      <c r="P248" t="s">
        <v>1387</v>
      </c>
      <c r="Q248" t="s">
        <v>1384</v>
      </c>
    </row>
    <row r="249" spans="1:17" x14ac:dyDescent="0.25">
      <c r="A249" t="s">
        <v>39</v>
      </c>
      <c r="B249" t="s">
        <v>1936</v>
      </c>
      <c r="C249" t="s">
        <v>343</v>
      </c>
      <c r="D249" t="s">
        <v>1436</v>
      </c>
      <c r="E249">
        <v>2420</v>
      </c>
      <c r="F249" t="s">
        <v>1380</v>
      </c>
      <c r="G249" t="s">
        <v>1937</v>
      </c>
      <c r="H249" t="s">
        <v>1547</v>
      </c>
      <c r="I249" t="s">
        <v>1422</v>
      </c>
      <c r="J249" t="s">
        <v>1384</v>
      </c>
      <c r="K249" t="b">
        <v>1</v>
      </c>
      <c r="L249" t="b">
        <v>0</v>
      </c>
      <c r="M249" t="s">
        <v>1384</v>
      </c>
      <c r="N249" t="s">
        <v>1385</v>
      </c>
      <c r="O249" t="s">
        <v>1386</v>
      </c>
      <c r="P249" t="s">
        <v>1387</v>
      </c>
      <c r="Q249" t="s">
        <v>1384</v>
      </c>
    </row>
    <row r="250" spans="1:17" x14ac:dyDescent="0.25">
      <c r="A250" t="s">
        <v>39</v>
      </c>
      <c r="B250" t="s">
        <v>1938</v>
      </c>
      <c r="C250" t="s">
        <v>343</v>
      </c>
      <c r="D250" t="s">
        <v>1439</v>
      </c>
      <c r="E250">
        <v>12333</v>
      </c>
      <c r="F250" t="s">
        <v>1380</v>
      </c>
      <c r="G250" t="s">
        <v>1939</v>
      </c>
      <c r="H250" t="s">
        <v>1547</v>
      </c>
      <c r="I250" t="s">
        <v>1426</v>
      </c>
      <c r="J250" t="s">
        <v>1384</v>
      </c>
      <c r="K250" t="b">
        <v>1</v>
      </c>
      <c r="L250" t="b">
        <v>0</v>
      </c>
      <c r="M250" t="s">
        <v>1384</v>
      </c>
      <c r="N250" t="s">
        <v>1385</v>
      </c>
      <c r="O250" t="s">
        <v>1386</v>
      </c>
      <c r="P250" t="s">
        <v>1387</v>
      </c>
      <c r="Q250" t="s">
        <v>1384</v>
      </c>
    </row>
    <row r="251" spans="1:17" x14ac:dyDescent="0.25">
      <c r="A251" t="s">
        <v>39</v>
      </c>
      <c r="B251" t="s">
        <v>1940</v>
      </c>
      <c r="C251" t="s">
        <v>343</v>
      </c>
      <c r="D251" t="s">
        <v>1442</v>
      </c>
      <c r="E251">
        <v>28230</v>
      </c>
      <c r="F251" t="s">
        <v>1380</v>
      </c>
      <c r="G251" t="s">
        <v>1941</v>
      </c>
      <c r="H251" t="s">
        <v>1547</v>
      </c>
      <c r="I251" t="s">
        <v>1565</v>
      </c>
      <c r="J251" t="s">
        <v>1384</v>
      </c>
      <c r="K251" t="b">
        <v>1</v>
      </c>
      <c r="L251" t="b">
        <v>0</v>
      </c>
      <c r="M251" t="s">
        <v>1384</v>
      </c>
      <c r="N251" t="s">
        <v>1385</v>
      </c>
      <c r="O251" t="s">
        <v>1386</v>
      </c>
      <c r="P251" t="s">
        <v>1387</v>
      </c>
      <c r="Q251" t="s">
        <v>1384</v>
      </c>
    </row>
    <row r="252" spans="1:17" x14ac:dyDescent="0.25">
      <c r="A252" t="s">
        <v>39</v>
      </c>
      <c r="B252" t="s">
        <v>1942</v>
      </c>
      <c r="C252" t="s">
        <v>396</v>
      </c>
      <c r="D252" t="s">
        <v>1379</v>
      </c>
      <c r="E252">
        <v>4748</v>
      </c>
      <c r="F252" t="s">
        <v>1380</v>
      </c>
      <c r="G252" t="s">
        <v>1943</v>
      </c>
      <c r="H252" t="s">
        <v>1944</v>
      </c>
      <c r="I252" t="s">
        <v>1383</v>
      </c>
      <c r="J252" t="s">
        <v>1384</v>
      </c>
      <c r="K252" t="b">
        <v>1</v>
      </c>
      <c r="L252" t="b">
        <v>0</v>
      </c>
      <c r="M252" t="s">
        <v>1384</v>
      </c>
      <c r="N252" t="s">
        <v>1385</v>
      </c>
      <c r="O252" t="s">
        <v>1386</v>
      </c>
      <c r="P252" t="s">
        <v>1387</v>
      </c>
      <c r="Q252" t="s">
        <v>1384</v>
      </c>
    </row>
    <row r="253" spans="1:17" x14ac:dyDescent="0.25">
      <c r="A253" t="s">
        <v>39</v>
      </c>
      <c r="B253" t="s">
        <v>1945</v>
      </c>
      <c r="C253" t="s">
        <v>396</v>
      </c>
      <c r="D253" t="s">
        <v>1390</v>
      </c>
      <c r="E253">
        <v>7127</v>
      </c>
      <c r="F253" t="s">
        <v>1380</v>
      </c>
      <c r="G253" t="s">
        <v>1946</v>
      </c>
      <c r="H253" t="s">
        <v>1944</v>
      </c>
      <c r="I253" t="s">
        <v>1409</v>
      </c>
      <c r="J253" t="s">
        <v>1384</v>
      </c>
      <c r="K253" t="b">
        <v>1</v>
      </c>
      <c r="L253" t="b">
        <v>0</v>
      </c>
      <c r="M253" t="s">
        <v>1384</v>
      </c>
      <c r="N253" t="s">
        <v>1385</v>
      </c>
      <c r="O253" t="s">
        <v>1386</v>
      </c>
      <c r="P253" t="s">
        <v>1387</v>
      </c>
      <c r="Q253" t="s">
        <v>1384</v>
      </c>
    </row>
    <row r="254" spans="1:17" x14ac:dyDescent="0.25">
      <c r="A254" t="s">
        <v>39</v>
      </c>
      <c r="B254" t="s">
        <v>1947</v>
      </c>
      <c r="C254" t="s">
        <v>396</v>
      </c>
      <c r="D254" t="s">
        <v>1394</v>
      </c>
      <c r="E254">
        <v>5829</v>
      </c>
      <c r="F254" t="s">
        <v>1380</v>
      </c>
      <c r="G254" t="s">
        <v>1948</v>
      </c>
      <c r="H254" t="s">
        <v>1944</v>
      </c>
      <c r="I254" t="s">
        <v>1412</v>
      </c>
      <c r="J254" t="s">
        <v>1384</v>
      </c>
      <c r="K254" t="b">
        <v>1</v>
      </c>
      <c r="L254" t="b">
        <v>0</v>
      </c>
      <c r="M254" t="s">
        <v>1384</v>
      </c>
      <c r="N254" t="s">
        <v>1385</v>
      </c>
      <c r="O254" t="s">
        <v>1386</v>
      </c>
      <c r="P254" t="s">
        <v>1387</v>
      </c>
      <c r="Q254" t="s">
        <v>1384</v>
      </c>
    </row>
    <row r="255" spans="1:17" x14ac:dyDescent="0.25">
      <c r="A255" t="s">
        <v>39</v>
      </c>
      <c r="B255" t="s">
        <v>1949</v>
      </c>
      <c r="C255" t="s">
        <v>396</v>
      </c>
      <c r="D255" t="s">
        <v>1398</v>
      </c>
      <c r="E255">
        <v>713</v>
      </c>
      <c r="F255" t="s">
        <v>1380</v>
      </c>
      <c r="G255" t="s">
        <v>1950</v>
      </c>
      <c r="H255" t="s">
        <v>1944</v>
      </c>
      <c r="I255" t="s">
        <v>1384</v>
      </c>
      <c r="J255" t="s">
        <v>1384</v>
      </c>
      <c r="K255" t="b">
        <v>1</v>
      </c>
      <c r="L255" t="b">
        <v>0</v>
      </c>
      <c r="M255" t="s">
        <v>1384</v>
      </c>
      <c r="N255" t="s">
        <v>1385</v>
      </c>
      <c r="O255" t="s">
        <v>1386</v>
      </c>
      <c r="P255" t="s">
        <v>1387</v>
      </c>
      <c r="Q255" t="s">
        <v>1951</v>
      </c>
    </row>
    <row r="256" spans="1:17" x14ac:dyDescent="0.25">
      <c r="A256" t="s">
        <v>39</v>
      </c>
      <c r="B256" t="s">
        <v>1952</v>
      </c>
      <c r="C256" t="s">
        <v>396</v>
      </c>
      <c r="D256" t="s">
        <v>1402</v>
      </c>
      <c r="E256">
        <v>4961</v>
      </c>
      <c r="F256" t="s">
        <v>1380</v>
      </c>
      <c r="G256" t="s">
        <v>1953</v>
      </c>
      <c r="H256" t="s">
        <v>1944</v>
      </c>
      <c r="I256" t="s">
        <v>1418</v>
      </c>
      <c r="J256" t="s">
        <v>1384</v>
      </c>
      <c r="K256" t="b">
        <v>1</v>
      </c>
      <c r="L256" t="b">
        <v>0</v>
      </c>
      <c r="M256" t="s">
        <v>1384</v>
      </c>
      <c r="N256" t="s">
        <v>1385</v>
      </c>
      <c r="O256" t="s">
        <v>1386</v>
      </c>
      <c r="P256" t="s">
        <v>1387</v>
      </c>
      <c r="Q256" t="s">
        <v>1384</v>
      </c>
    </row>
    <row r="257" spans="1:17" x14ac:dyDescent="0.25">
      <c r="A257" t="s">
        <v>39</v>
      </c>
      <c r="B257" t="s">
        <v>1954</v>
      </c>
      <c r="C257" t="s">
        <v>396</v>
      </c>
      <c r="D257" t="s">
        <v>1420</v>
      </c>
      <c r="E257">
        <v>6722</v>
      </c>
      <c r="F257" t="s">
        <v>1380</v>
      </c>
      <c r="G257" t="s">
        <v>1955</v>
      </c>
      <c r="H257" t="s">
        <v>1944</v>
      </c>
      <c r="I257" t="s">
        <v>1422</v>
      </c>
      <c r="J257" t="s">
        <v>1384</v>
      </c>
      <c r="K257" t="b">
        <v>1</v>
      </c>
      <c r="L257" t="b">
        <v>0</v>
      </c>
      <c r="M257" t="s">
        <v>1384</v>
      </c>
      <c r="N257" t="s">
        <v>1385</v>
      </c>
      <c r="O257" t="s">
        <v>1386</v>
      </c>
      <c r="P257" t="s">
        <v>1387</v>
      </c>
      <c r="Q257" t="s">
        <v>1384</v>
      </c>
    </row>
    <row r="258" spans="1:17" x14ac:dyDescent="0.25">
      <c r="A258" t="s">
        <v>39</v>
      </c>
      <c r="B258" t="s">
        <v>1956</v>
      </c>
      <c r="C258" t="s">
        <v>396</v>
      </c>
      <c r="D258" t="s">
        <v>1424</v>
      </c>
      <c r="E258">
        <v>5333</v>
      </c>
      <c r="F258" t="s">
        <v>1380</v>
      </c>
      <c r="G258" t="s">
        <v>1957</v>
      </c>
      <c r="H258" t="s">
        <v>1944</v>
      </c>
      <c r="I258" t="s">
        <v>1426</v>
      </c>
      <c r="J258" t="s">
        <v>1384</v>
      </c>
      <c r="K258" t="b">
        <v>1</v>
      </c>
      <c r="L258" t="b">
        <v>0</v>
      </c>
      <c r="M258" t="s">
        <v>1384</v>
      </c>
      <c r="N258" t="s">
        <v>1385</v>
      </c>
      <c r="O258" t="s">
        <v>1386</v>
      </c>
      <c r="P258" t="s">
        <v>1387</v>
      </c>
      <c r="Q258" t="s">
        <v>1384</v>
      </c>
    </row>
    <row r="259" spans="1:17" x14ac:dyDescent="0.25">
      <c r="A259" t="s">
        <v>39</v>
      </c>
      <c r="B259" t="s">
        <v>1958</v>
      </c>
      <c r="C259" t="s">
        <v>396</v>
      </c>
      <c r="D259" t="s">
        <v>1428</v>
      </c>
      <c r="E259">
        <v>-1324</v>
      </c>
      <c r="F259" t="s">
        <v>1380</v>
      </c>
      <c r="G259" t="s">
        <v>1959</v>
      </c>
      <c r="H259" t="s">
        <v>1944</v>
      </c>
      <c r="I259" t="s">
        <v>1384</v>
      </c>
      <c r="J259" t="s">
        <v>1384</v>
      </c>
      <c r="K259" t="b">
        <v>1</v>
      </c>
      <c r="L259" t="b">
        <v>0</v>
      </c>
      <c r="M259" t="s">
        <v>1384</v>
      </c>
      <c r="N259" t="s">
        <v>1385</v>
      </c>
      <c r="O259" t="s">
        <v>1386</v>
      </c>
      <c r="P259" t="s">
        <v>1387</v>
      </c>
      <c r="Q259" t="s">
        <v>1960</v>
      </c>
    </row>
    <row r="260" spans="1:17" x14ac:dyDescent="0.25">
      <c r="A260" t="s">
        <v>39</v>
      </c>
      <c r="B260" t="s">
        <v>1961</v>
      </c>
      <c r="C260" t="s">
        <v>396</v>
      </c>
      <c r="D260" t="s">
        <v>1432</v>
      </c>
      <c r="E260">
        <v>3689</v>
      </c>
      <c r="F260" t="s">
        <v>1380</v>
      </c>
      <c r="G260" t="s">
        <v>1962</v>
      </c>
      <c r="H260" t="s">
        <v>1944</v>
      </c>
      <c r="I260" t="s">
        <v>1434</v>
      </c>
      <c r="J260" t="s">
        <v>1384</v>
      </c>
      <c r="K260" t="b">
        <v>1</v>
      </c>
      <c r="L260" t="b">
        <v>0</v>
      </c>
      <c r="M260" t="s">
        <v>1384</v>
      </c>
      <c r="N260" t="s">
        <v>1385</v>
      </c>
      <c r="O260" t="s">
        <v>1386</v>
      </c>
      <c r="P260" t="s">
        <v>1387</v>
      </c>
      <c r="Q260" t="s">
        <v>1384</v>
      </c>
    </row>
    <row r="261" spans="1:17" x14ac:dyDescent="0.25">
      <c r="A261" t="s">
        <v>39</v>
      </c>
      <c r="B261" t="s">
        <v>1963</v>
      </c>
      <c r="C261" t="s">
        <v>396</v>
      </c>
      <c r="D261" t="s">
        <v>1436</v>
      </c>
      <c r="E261">
        <v>6534</v>
      </c>
      <c r="F261" t="s">
        <v>1380</v>
      </c>
      <c r="G261" t="s">
        <v>1964</v>
      </c>
      <c r="H261" t="s">
        <v>1944</v>
      </c>
      <c r="I261" t="s">
        <v>1422</v>
      </c>
      <c r="J261" t="s">
        <v>1384</v>
      </c>
      <c r="K261" t="b">
        <v>1</v>
      </c>
      <c r="L261" t="b">
        <v>0</v>
      </c>
      <c r="M261" t="s">
        <v>1384</v>
      </c>
      <c r="N261" t="s">
        <v>1385</v>
      </c>
      <c r="O261" t="s">
        <v>1386</v>
      </c>
      <c r="P261" t="s">
        <v>1387</v>
      </c>
      <c r="Q261" t="s">
        <v>1384</v>
      </c>
    </row>
    <row r="262" spans="1:17" x14ac:dyDescent="0.25">
      <c r="A262" t="s">
        <v>39</v>
      </c>
      <c r="B262" t="s">
        <v>1965</v>
      </c>
      <c r="C262" t="s">
        <v>396</v>
      </c>
      <c r="D262" t="s">
        <v>1439</v>
      </c>
      <c r="E262">
        <v>4847</v>
      </c>
      <c r="F262" t="s">
        <v>1380</v>
      </c>
      <c r="G262" t="s">
        <v>1966</v>
      </c>
      <c r="H262" t="s">
        <v>1944</v>
      </c>
      <c r="I262" t="s">
        <v>1426</v>
      </c>
      <c r="J262" t="s">
        <v>1384</v>
      </c>
      <c r="K262" t="b">
        <v>1</v>
      </c>
      <c r="L262" t="b">
        <v>0</v>
      </c>
      <c r="M262" t="s">
        <v>1384</v>
      </c>
      <c r="N262" t="s">
        <v>1385</v>
      </c>
      <c r="O262" t="s">
        <v>1386</v>
      </c>
      <c r="P262" t="s">
        <v>1387</v>
      </c>
      <c r="Q262" t="s">
        <v>1384</v>
      </c>
    </row>
    <row r="263" spans="1:17" x14ac:dyDescent="0.25">
      <c r="A263" t="s">
        <v>39</v>
      </c>
      <c r="B263" t="s">
        <v>1967</v>
      </c>
      <c r="C263" t="s">
        <v>396</v>
      </c>
      <c r="D263" t="s">
        <v>1442</v>
      </c>
      <c r="E263">
        <v>20.417</v>
      </c>
      <c r="F263" t="s">
        <v>1508</v>
      </c>
      <c r="G263" t="s">
        <v>1968</v>
      </c>
      <c r="H263" t="s">
        <v>1944</v>
      </c>
      <c r="I263" t="s">
        <v>1384</v>
      </c>
      <c r="J263" t="s">
        <v>1384</v>
      </c>
      <c r="K263" t="b">
        <v>0</v>
      </c>
      <c r="L263" t="b">
        <v>1</v>
      </c>
      <c r="M263" t="s">
        <v>1510</v>
      </c>
      <c r="N263" t="s">
        <v>1511</v>
      </c>
      <c r="O263" t="s">
        <v>1512</v>
      </c>
      <c r="P263" t="s">
        <v>1513</v>
      </c>
      <c r="Q263" t="s">
        <v>1514</v>
      </c>
    </row>
    <row r="264" spans="1:17" x14ac:dyDescent="0.25">
      <c r="A264" t="s">
        <v>39</v>
      </c>
      <c r="B264" t="s">
        <v>1969</v>
      </c>
      <c r="C264" t="s">
        <v>341</v>
      </c>
      <c r="D264" t="s">
        <v>1379</v>
      </c>
      <c r="E264">
        <v>86365</v>
      </c>
      <c r="F264" t="s">
        <v>1380</v>
      </c>
      <c r="G264" t="s">
        <v>1880</v>
      </c>
      <c r="H264" t="s">
        <v>1547</v>
      </c>
      <c r="I264" t="s">
        <v>1548</v>
      </c>
      <c r="J264" t="s">
        <v>1384</v>
      </c>
      <c r="K264" t="b">
        <v>1</v>
      </c>
      <c r="L264" t="b">
        <v>0</v>
      </c>
      <c r="M264" t="s">
        <v>1384</v>
      </c>
      <c r="N264" t="s">
        <v>1385</v>
      </c>
      <c r="O264" t="s">
        <v>1386</v>
      </c>
      <c r="P264" t="s">
        <v>1387</v>
      </c>
      <c r="Q264" t="s">
        <v>1384</v>
      </c>
    </row>
    <row r="265" spans="1:17" x14ac:dyDescent="0.25">
      <c r="A265" t="s">
        <v>39</v>
      </c>
      <c r="B265" t="s">
        <v>1970</v>
      </c>
      <c r="C265" t="s">
        <v>341</v>
      </c>
      <c r="D265" t="s">
        <v>1390</v>
      </c>
      <c r="E265">
        <v>93115</v>
      </c>
      <c r="F265" t="s">
        <v>1380</v>
      </c>
      <c r="G265" t="s">
        <v>1882</v>
      </c>
      <c r="H265" t="s">
        <v>1547</v>
      </c>
      <c r="I265" t="s">
        <v>1392</v>
      </c>
      <c r="J265" t="s">
        <v>1384</v>
      </c>
      <c r="K265" t="b">
        <v>1</v>
      </c>
      <c r="L265" t="b">
        <v>0</v>
      </c>
      <c r="M265" t="s">
        <v>1384</v>
      </c>
      <c r="N265" t="s">
        <v>1385</v>
      </c>
      <c r="O265" t="s">
        <v>1386</v>
      </c>
      <c r="P265" t="s">
        <v>1387</v>
      </c>
      <c r="Q265" t="s">
        <v>1384</v>
      </c>
    </row>
    <row r="266" spans="1:17" x14ac:dyDescent="0.25">
      <c r="A266" t="s">
        <v>39</v>
      </c>
      <c r="B266" t="s">
        <v>1971</v>
      </c>
      <c r="C266" t="s">
        <v>341</v>
      </c>
      <c r="D266" t="s">
        <v>1394</v>
      </c>
      <c r="E266">
        <v>102994</v>
      </c>
      <c r="F266" t="s">
        <v>1380</v>
      </c>
      <c r="G266" t="s">
        <v>1884</v>
      </c>
      <c r="H266" t="s">
        <v>1547</v>
      </c>
      <c r="I266" t="s">
        <v>1396</v>
      </c>
      <c r="J266" t="s">
        <v>1384</v>
      </c>
      <c r="K266" t="b">
        <v>1</v>
      </c>
      <c r="L266" t="b">
        <v>0</v>
      </c>
      <c r="M266" t="s">
        <v>1384</v>
      </c>
      <c r="N266" t="s">
        <v>1385</v>
      </c>
      <c r="O266" t="s">
        <v>1386</v>
      </c>
      <c r="P266" t="s">
        <v>1387</v>
      </c>
      <c r="Q266" t="s">
        <v>1384</v>
      </c>
    </row>
    <row r="267" spans="1:17" x14ac:dyDescent="0.25">
      <c r="A267" t="s">
        <v>39</v>
      </c>
      <c r="B267" t="s">
        <v>1972</v>
      </c>
      <c r="C267" t="s">
        <v>341</v>
      </c>
      <c r="D267" t="s">
        <v>1398</v>
      </c>
      <c r="E267">
        <v>113618</v>
      </c>
      <c r="F267" t="s">
        <v>1380</v>
      </c>
      <c r="G267" t="s">
        <v>1886</v>
      </c>
      <c r="H267" t="s">
        <v>1547</v>
      </c>
      <c r="I267" t="s">
        <v>1556</v>
      </c>
      <c r="J267" t="s">
        <v>1384</v>
      </c>
      <c r="K267" t="b">
        <v>1</v>
      </c>
      <c r="L267" t="b">
        <v>0</v>
      </c>
      <c r="M267" t="s">
        <v>1384</v>
      </c>
      <c r="N267" t="s">
        <v>1385</v>
      </c>
      <c r="O267" t="s">
        <v>1386</v>
      </c>
      <c r="P267" t="s">
        <v>1387</v>
      </c>
      <c r="Q267" t="s">
        <v>1384</v>
      </c>
    </row>
    <row r="268" spans="1:17" x14ac:dyDescent="0.25">
      <c r="A268" t="s">
        <v>39</v>
      </c>
      <c r="B268" t="s">
        <v>1973</v>
      </c>
      <c r="C268" t="s">
        <v>341</v>
      </c>
      <c r="D268" t="s">
        <v>1402</v>
      </c>
      <c r="E268">
        <v>124049</v>
      </c>
      <c r="F268" t="s">
        <v>1380</v>
      </c>
      <c r="G268" t="s">
        <v>1888</v>
      </c>
      <c r="H268" t="s">
        <v>1547</v>
      </c>
      <c r="I268" t="s">
        <v>1383</v>
      </c>
      <c r="J268" t="s">
        <v>1384</v>
      </c>
      <c r="K268" t="b">
        <v>1</v>
      </c>
      <c r="L268" t="b">
        <v>0</v>
      </c>
      <c r="M268" t="s">
        <v>1384</v>
      </c>
      <c r="N268" t="s">
        <v>1385</v>
      </c>
      <c r="O268" t="s">
        <v>1386</v>
      </c>
      <c r="P268" t="s">
        <v>1387</v>
      </c>
      <c r="Q268" t="s">
        <v>1384</v>
      </c>
    </row>
    <row r="269" spans="1:17" x14ac:dyDescent="0.25">
      <c r="A269" t="s">
        <v>39</v>
      </c>
      <c r="B269" t="s">
        <v>1974</v>
      </c>
      <c r="C269" t="s">
        <v>341</v>
      </c>
      <c r="D269" t="s">
        <v>1420</v>
      </c>
      <c r="E269">
        <v>137534</v>
      </c>
      <c r="F269" t="s">
        <v>1380</v>
      </c>
      <c r="G269" t="s">
        <v>1890</v>
      </c>
      <c r="H269" t="s">
        <v>1547</v>
      </c>
      <c r="I269" t="s">
        <v>1409</v>
      </c>
      <c r="J269" t="s">
        <v>1384</v>
      </c>
      <c r="K269" t="b">
        <v>1</v>
      </c>
      <c r="L269" t="b">
        <v>0</v>
      </c>
      <c r="M269" t="s">
        <v>1384</v>
      </c>
      <c r="N269" t="s">
        <v>1385</v>
      </c>
      <c r="O269" t="s">
        <v>1386</v>
      </c>
      <c r="P269" t="s">
        <v>1387</v>
      </c>
      <c r="Q269" t="s">
        <v>1384</v>
      </c>
    </row>
    <row r="270" spans="1:17" x14ac:dyDescent="0.25">
      <c r="A270" t="s">
        <v>39</v>
      </c>
      <c r="B270" t="s">
        <v>1975</v>
      </c>
      <c r="C270" t="s">
        <v>341</v>
      </c>
      <c r="D270" t="s">
        <v>1424</v>
      </c>
      <c r="E270">
        <v>152862</v>
      </c>
      <c r="F270" t="s">
        <v>1380</v>
      </c>
      <c r="G270" t="s">
        <v>1892</v>
      </c>
      <c r="H270" t="s">
        <v>1547</v>
      </c>
      <c r="I270" t="s">
        <v>1412</v>
      </c>
      <c r="J270" t="s">
        <v>1384</v>
      </c>
      <c r="K270" t="b">
        <v>1</v>
      </c>
      <c r="L270" t="b">
        <v>0</v>
      </c>
      <c r="M270" t="s">
        <v>1384</v>
      </c>
      <c r="N270" t="s">
        <v>1385</v>
      </c>
      <c r="O270" t="s">
        <v>1386</v>
      </c>
      <c r="P270" t="s">
        <v>1387</v>
      </c>
      <c r="Q270" t="s">
        <v>1384</v>
      </c>
    </row>
    <row r="271" spans="1:17" x14ac:dyDescent="0.25">
      <c r="A271" t="s">
        <v>39</v>
      </c>
      <c r="B271" t="s">
        <v>1976</v>
      </c>
      <c r="C271" t="s">
        <v>341</v>
      </c>
      <c r="D271" t="s">
        <v>1428</v>
      </c>
      <c r="E271">
        <v>172866</v>
      </c>
      <c r="F271" t="s">
        <v>1380</v>
      </c>
      <c r="G271" t="s">
        <v>1894</v>
      </c>
      <c r="H271" t="s">
        <v>1547</v>
      </c>
      <c r="I271" t="s">
        <v>1565</v>
      </c>
      <c r="J271" t="s">
        <v>1384</v>
      </c>
      <c r="K271" t="b">
        <v>1</v>
      </c>
      <c r="L271" t="b">
        <v>0</v>
      </c>
      <c r="M271" t="s">
        <v>1384</v>
      </c>
      <c r="N271" t="s">
        <v>1385</v>
      </c>
      <c r="O271" t="s">
        <v>1386</v>
      </c>
      <c r="P271" t="s">
        <v>1387</v>
      </c>
      <c r="Q271" t="s">
        <v>1384</v>
      </c>
    </row>
    <row r="272" spans="1:17" x14ac:dyDescent="0.25">
      <c r="A272" t="s">
        <v>39</v>
      </c>
      <c r="B272" t="s">
        <v>1977</v>
      </c>
      <c r="C272" t="s">
        <v>341</v>
      </c>
      <c r="D272" t="s">
        <v>1432</v>
      </c>
      <c r="E272">
        <v>189993</v>
      </c>
      <c r="F272" t="s">
        <v>1380</v>
      </c>
      <c r="G272" t="s">
        <v>1896</v>
      </c>
      <c r="H272" t="s">
        <v>1547</v>
      </c>
      <c r="I272" t="s">
        <v>1418</v>
      </c>
      <c r="J272" t="s">
        <v>1384</v>
      </c>
      <c r="K272" t="b">
        <v>1</v>
      </c>
      <c r="L272" t="b">
        <v>0</v>
      </c>
      <c r="M272" t="s">
        <v>1384</v>
      </c>
      <c r="N272" t="s">
        <v>1385</v>
      </c>
      <c r="O272" t="s">
        <v>1386</v>
      </c>
      <c r="P272" t="s">
        <v>1387</v>
      </c>
      <c r="Q272" t="s">
        <v>1384</v>
      </c>
    </row>
    <row r="273" spans="1:17" x14ac:dyDescent="0.25">
      <c r="A273" t="s">
        <v>39</v>
      </c>
      <c r="B273" t="s">
        <v>1978</v>
      </c>
      <c r="C273" t="s">
        <v>341</v>
      </c>
      <c r="D273" t="s">
        <v>1436</v>
      </c>
      <c r="E273">
        <v>208157</v>
      </c>
      <c r="F273" t="s">
        <v>1380</v>
      </c>
      <c r="G273" t="s">
        <v>1898</v>
      </c>
      <c r="H273" t="s">
        <v>1547</v>
      </c>
      <c r="I273" t="s">
        <v>1422</v>
      </c>
      <c r="J273" t="s">
        <v>1384</v>
      </c>
      <c r="K273" t="b">
        <v>1</v>
      </c>
      <c r="L273" t="b">
        <v>0</v>
      </c>
      <c r="M273" t="s">
        <v>1384</v>
      </c>
      <c r="N273" t="s">
        <v>1385</v>
      </c>
      <c r="O273" t="s">
        <v>1386</v>
      </c>
      <c r="P273" t="s">
        <v>1387</v>
      </c>
      <c r="Q273" t="s">
        <v>1384</v>
      </c>
    </row>
    <row r="274" spans="1:17" x14ac:dyDescent="0.25">
      <c r="A274" t="s">
        <v>39</v>
      </c>
      <c r="B274" t="s">
        <v>1979</v>
      </c>
      <c r="C274" t="s">
        <v>341</v>
      </c>
      <c r="D274" t="s">
        <v>1439</v>
      </c>
      <c r="E274">
        <v>229344</v>
      </c>
      <c r="F274" t="s">
        <v>1380</v>
      </c>
      <c r="G274" t="s">
        <v>1900</v>
      </c>
      <c r="H274" t="s">
        <v>1547</v>
      </c>
      <c r="I274" t="s">
        <v>1426</v>
      </c>
      <c r="J274" t="s">
        <v>1384</v>
      </c>
      <c r="K274" t="b">
        <v>1</v>
      </c>
      <c r="L274" t="b">
        <v>0</v>
      </c>
      <c r="M274" t="s">
        <v>1384</v>
      </c>
      <c r="N274" t="s">
        <v>1385</v>
      </c>
      <c r="O274" t="s">
        <v>1386</v>
      </c>
      <c r="P274" t="s">
        <v>1387</v>
      </c>
      <c r="Q274" t="s">
        <v>1384</v>
      </c>
    </row>
    <row r="275" spans="1:17" x14ac:dyDescent="0.25">
      <c r="A275" t="s">
        <v>39</v>
      </c>
      <c r="B275" t="s">
        <v>1980</v>
      </c>
      <c r="C275" t="s">
        <v>341</v>
      </c>
      <c r="D275" t="s">
        <v>1442</v>
      </c>
      <c r="E275">
        <v>250536</v>
      </c>
      <c r="F275" t="s">
        <v>1380</v>
      </c>
      <c r="G275" t="s">
        <v>1902</v>
      </c>
      <c r="H275" t="s">
        <v>1547</v>
      </c>
      <c r="I275" t="s">
        <v>1565</v>
      </c>
      <c r="J275" t="s">
        <v>1384</v>
      </c>
      <c r="K275" t="b">
        <v>1</v>
      </c>
      <c r="L275" t="b">
        <v>0</v>
      </c>
      <c r="M275" t="s">
        <v>1384</v>
      </c>
      <c r="N275" t="s">
        <v>1385</v>
      </c>
      <c r="O275" t="s">
        <v>1386</v>
      </c>
      <c r="P275" t="s">
        <v>1387</v>
      </c>
      <c r="Q275" t="s">
        <v>1384</v>
      </c>
    </row>
    <row r="276" spans="1:17" x14ac:dyDescent="0.25">
      <c r="A276" t="s">
        <v>39</v>
      </c>
      <c r="B276" t="s">
        <v>1981</v>
      </c>
      <c r="C276" t="s">
        <v>399</v>
      </c>
      <c r="D276" t="s">
        <v>1390</v>
      </c>
      <c r="E276">
        <v>-69.93099999999998</v>
      </c>
      <c r="F276" t="s">
        <v>1508</v>
      </c>
      <c r="G276" t="s">
        <v>1982</v>
      </c>
      <c r="H276" t="s">
        <v>1944</v>
      </c>
      <c r="I276" t="s">
        <v>1384</v>
      </c>
      <c r="J276" t="s">
        <v>1384</v>
      </c>
      <c r="K276" t="b">
        <v>0</v>
      </c>
      <c r="L276" t="b">
        <v>1</v>
      </c>
      <c r="M276" t="s">
        <v>1510</v>
      </c>
      <c r="N276" t="s">
        <v>1511</v>
      </c>
      <c r="O276" t="s">
        <v>1512</v>
      </c>
      <c r="P276" t="s">
        <v>1513</v>
      </c>
      <c r="Q276" t="s">
        <v>1514</v>
      </c>
    </row>
    <row r="277" spans="1:17" x14ac:dyDescent="0.25">
      <c r="A277" t="s">
        <v>39</v>
      </c>
      <c r="B277" t="s">
        <v>1983</v>
      </c>
      <c r="C277" t="s">
        <v>399</v>
      </c>
      <c r="D277" t="s">
        <v>1394</v>
      </c>
      <c r="E277">
        <v>-69.9</v>
      </c>
      <c r="F277" t="s">
        <v>1508</v>
      </c>
      <c r="G277" t="s">
        <v>1982</v>
      </c>
      <c r="H277" t="s">
        <v>1944</v>
      </c>
      <c r="I277" t="s">
        <v>1384</v>
      </c>
      <c r="J277" t="s">
        <v>1384</v>
      </c>
      <c r="K277" t="b">
        <v>0</v>
      </c>
      <c r="L277" t="b">
        <v>1</v>
      </c>
      <c r="M277" t="s">
        <v>1510</v>
      </c>
      <c r="N277" t="s">
        <v>1511</v>
      </c>
      <c r="O277" t="s">
        <v>1512</v>
      </c>
      <c r="P277" t="s">
        <v>1513</v>
      </c>
      <c r="Q277" t="s">
        <v>1514</v>
      </c>
    </row>
    <row r="278" spans="1:17" x14ac:dyDescent="0.25">
      <c r="A278" t="s">
        <v>39</v>
      </c>
      <c r="B278" t="s">
        <v>1984</v>
      </c>
      <c r="C278" t="s">
        <v>399</v>
      </c>
      <c r="D278" t="s">
        <v>1398</v>
      </c>
      <c r="E278">
        <v>39.19999999999999</v>
      </c>
      <c r="F278" t="s">
        <v>1508</v>
      </c>
      <c r="G278" t="s">
        <v>1982</v>
      </c>
      <c r="H278" t="s">
        <v>1944</v>
      </c>
      <c r="I278" t="s">
        <v>1384</v>
      </c>
      <c r="J278" t="s">
        <v>1384</v>
      </c>
      <c r="K278" t="b">
        <v>0</v>
      </c>
      <c r="L278" t="b">
        <v>1</v>
      </c>
      <c r="M278" t="s">
        <v>1510</v>
      </c>
      <c r="N278" t="s">
        <v>1511</v>
      </c>
      <c r="O278" t="s">
        <v>1512</v>
      </c>
      <c r="P278" t="s">
        <v>1513</v>
      </c>
      <c r="Q278" t="s">
        <v>1514</v>
      </c>
    </row>
    <row r="279" spans="1:17" x14ac:dyDescent="0.25">
      <c r="A279" t="s">
        <v>39</v>
      </c>
      <c r="B279" t="s">
        <v>1985</v>
      </c>
      <c r="C279" t="s">
        <v>399</v>
      </c>
      <c r="D279" t="s">
        <v>1402</v>
      </c>
      <c r="E279">
        <v>-69.9</v>
      </c>
      <c r="F279" t="s">
        <v>1508</v>
      </c>
      <c r="G279" t="s">
        <v>1982</v>
      </c>
      <c r="H279" t="s">
        <v>1944</v>
      </c>
      <c r="I279" t="s">
        <v>1384</v>
      </c>
      <c r="J279" t="s">
        <v>1384</v>
      </c>
      <c r="K279" t="b">
        <v>0</v>
      </c>
      <c r="L279" t="b">
        <v>1</v>
      </c>
      <c r="M279" t="s">
        <v>1510</v>
      </c>
      <c r="N279" t="s">
        <v>1511</v>
      </c>
      <c r="O279" t="s">
        <v>1512</v>
      </c>
      <c r="P279" t="s">
        <v>1513</v>
      </c>
      <c r="Q279" t="s">
        <v>1514</v>
      </c>
    </row>
    <row r="280" spans="1:17" x14ac:dyDescent="0.25">
      <c r="A280" t="s">
        <v>39</v>
      </c>
      <c r="B280" t="s">
        <v>1986</v>
      </c>
      <c r="C280" t="s">
        <v>399</v>
      </c>
      <c r="D280" t="s">
        <v>1420</v>
      </c>
      <c r="E280">
        <v>-69.9</v>
      </c>
      <c r="F280" t="s">
        <v>1508</v>
      </c>
      <c r="G280" t="s">
        <v>1982</v>
      </c>
      <c r="H280" t="s">
        <v>1944</v>
      </c>
      <c r="I280" t="s">
        <v>1384</v>
      </c>
      <c r="J280" t="s">
        <v>1384</v>
      </c>
      <c r="K280" t="b">
        <v>0</v>
      </c>
      <c r="L280" t="b">
        <v>1</v>
      </c>
      <c r="M280" t="s">
        <v>1510</v>
      </c>
      <c r="N280" t="s">
        <v>1511</v>
      </c>
      <c r="O280" t="s">
        <v>1512</v>
      </c>
      <c r="P280" t="s">
        <v>1513</v>
      </c>
      <c r="Q280" t="s">
        <v>1514</v>
      </c>
    </row>
    <row r="281" spans="1:17" x14ac:dyDescent="0.25">
      <c r="A281" t="s">
        <v>39</v>
      </c>
      <c r="B281" t="s">
        <v>1987</v>
      </c>
      <c r="C281" t="s">
        <v>399</v>
      </c>
      <c r="D281" t="s">
        <v>1424</v>
      </c>
      <c r="E281">
        <v>-81.6</v>
      </c>
      <c r="F281" t="s">
        <v>1508</v>
      </c>
      <c r="G281" t="s">
        <v>1982</v>
      </c>
      <c r="H281" t="s">
        <v>1944</v>
      </c>
      <c r="I281" t="s">
        <v>1384</v>
      </c>
      <c r="J281" t="s">
        <v>1384</v>
      </c>
      <c r="K281" t="b">
        <v>0</v>
      </c>
      <c r="L281" t="b">
        <v>1</v>
      </c>
      <c r="M281" t="s">
        <v>1510</v>
      </c>
      <c r="N281" t="s">
        <v>1511</v>
      </c>
      <c r="O281" t="s">
        <v>1512</v>
      </c>
      <c r="P281" t="s">
        <v>1513</v>
      </c>
      <c r="Q281" t="s">
        <v>1514</v>
      </c>
    </row>
    <row r="282" spans="1:17" x14ac:dyDescent="0.25">
      <c r="A282" t="s">
        <v>39</v>
      </c>
      <c r="B282" t="s">
        <v>1988</v>
      </c>
      <c r="C282" t="s">
        <v>399</v>
      </c>
      <c r="D282" t="s">
        <v>1428</v>
      </c>
      <c r="E282">
        <v>-81.55999999999997</v>
      </c>
      <c r="F282" t="s">
        <v>1508</v>
      </c>
      <c r="G282" t="s">
        <v>1982</v>
      </c>
      <c r="H282" t="s">
        <v>1944</v>
      </c>
      <c r="I282" t="s">
        <v>1384</v>
      </c>
      <c r="J282" t="s">
        <v>1384</v>
      </c>
      <c r="K282" t="b">
        <v>0</v>
      </c>
      <c r="L282" t="b">
        <v>1</v>
      </c>
      <c r="M282" t="s">
        <v>1510</v>
      </c>
      <c r="N282" t="s">
        <v>1511</v>
      </c>
      <c r="O282" t="s">
        <v>1512</v>
      </c>
      <c r="P282" t="s">
        <v>1513</v>
      </c>
      <c r="Q282" t="s">
        <v>1514</v>
      </c>
    </row>
    <row r="283" spans="1:17" x14ac:dyDescent="0.25">
      <c r="A283" t="s">
        <v>39</v>
      </c>
      <c r="B283" t="s">
        <v>1989</v>
      </c>
      <c r="C283" t="s">
        <v>399</v>
      </c>
      <c r="D283" t="s">
        <v>1432</v>
      </c>
      <c r="E283">
        <v>-92.7</v>
      </c>
      <c r="F283" t="s">
        <v>1508</v>
      </c>
      <c r="G283" t="s">
        <v>1982</v>
      </c>
      <c r="H283" t="s">
        <v>1944</v>
      </c>
      <c r="I283" t="s">
        <v>1384</v>
      </c>
      <c r="J283" t="s">
        <v>1384</v>
      </c>
      <c r="K283" t="b">
        <v>0</v>
      </c>
      <c r="L283" t="b">
        <v>1</v>
      </c>
      <c r="M283" t="s">
        <v>1510</v>
      </c>
      <c r="N283" t="s">
        <v>1511</v>
      </c>
      <c r="O283" t="s">
        <v>1512</v>
      </c>
      <c r="P283" t="s">
        <v>1513</v>
      </c>
      <c r="Q283" t="s">
        <v>1514</v>
      </c>
    </row>
    <row r="284" spans="1:17" x14ac:dyDescent="0.25">
      <c r="A284" t="s">
        <v>39</v>
      </c>
      <c r="B284" t="s">
        <v>1990</v>
      </c>
      <c r="C284" t="s">
        <v>399</v>
      </c>
      <c r="D284" t="s">
        <v>1436</v>
      </c>
      <c r="E284">
        <v>-94.39999999999999</v>
      </c>
      <c r="F284" t="s">
        <v>1508</v>
      </c>
      <c r="G284" t="s">
        <v>1982</v>
      </c>
      <c r="H284" t="s">
        <v>1944</v>
      </c>
      <c r="I284" t="s">
        <v>1384</v>
      </c>
      <c r="J284" t="s">
        <v>1384</v>
      </c>
      <c r="K284" t="b">
        <v>0</v>
      </c>
      <c r="L284" t="b">
        <v>1</v>
      </c>
      <c r="M284" t="s">
        <v>1510</v>
      </c>
      <c r="N284" t="s">
        <v>1511</v>
      </c>
      <c r="O284" t="s">
        <v>1512</v>
      </c>
      <c r="P284" t="s">
        <v>1513</v>
      </c>
      <c r="Q284" t="s">
        <v>1514</v>
      </c>
    </row>
    <row r="285" spans="1:17" x14ac:dyDescent="0.25">
      <c r="A285" t="s">
        <v>39</v>
      </c>
      <c r="B285" t="s">
        <v>1991</v>
      </c>
      <c r="C285" t="s">
        <v>399</v>
      </c>
      <c r="D285" t="s">
        <v>1439</v>
      </c>
      <c r="E285">
        <v>-93.50000000000003</v>
      </c>
      <c r="F285" t="s">
        <v>1508</v>
      </c>
      <c r="G285" t="s">
        <v>1982</v>
      </c>
      <c r="H285" t="s">
        <v>1944</v>
      </c>
      <c r="I285" t="s">
        <v>1384</v>
      </c>
      <c r="J285" t="s">
        <v>1384</v>
      </c>
      <c r="K285" t="b">
        <v>0</v>
      </c>
      <c r="L285" t="b">
        <v>1</v>
      </c>
      <c r="M285" t="s">
        <v>1510</v>
      </c>
      <c r="N285" t="s">
        <v>1511</v>
      </c>
      <c r="O285" t="s">
        <v>1512</v>
      </c>
      <c r="P285" t="s">
        <v>1513</v>
      </c>
      <c r="Q285" t="s">
        <v>1514</v>
      </c>
    </row>
    <row r="286" spans="1:17" x14ac:dyDescent="0.25">
      <c r="A286" t="s">
        <v>39</v>
      </c>
      <c r="B286" t="s">
        <v>1992</v>
      </c>
      <c r="C286" t="s">
        <v>399</v>
      </c>
      <c r="D286" t="s">
        <v>1442</v>
      </c>
      <c r="E286">
        <v>-93.52999999999997</v>
      </c>
      <c r="F286" t="s">
        <v>1508</v>
      </c>
      <c r="G286" t="s">
        <v>1982</v>
      </c>
      <c r="H286" t="s">
        <v>1944</v>
      </c>
      <c r="I286" t="s">
        <v>1384</v>
      </c>
      <c r="J286" t="s">
        <v>1384</v>
      </c>
      <c r="K286" t="b">
        <v>0</v>
      </c>
      <c r="L286" t="b">
        <v>1</v>
      </c>
      <c r="M286" t="s">
        <v>1510</v>
      </c>
      <c r="N286" t="s">
        <v>1511</v>
      </c>
      <c r="O286" t="s">
        <v>1512</v>
      </c>
      <c r="P286" t="s">
        <v>1513</v>
      </c>
      <c r="Q286" t="s">
        <v>1514</v>
      </c>
    </row>
    <row r="287" spans="1:17" x14ac:dyDescent="0.25">
      <c r="A287" t="s">
        <v>39</v>
      </c>
      <c r="B287" t="s">
        <v>1993</v>
      </c>
      <c r="C287" t="s">
        <v>307</v>
      </c>
      <c r="D287" t="s">
        <v>1379</v>
      </c>
      <c r="E287">
        <v>53888</v>
      </c>
      <c r="F287" t="s">
        <v>1380</v>
      </c>
      <c r="G287" t="s">
        <v>1994</v>
      </c>
      <c r="H287" t="s">
        <v>1944</v>
      </c>
      <c r="I287" t="s">
        <v>1995</v>
      </c>
      <c r="J287" t="s">
        <v>1384</v>
      </c>
      <c r="K287" t="b">
        <v>1</v>
      </c>
      <c r="L287" t="b">
        <v>0</v>
      </c>
      <c r="M287" t="s">
        <v>1384</v>
      </c>
      <c r="N287" t="s">
        <v>1385</v>
      </c>
      <c r="O287" t="s">
        <v>1386</v>
      </c>
      <c r="P287" t="s">
        <v>1387</v>
      </c>
      <c r="Q287" t="s">
        <v>1996</v>
      </c>
    </row>
    <row r="288" spans="1:17" x14ac:dyDescent="0.25">
      <c r="A288" t="s">
        <v>39</v>
      </c>
      <c r="B288" t="s">
        <v>1997</v>
      </c>
      <c r="C288" t="s">
        <v>307</v>
      </c>
      <c r="D288" t="s">
        <v>1390</v>
      </c>
      <c r="E288">
        <v>49343</v>
      </c>
      <c r="F288" t="s">
        <v>1380</v>
      </c>
      <c r="G288" t="s">
        <v>1546</v>
      </c>
      <c r="H288" t="s">
        <v>1944</v>
      </c>
      <c r="I288" t="s">
        <v>1548</v>
      </c>
      <c r="J288" t="s">
        <v>1384</v>
      </c>
      <c r="K288" t="b">
        <v>1</v>
      </c>
      <c r="L288" t="b">
        <v>0</v>
      </c>
      <c r="M288" t="s">
        <v>1384</v>
      </c>
      <c r="N288" t="s">
        <v>1385</v>
      </c>
      <c r="O288" t="s">
        <v>1386</v>
      </c>
      <c r="P288" t="s">
        <v>1387</v>
      </c>
      <c r="Q288" t="s">
        <v>1998</v>
      </c>
    </row>
    <row r="289" spans="1:17" x14ac:dyDescent="0.25">
      <c r="A289" t="s">
        <v>39</v>
      </c>
      <c r="B289" t="s">
        <v>1999</v>
      </c>
      <c r="C289" t="s">
        <v>307</v>
      </c>
      <c r="D289" t="s">
        <v>1394</v>
      </c>
      <c r="E289">
        <v>49529</v>
      </c>
      <c r="F289" t="s">
        <v>1380</v>
      </c>
      <c r="G289" t="s">
        <v>1551</v>
      </c>
      <c r="H289" t="s">
        <v>1944</v>
      </c>
      <c r="I289" t="s">
        <v>1392</v>
      </c>
      <c r="J289" t="s">
        <v>1384</v>
      </c>
      <c r="K289" t="b">
        <v>1</v>
      </c>
      <c r="L289" t="b">
        <v>0</v>
      </c>
      <c r="M289" t="s">
        <v>1384</v>
      </c>
      <c r="N289" t="s">
        <v>1385</v>
      </c>
      <c r="O289" t="s">
        <v>1386</v>
      </c>
      <c r="P289" t="s">
        <v>1387</v>
      </c>
      <c r="Q289" t="s">
        <v>2000</v>
      </c>
    </row>
    <row r="290" spans="1:17" x14ac:dyDescent="0.25">
      <c r="A290" t="s">
        <v>39</v>
      </c>
      <c r="B290" t="s">
        <v>2001</v>
      </c>
      <c r="C290" t="s">
        <v>307</v>
      </c>
      <c r="D290" t="s">
        <v>1398</v>
      </c>
      <c r="E290">
        <v>49605</v>
      </c>
      <c r="F290" t="s">
        <v>1380</v>
      </c>
      <c r="G290" t="s">
        <v>1553</v>
      </c>
      <c r="H290" t="s">
        <v>1944</v>
      </c>
      <c r="I290" t="s">
        <v>1396</v>
      </c>
      <c r="J290" t="s">
        <v>1384</v>
      </c>
      <c r="K290" t="b">
        <v>1</v>
      </c>
      <c r="L290" t="b">
        <v>0</v>
      </c>
      <c r="M290" t="s">
        <v>1384</v>
      </c>
      <c r="N290" t="s">
        <v>1385</v>
      </c>
      <c r="O290" t="s">
        <v>1386</v>
      </c>
      <c r="P290" t="s">
        <v>1387</v>
      </c>
      <c r="Q290" t="s">
        <v>2002</v>
      </c>
    </row>
    <row r="291" spans="1:17" x14ac:dyDescent="0.25">
      <c r="A291" t="s">
        <v>39</v>
      </c>
      <c r="B291" t="s">
        <v>2003</v>
      </c>
      <c r="C291" t="s">
        <v>307</v>
      </c>
      <c r="D291" t="s">
        <v>1402</v>
      </c>
      <c r="E291">
        <v>73387</v>
      </c>
      <c r="F291" t="s">
        <v>1380</v>
      </c>
      <c r="G291" t="s">
        <v>1555</v>
      </c>
      <c r="H291" t="s">
        <v>1944</v>
      </c>
      <c r="I291" t="s">
        <v>1556</v>
      </c>
      <c r="J291" t="s">
        <v>1384</v>
      </c>
      <c r="K291" t="b">
        <v>1</v>
      </c>
      <c r="L291" t="b">
        <v>0</v>
      </c>
      <c r="M291" t="s">
        <v>1384</v>
      </c>
      <c r="N291" t="s">
        <v>1385</v>
      </c>
      <c r="O291" t="s">
        <v>1386</v>
      </c>
      <c r="P291" t="s">
        <v>1387</v>
      </c>
      <c r="Q291" t="s">
        <v>2004</v>
      </c>
    </row>
    <row r="292" spans="1:17" x14ac:dyDescent="0.25">
      <c r="A292" t="s">
        <v>39</v>
      </c>
      <c r="B292" t="s">
        <v>2005</v>
      </c>
      <c r="C292" t="s">
        <v>307</v>
      </c>
      <c r="D292" t="s">
        <v>1420</v>
      </c>
      <c r="E292">
        <v>72852</v>
      </c>
      <c r="F292" t="s">
        <v>1380</v>
      </c>
      <c r="G292" t="s">
        <v>1558</v>
      </c>
      <c r="H292" t="s">
        <v>1944</v>
      </c>
      <c r="I292" t="s">
        <v>1383</v>
      </c>
      <c r="J292" t="s">
        <v>1384</v>
      </c>
      <c r="K292" t="b">
        <v>1</v>
      </c>
      <c r="L292" t="b">
        <v>0</v>
      </c>
      <c r="M292" t="s">
        <v>1384</v>
      </c>
      <c r="N292" t="s">
        <v>1385</v>
      </c>
      <c r="O292" t="s">
        <v>1386</v>
      </c>
      <c r="P292" t="s">
        <v>1387</v>
      </c>
      <c r="Q292" t="s">
        <v>2006</v>
      </c>
    </row>
    <row r="293" spans="1:17" x14ac:dyDescent="0.25">
      <c r="A293" t="s">
        <v>39</v>
      </c>
      <c r="B293" t="s">
        <v>2007</v>
      </c>
      <c r="C293" t="s">
        <v>307</v>
      </c>
      <c r="D293" t="s">
        <v>1424</v>
      </c>
      <c r="E293">
        <v>71178</v>
      </c>
      <c r="F293" t="s">
        <v>1380</v>
      </c>
      <c r="G293" t="s">
        <v>1560</v>
      </c>
      <c r="H293" t="s">
        <v>1944</v>
      </c>
      <c r="I293" t="s">
        <v>1409</v>
      </c>
      <c r="J293" t="s">
        <v>1384</v>
      </c>
      <c r="K293" t="b">
        <v>1</v>
      </c>
      <c r="L293" t="b">
        <v>0</v>
      </c>
      <c r="M293" t="s">
        <v>1384</v>
      </c>
      <c r="N293" t="s">
        <v>1385</v>
      </c>
      <c r="O293" t="s">
        <v>1386</v>
      </c>
      <c r="P293" t="s">
        <v>1387</v>
      </c>
      <c r="Q293" t="s">
        <v>2008</v>
      </c>
    </row>
    <row r="294" spans="1:17" x14ac:dyDescent="0.25">
      <c r="A294" t="s">
        <v>39</v>
      </c>
      <c r="B294" t="s">
        <v>2009</v>
      </c>
      <c r="C294" t="s">
        <v>307</v>
      </c>
      <c r="D294" t="s">
        <v>1428</v>
      </c>
      <c r="E294">
        <v>75091</v>
      </c>
      <c r="F294" t="s">
        <v>1380</v>
      </c>
      <c r="G294" t="s">
        <v>1562</v>
      </c>
      <c r="H294" t="s">
        <v>1944</v>
      </c>
      <c r="I294" t="s">
        <v>1412</v>
      </c>
      <c r="J294" t="s">
        <v>1384</v>
      </c>
      <c r="K294" t="b">
        <v>1</v>
      </c>
      <c r="L294" t="b">
        <v>0</v>
      </c>
      <c r="M294" t="s">
        <v>1384</v>
      </c>
      <c r="N294" t="s">
        <v>1385</v>
      </c>
      <c r="O294" t="s">
        <v>1386</v>
      </c>
      <c r="P294" t="s">
        <v>1387</v>
      </c>
      <c r="Q294" t="s">
        <v>2010</v>
      </c>
    </row>
    <row r="295" spans="1:17" x14ac:dyDescent="0.25">
      <c r="A295" t="s">
        <v>39</v>
      </c>
      <c r="B295" t="s">
        <v>2011</v>
      </c>
      <c r="C295" t="s">
        <v>307</v>
      </c>
      <c r="D295" t="s">
        <v>1432</v>
      </c>
      <c r="E295">
        <v>78779</v>
      </c>
      <c r="F295" t="s">
        <v>1380</v>
      </c>
      <c r="G295" t="s">
        <v>1564</v>
      </c>
      <c r="H295" t="s">
        <v>1944</v>
      </c>
      <c r="I295" t="s">
        <v>1565</v>
      </c>
      <c r="J295" t="s">
        <v>1384</v>
      </c>
      <c r="K295" t="b">
        <v>1</v>
      </c>
      <c r="L295" t="b">
        <v>0</v>
      </c>
      <c r="M295" t="s">
        <v>1384</v>
      </c>
      <c r="N295" t="s">
        <v>1385</v>
      </c>
      <c r="O295" t="s">
        <v>1386</v>
      </c>
      <c r="P295" t="s">
        <v>1387</v>
      </c>
      <c r="Q295" t="s">
        <v>2012</v>
      </c>
    </row>
    <row r="296" spans="1:17" x14ac:dyDescent="0.25">
      <c r="A296" t="s">
        <v>39</v>
      </c>
      <c r="B296" t="s">
        <v>2013</v>
      </c>
      <c r="C296" t="s">
        <v>307</v>
      </c>
      <c r="D296" t="s">
        <v>1436</v>
      </c>
      <c r="E296">
        <v>66207</v>
      </c>
      <c r="F296" t="s">
        <v>1380</v>
      </c>
      <c r="G296" t="s">
        <v>1567</v>
      </c>
      <c r="H296" t="s">
        <v>1944</v>
      </c>
      <c r="I296" t="s">
        <v>1418</v>
      </c>
      <c r="J296" t="s">
        <v>1384</v>
      </c>
      <c r="K296" t="b">
        <v>1</v>
      </c>
      <c r="L296" t="b">
        <v>0</v>
      </c>
      <c r="M296" t="s">
        <v>1384</v>
      </c>
      <c r="N296" t="s">
        <v>1385</v>
      </c>
      <c r="O296" t="s">
        <v>1386</v>
      </c>
      <c r="P296" t="s">
        <v>1387</v>
      </c>
      <c r="Q296" t="s">
        <v>2014</v>
      </c>
    </row>
    <row r="297" spans="1:17" x14ac:dyDescent="0.25">
      <c r="A297" t="s">
        <v>39</v>
      </c>
      <c r="B297" t="s">
        <v>2015</v>
      </c>
      <c r="C297" t="s">
        <v>307</v>
      </c>
      <c r="D297" t="s">
        <v>1439</v>
      </c>
      <c r="E297">
        <v>57741</v>
      </c>
      <c r="F297" t="s">
        <v>1380</v>
      </c>
      <c r="G297" t="s">
        <v>1569</v>
      </c>
      <c r="H297" t="s">
        <v>1944</v>
      </c>
      <c r="I297" t="s">
        <v>1422</v>
      </c>
      <c r="J297" t="s">
        <v>1384</v>
      </c>
      <c r="K297" t="b">
        <v>1</v>
      </c>
      <c r="L297" t="b">
        <v>0</v>
      </c>
      <c r="M297" t="s">
        <v>1384</v>
      </c>
      <c r="N297" t="s">
        <v>1385</v>
      </c>
      <c r="O297" t="s">
        <v>1386</v>
      </c>
      <c r="P297" t="s">
        <v>1387</v>
      </c>
      <c r="Q297" t="s">
        <v>2016</v>
      </c>
    </row>
    <row r="298" spans="1:17" x14ac:dyDescent="0.25">
      <c r="A298" t="s">
        <v>39</v>
      </c>
      <c r="B298" t="s">
        <v>2017</v>
      </c>
      <c r="C298" t="s">
        <v>307</v>
      </c>
      <c r="D298" t="s">
        <v>1442</v>
      </c>
      <c r="E298">
        <v>66922</v>
      </c>
      <c r="F298" t="s">
        <v>1380</v>
      </c>
      <c r="G298" t="s">
        <v>1571</v>
      </c>
      <c r="H298" t="s">
        <v>1944</v>
      </c>
      <c r="I298" t="s">
        <v>1426</v>
      </c>
      <c r="J298" t="s">
        <v>1384</v>
      </c>
      <c r="K298" t="b">
        <v>1</v>
      </c>
      <c r="L298" t="b">
        <v>0</v>
      </c>
      <c r="M298" t="s">
        <v>1384</v>
      </c>
      <c r="N298" t="s">
        <v>1385</v>
      </c>
      <c r="O298" t="s">
        <v>1386</v>
      </c>
      <c r="P298" t="s">
        <v>1387</v>
      </c>
      <c r="Q298" t="s">
        <v>2018</v>
      </c>
    </row>
    <row r="299" spans="1:17" x14ac:dyDescent="0.25">
      <c r="A299" t="s">
        <v>39</v>
      </c>
      <c r="B299" t="s">
        <v>2019</v>
      </c>
      <c r="C299" t="s">
        <v>420</v>
      </c>
      <c r="D299" t="s">
        <v>1379</v>
      </c>
      <c r="E299">
        <v>69472</v>
      </c>
      <c r="F299" t="s">
        <v>1446</v>
      </c>
      <c r="G299" t="s">
        <v>1785</v>
      </c>
      <c r="H299" t="s">
        <v>1547</v>
      </c>
      <c r="I299" t="s">
        <v>1548</v>
      </c>
      <c r="J299" t="s">
        <v>1384</v>
      </c>
      <c r="K299" t="b">
        <v>1</v>
      </c>
      <c r="L299" t="b">
        <v>0</v>
      </c>
      <c r="M299" t="s">
        <v>1384</v>
      </c>
      <c r="N299" t="s">
        <v>1385</v>
      </c>
      <c r="O299" t="s">
        <v>1386</v>
      </c>
      <c r="P299" t="s">
        <v>1387</v>
      </c>
      <c r="Q299" t="s">
        <v>1786</v>
      </c>
    </row>
    <row r="300" spans="1:17" x14ac:dyDescent="0.25">
      <c r="A300" t="s">
        <v>39</v>
      </c>
      <c r="B300" t="s">
        <v>2020</v>
      </c>
      <c r="C300" t="s">
        <v>420</v>
      </c>
      <c r="D300" t="s">
        <v>1390</v>
      </c>
      <c r="E300">
        <v>67472</v>
      </c>
      <c r="F300" t="s">
        <v>1446</v>
      </c>
      <c r="G300" t="s">
        <v>1788</v>
      </c>
      <c r="H300" t="s">
        <v>1547</v>
      </c>
      <c r="I300" t="s">
        <v>1392</v>
      </c>
      <c r="J300" t="s">
        <v>1384</v>
      </c>
      <c r="K300" t="b">
        <v>1</v>
      </c>
      <c r="L300" t="b">
        <v>0</v>
      </c>
      <c r="M300" t="s">
        <v>1384</v>
      </c>
      <c r="N300" t="s">
        <v>1385</v>
      </c>
      <c r="O300" t="s">
        <v>1386</v>
      </c>
      <c r="P300" t="s">
        <v>1387</v>
      </c>
      <c r="Q300" t="s">
        <v>1786</v>
      </c>
    </row>
    <row r="301" spans="1:17" x14ac:dyDescent="0.25">
      <c r="A301" t="s">
        <v>39</v>
      </c>
      <c r="B301" t="s">
        <v>2021</v>
      </c>
      <c r="C301" t="s">
        <v>420</v>
      </c>
      <c r="D301" t="s">
        <v>1394</v>
      </c>
      <c r="E301">
        <v>67472</v>
      </c>
      <c r="F301" t="s">
        <v>1446</v>
      </c>
      <c r="G301" t="s">
        <v>1788</v>
      </c>
      <c r="H301" t="s">
        <v>1547</v>
      </c>
      <c r="I301" t="s">
        <v>1396</v>
      </c>
      <c r="J301" t="s">
        <v>1384</v>
      </c>
      <c r="K301" t="b">
        <v>1</v>
      </c>
      <c r="L301" t="b">
        <v>0</v>
      </c>
      <c r="M301" t="s">
        <v>1384</v>
      </c>
      <c r="N301" t="s">
        <v>1385</v>
      </c>
      <c r="O301" t="s">
        <v>1386</v>
      </c>
      <c r="P301" t="s">
        <v>1387</v>
      </c>
      <c r="Q301" t="s">
        <v>1786</v>
      </c>
    </row>
    <row r="302" spans="1:17" x14ac:dyDescent="0.25">
      <c r="A302" t="s">
        <v>39</v>
      </c>
      <c r="B302" t="s">
        <v>2022</v>
      </c>
      <c r="C302" t="s">
        <v>420</v>
      </c>
      <c r="D302" t="s">
        <v>1398</v>
      </c>
      <c r="E302">
        <v>67182</v>
      </c>
      <c r="F302" t="s">
        <v>1446</v>
      </c>
      <c r="G302" t="s">
        <v>1791</v>
      </c>
      <c r="H302" t="s">
        <v>1547</v>
      </c>
      <c r="I302" t="s">
        <v>1556</v>
      </c>
      <c r="J302" t="s">
        <v>1384</v>
      </c>
      <c r="K302" t="b">
        <v>1</v>
      </c>
      <c r="L302" t="b">
        <v>0</v>
      </c>
      <c r="M302" t="s">
        <v>1384</v>
      </c>
      <c r="N302" t="s">
        <v>1385</v>
      </c>
      <c r="O302" t="s">
        <v>1386</v>
      </c>
      <c r="P302" t="s">
        <v>1387</v>
      </c>
      <c r="Q302" t="s">
        <v>1786</v>
      </c>
    </row>
    <row r="303" spans="1:17" x14ac:dyDescent="0.25">
      <c r="A303" t="s">
        <v>39</v>
      </c>
      <c r="B303" t="s">
        <v>2023</v>
      </c>
      <c r="C303" t="s">
        <v>420</v>
      </c>
      <c r="D303" t="s">
        <v>1402</v>
      </c>
      <c r="E303">
        <v>66852</v>
      </c>
      <c r="F303" t="s">
        <v>1446</v>
      </c>
      <c r="G303" t="s">
        <v>1793</v>
      </c>
      <c r="H303" t="s">
        <v>1547</v>
      </c>
      <c r="I303" t="s">
        <v>1383</v>
      </c>
      <c r="J303" t="s">
        <v>1384</v>
      </c>
      <c r="K303" t="b">
        <v>1</v>
      </c>
      <c r="L303" t="b">
        <v>0</v>
      </c>
      <c r="M303" t="s">
        <v>1384</v>
      </c>
      <c r="N303" t="s">
        <v>1385</v>
      </c>
      <c r="O303" t="s">
        <v>1386</v>
      </c>
      <c r="P303" t="s">
        <v>1387</v>
      </c>
      <c r="Q303" t="s">
        <v>1786</v>
      </c>
    </row>
    <row r="304" spans="1:17" x14ac:dyDescent="0.25">
      <c r="A304" t="s">
        <v>39</v>
      </c>
      <c r="B304" t="s">
        <v>2024</v>
      </c>
      <c r="C304" t="s">
        <v>420</v>
      </c>
      <c r="D304" t="s">
        <v>1420</v>
      </c>
      <c r="E304">
        <v>62683</v>
      </c>
      <c r="F304" t="s">
        <v>1446</v>
      </c>
      <c r="G304" t="s">
        <v>1795</v>
      </c>
      <c r="H304" t="s">
        <v>1547</v>
      </c>
      <c r="I304" t="s">
        <v>1409</v>
      </c>
      <c r="J304" t="s">
        <v>1384</v>
      </c>
      <c r="K304" t="b">
        <v>1</v>
      </c>
      <c r="L304" t="b">
        <v>0</v>
      </c>
      <c r="M304" t="s">
        <v>1384</v>
      </c>
      <c r="N304" t="s">
        <v>1385</v>
      </c>
      <c r="O304" t="s">
        <v>1386</v>
      </c>
      <c r="P304" t="s">
        <v>1387</v>
      </c>
      <c r="Q304" t="s">
        <v>1786</v>
      </c>
    </row>
    <row r="305" spans="1:17" x14ac:dyDescent="0.25">
      <c r="A305" t="s">
        <v>39</v>
      </c>
      <c r="B305" t="s">
        <v>2025</v>
      </c>
      <c r="C305" t="s">
        <v>420</v>
      </c>
      <c r="D305" t="s">
        <v>1424</v>
      </c>
      <c r="E305">
        <v>60500</v>
      </c>
      <c r="F305" t="s">
        <v>1446</v>
      </c>
      <c r="G305" t="s">
        <v>1797</v>
      </c>
      <c r="H305" t="s">
        <v>1547</v>
      </c>
      <c r="I305" t="s">
        <v>1412</v>
      </c>
      <c r="J305" t="s">
        <v>1384</v>
      </c>
      <c r="K305" t="b">
        <v>1</v>
      </c>
      <c r="L305" t="b">
        <v>0</v>
      </c>
      <c r="M305" t="s">
        <v>1384</v>
      </c>
      <c r="N305" t="s">
        <v>1385</v>
      </c>
      <c r="O305" t="s">
        <v>1386</v>
      </c>
      <c r="P305" t="s">
        <v>1387</v>
      </c>
      <c r="Q305" t="s">
        <v>1786</v>
      </c>
    </row>
    <row r="306" spans="1:17" x14ac:dyDescent="0.25">
      <c r="A306" t="s">
        <v>39</v>
      </c>
      <c r="B306" t="s">
        <v>2026</v>
      </c>
      <c r="C306" t="s">
        <v>420</v>
      </c>
      <c r="D306" t="s">
        <v>1428</v>
      </c>
      <c r="E306">
        <v>58000</v>
      </c>
      <c r="F306" t="s">
        <v>1446</v>
      </c>
      <c r="G306" t="s">
        <v>1799</v>
      </c>
      <c r="H306" t="s">
        <v>1547</v>
      </c>
      <c r="I306" t="s">
        <v>1565</v>
      </c>
      <c r="J306" t="s">
        <v>1384</v>
      </c>
      <c r="K306" t="b">
        <v>1</v>
      </c>
      <c r="L306" t="b">
        <v>0</v>
      </c>
      <c r="M306" t="s">
        <v>1384</v>
      </c>
      <c r="N306" t="s">
        <v>1385</v>
      </c>
      <c r="O306" t="s">
        <v>1386</v>
      </c>
      <c r="P306" t="s">
        <v>1387</v>
      </c>
      <c r="Q306" t="s">
        <v>1786</v>
      </c>
    </row>
    <row r="307" spans="1:17" x14ac:dyDescent="0.25">
      <c r="A307" t="s">
        <v>39</v>
      </c>
      <c r="B307" t="s">
        <v>2027</v>
      </c>
      <c r="C307" t="s">
        <v>420</v>
      </c>
      <c r="D307" t="s">
        <v>1432</v>
      </c>
      <c r="E307">
        <v>58750</v>
      </c>
      <c r="F307" t="s">
        <v>1446</v>
      </c>
      <c r="G307" t="s">
        <v>1801</v>
      </c>
      <c r="H307" t="s">
        <v>1547</v>
      </c>
      <c r="I307" t="s">
        <v>1418</v>
      </c>
      <c r="J307" t="s">
        <v>1384</v>
      </c>
      <c r="K307" t="b">
        <v>1</v>
      </c>
      <c r="L307" t="b">
        <v>0</v>
      </c>
      <c r="M307" t="s">
        <v>1384</v>
      </c>
      <c r="N307" t="s">
        <v>1385</v>
      </c>
      <c r="O307" t="s">
        <v>1386</v>
      </c>
      <c r="P307" t="s">
        <v>1387</v>
      </c>
      <c r="Q307" t="s">
        <v>1786</v>
      </c>
    </row>
    <row r="308" spans="1:17" x14ac:dyDescent="0.25">
      <c r="A308" t="s">
        <v>39</v>
      </c>
      <c r="B308" t="s">
        <v>2028</v>
      </c>
      <c r="C308" t="s">
        <v>420</v>
      </c>
      <c r="D308" t="s">
        <v>1436</v>
      </c>
      <c r="E308">
        <v>56082</v>
      </c>
      <c r="F308" t="s">
        <v>1446</v>
      </c>
      <c r="G308" t="s">
        <v>1803</v>
      </c>
      <c r="H308" t="s">
        <v>1547</v>
      </c>
      <c r="I308" t="s">
        <v>1422</v>
      </c>
      <c r="J308" t="s">
        <v>1384</v>
      </c>
      <c r="K308" t="b">
        <v>1</v>
      </c>
      <c r="L308" t="b">
        <v>0</v>
      </c>
      <c r="M308" t="s">
        <v>1384</v>
      </c>
      <c r="N308" t="s">
        <v>1385</v>
      </c>
      <c r="O308" t="s">
        <v>1386</v>
      </c>
      <c r="P308" t="s">
        <v>1387</v>
      </c>
      <c r="Q308" t="s">
        <v>1786</v>
      </c>
    </row>
    <row r="309" spans="1:17" x14ac:dyDescent="0.25">
      <c r="A309" t="s">
        <v>39</v>
      </c>
      <c r="B309" t="s">
        <v>2029</v>
      </c>
      <c r="C309" t="s">
        <v>420</v>
      </c>
      <c r="D309" t="s">
        <v>1439</v>
      </c>
      <c r="E309">
        <v>55097</v>
      </c>
      <c r="F309" t="s">
        <v>1446</v>
      </c>
      <c r="G309" t="s">
        <v>1805</v>
      </c>
      <c r="H309" t="s">
        <v>1547</v>
      </c>
      <c r="I309" t="s">
        <v>1426</v>
      </c>
      <c r="J309" t="s">
        <v>1384</v>
      </c>
      <c r="K309" t="b">
        <v>1</v>
      </c>
      <c r="L309" t="b">
        <v>0</v>
      </c>
      <c r="M309" t="s">
        <v>1384</v>
      </c>
      <c r="N309" t="s">
        <v>1385</v>
      </c>
      <c r="O309" t="s">
        <v>1386</v>
      </c>
      <c r="P309" t="s">
        <v>1387</v>
      </c>
      <c r="Q309" t="s">
        <v>1786</v>
      </c>
    </row>
    <row r="310" spans="1:17" x14ac:dyDescent="0.25">
      <c r="A310" t="s">
        <v>39</v>
      </c>
      <c r="B310" t="s">
        <v>2030</v>
      </c>
      <c r="C310" t="s">
        <v>420</v>
      </c>
      <c r="D310" t="s">
        <v>1442</v>
      </c>
      <c r="E310">
        <v>68836</v>
      </c>
      <c r="F310" t="s">
        <v>1446</v>
      </c>
      <c r="G310" t="s">
        <v>1807</v>
      </c>
      <c r="H310" t="s">
        <v>1547</v>
      </c>
      <c r="I310" t="s">
        <v>1565</v>
      </c>
      <c r="J310" t="s">
        <v>1384</v>
      </c>
      <c r="K310" t="b">
        <v>1</v>
      </c>
      <c r="L310" t="b">
        <v>0</v>
      </c>
      <c r="M310" t="s">
        <v>1384</v>
      </c>
      <c r="N310" t="s">
        <v>1385</v>
      </c>
      <c r="O310" t="s">
        <v>1386</v>
      </c>
      <c r="P310" t="s">
        <v>1387</v>
      </c>
      <c r="Q310" t="s">
        <v>1808</v>
      </c>
    </row>
    <row r="311" spans="1:17" x14ac:dyDescent="0.25">
      <c r="A311" t="s">
        <v>39</v>
      </c>
      <c r="B311" t="s">
        <v>2031</v>
      </c>
      <c r="C311" t="s">
        <v>421</v>
      </c>
      <c r="D311" t="s">
        <v>1379</v>
      </c>
      <c r="E311">
        <v>69472</v>
      </c>
      <c r="F311" t="s">
        <v>1446</v>
      </c>
      <c r="G311" t="s">
        <v>1785</v>
      </c>
      <c r="H311" t="s">
        <v>1547</v>
      </c>
      <c r="I311" t="s">
        <v>1548</v>
      </c>
      <c r="J311" t="s">
        <v>1384</v>
      </c>
      <c r="K311" t="b">
        <v>1</v>
      </c>
      <c r="L311" t="b">
        <v>0</v>
      </c>
      <c r="M311" t="s">
        <v>1384</v>
      </c>
      <c r="N311" t="s">
        <v>1385</v>
      </c>
      <c r="O311" t="s">
        <v>1386</v>
      </c>
      <c r="P311" t="s">
        <v>1387</v>
      </c>
      <c r="Q311" t="s">
        <v>1786</v>
      </c>
    </row>
    <row r="312" spans="1:17" x14ac:dyDescent="0.25">
      <c r="A312" t="s">
        <v>39</v>
      </c>
      <c r="B312" t="s">
        <v>2032</v>
      </c>
      <c r="C312" t="s">
        <v>421</v>
      </c>
      <c r="D312" t="s">
        <v>1390</v>
      </c>
      <c r="E312">
        <v>67472</v>
      </c>
      <c r="F312" t="s">
        <v>1446</v>
      </c>
      <c r="G312" t="s">
        <v>1788</v>
      </c>
      <c r="H312" t="s">
        <v>1547</v>
      </c>
      <c r="I312" t="s">
        <v>1392</v>
      </c>
      <c r="J312" t="s">
        <v>1384</v>
      </c>
      <c r="K312" t="b">
        <v>1</v>
      </c>
      <c r="L312" t="b">
        <v>0</v>
      </c>
      <c r="M312" t="s">
        <v>1384</v>
      </c>
      <c r="N312" t="s">
        <v>1385</v>
      </c>
      <c r="O312" t="s">
        <v>1386</v>
      </c>
      <c r="P312" t="s">
        <v>1387</v>
      </c>
      <c r="Q312" t="s">
        <v>1786</v>
      </c>
    </row>
    <row r="313" spans="1:17" x14ac:dyDescent="0.25">
      <c r="A313" t="s">
        <v>39</v>
      </c>
      <c r="B313" t="s">
        <v>2033</v>
      </c>
      <c r="C313" t="s">
        <v>421</v>
      </c>
      <c r="D313" t="s">
        <v>1394</v>
      </c>
      <c r="E313">
        <v>67472</v>
      </c>
      <c r="F313" t="s">
        <v>1446</v>
      </c>
      <c r="G313" t="s">
        <v>1788</v>
      </c>
      <c r="H313" t="s">
        <v>1547</v>
      </c>
      <c r="I313" t="s">
        <v>1396</v>
      </c>
      <c r="J313" t="s">
        <v>1384</v>
      </c>
      <c r="K313" t="b">
        <v>1</v>
      </c>
      <c r="L313" t="b">
        <v>0</v>
      </c>
      <c r="M313" t="s">
        <v>1384</v>
      </c>
      <c r="N313" t="s">
        <v>1385</v>
      </c>
      <c r="O313" t="s">
        <v>1386</v>
      </c>
      <c r="P313" t="s">
        <v>1387</v>
      </c>
      <c r="Q313" t="s">
        <v>1786</v>
      </c>
    </row>
    <row r="314" spans="1:17" x14ac:dyDescent="0.25">
      <c r="A314" t="s">
        <v>39</v>
      </c>
      <c r="B314" t="s">
        <v>2034</v>
      </c>
      <c r="C314" t="s">
        <v>421</v>
      </c>
      <c r="D314" t="s">
        <v>1398</v>
      </c>
      <c r="E314">
        <v>67182</v>
      </c>
      <c r="F314" t="s">
        <v>1446</v>
      </c>
      <c r="G314" t="s">
        <v>1791</v>
      </c>
      <c r="H314" t="s">
        <v>1547</v>
      </c>
      <c r="I314" t="s">
        <v>1556</v>
      </c>
      <c r="J314" t="s">
        <v>1384</v>
      </c>
      <c r="K314" t="b">
        <v>1</v>
      </c>
      <c r="L314" t="b">
        <v>0</v>
      </c>
      <c r="M314" t="s">
        <v>1384</v>
      </c>
      <c r="N314" t="s">
        <v>1385</v>
      </c>
      <c r="O314" t="s">
        <v>1386</v>
      </c>
      <c r="P314" t="s">
        <v>1387</v>
      </c>
      <c r="Q314" t="s">
        <v>1786</v>
      </c>
    </row>
    <row r="315" spans="1:17" x14ac:dyDescent="0.25">
      <c r="A315" t="s">
        <v>39</v>
      </c>
      <c r="B315" t="s">
        <v>2035</v>
      </c>
      <c r="C315" t="s">
        <v>421</v>
      </c>
      <c r="D315" t="s">
        <v>1402</v>
      </c>
      <c r="E315">
        <v>66852</v>
      </c>
      <c r="F315" t="s">
        <v>1446</v>
      </c>
      <c r="G315" t="s">
        <v>1793</v>
      </c>
      <c r="H315" t="s">
        <v>1547</v>
      </c>
      <c r="I315" t="s">
        <v>1383</v>
      </c>
      <c r="J315" t="s">
        <v>1384</v>
      </c>
      <c r="K315" t="b">
        <v>1</v>
      </c>
      <c r="L315" t="b">
        <v>0</v>
      </c>
      <c r="M315" t="s">
        <v>1384</v>
      </c>
      <c r="N315" t="s">
        <v>1385</v>
      </c>
      <c r="O315" t="s">
        <v>1386</v>
      </c>
      <c r="P315" t="s">
        <v>1387</v>
      </c>
      <c r="Q315" t="s">
        <v>1786</v>
      </c>
    </row>
    <row r="316" spans="1:17" x14ac:dyDescent="0.25">
      <c r="A316" t="s">
        <v>39</v>
      </c>
      <c r="B316" t="s">
        <v>2036</v>
      </c>
      <c r="C316" t="s">
        <v>421</v>
      </c>
      <c r="D316" t="s">
        <v>1420</v>
      </c>
      <c r="E316">
        <v>62683</v>
      </c>
      <c r="F316" t="s">
        <v>1446</v>
      </c>
      <c r="G316" t="s">
        <v>1795</v>
      </c>
      <c r="H316" t="s">
        <v>1547</v>
      </c>
      <c r="I316" t="s">
        <v>1409</v>
      </c>
      <c r="J316" t="s">
        <v>1384</v>
      </c>
      <c r="K316" t="b">
        <v>1</v>
      </c>
      <c r="L316" t="b">
        <v>0</v>
      </c>
      <c r="M316" t="s">
        <v>1384</v>
      </c>
      <c r="N316" t="s">
        <v>1385</v>
      </c>
      <c r="O316" t="s">
        <v>1386</v>
      </c>
      <c r="P316" t="s">
        <v>1387</v>
      </c>
      <c r="Q316" t="s">
        <v>1786</v>
      </c>
    </row>
    <row r="317" spans="1:17" x14ac:dyDescent="0.25">
      <c r="A317" t="s">
        <v>39</v>
      </c>
      <c r="B317" t="s">
        <v>2037</v>
      </c>
      <c r="C317" t="s">
        <v>421</v>
      </c>
      <c r="D317" t="s">
        <v>1424</v>
      </c>
      <c r="E317">
        <v>60500</v>
      </c>
      <c r="F317" t="s">
        <v>1446</v>
      </c>
      <c r="G317" t="s">
        <v>1797</v>
      </c>
      <c r="H317" t="s">
        <v>1547</v>
      </c>
      <c r="I317" t="s">
        <v>1412</v>
      </c>
      <c r="J317" t="s">
        <v>1384</v>
      </c>
      <c r="K317" t="b">
        <v>1</v>
      </c>
      <c r="L317" t="b">
        <v>0</v>
      </c>
      <c r="M317" t="s">
        <v>1384</v>
      </c>
      <c r="N317" t="s">
        <v>1385</v>
      </c>
      <c r="O317" t="s">
        <v>1386</v>
      </c>
      <c r="P317" t="s">
        <v>1387</v>
      </c>
      <c r="Q317" t="s">
        <v>1786</v>
      </c>
    </row>
    <row r="318" spans="1:17" x14ac:dyDescent="0.25">
      <c r="A318" t="s">
        <v>39</v>
      </c>
      <c r="B318" t="s">
        <v>2038</v>
      </c>
      <c r="C318" t="s">
        <v>421</v>
      </c>
      <c r="D318" t="s">
        <v>1428</v>
      </c>
      <c r="E318">
        <v>58000</v>
      </c>
      <c r="F318" t="s">
        <v>1446</v>
      </c>
      <c r="G318" t="s">
        <v>1799</v>
      </c>
      <c r="H318" t="s">
        <v>1547</v>
      </c>
      <c r="I318" t="s">
        <v>1565</v>
      </c>
      <c r="J318" t="s">
        <v>1384</v>
      </c>
      <c r="K318" t="b">
        <v>1</v>
      </c>
      <c r="L318" t="b">
        <v>0</v>
      </c>
      <c r="M318" t="s">
        <v>1384</v>
      </c>
      <c r="N318" t="s">
        <v>1385</v>
      </c>
      <c r="O318" t="s">
        <v>1386</v>
      </c>
      <c r="P318" t="s">
        <v>1387</v>
      </c>
      <c r="Q318" t="s">
        <v>1786</v>
      </c>
    </row>
    <row r="319" spans="1:17" x14ac:dyDescent="0.25">
      <c r="A319" t="s">
        <v>39</v>
      </c>
      <c r="B319" t="s">
        <v>2039</v>
      </c>
      <c r="C319" t="s">
        <v>421</v>
      </c>
      <c r="D319" t="s">
        <v>1432</v>
      </c>
      <c r="E319">
        <v>58750</v>
      </c>
      <c r="F319" t="s">
        <v>1446</v>
      </c>
      <c r="G319" t="s">
        <v>1801</v>
      </c>
      <c r="H319" t="s">
        <v>1547</v>
      </c>
      <c r="I319" t="s">
        <v>1418</v>
      </c>
      <c r="J319" t="s">
        <v>1384</v>
      </c>
      <c r="K319" t="b">
        <v>1</v>
      </c>
      <c r="L319" t="b">
        <v>0</v>
      </c>
      <c r="M319" t="s">
        <v>1384</v>
      </c>
      <c r="N319" t="s">
        <v>1385</v>
      </c>
      <c r="O319" t="s">
        <v>1386</v>
      </c>
      <c r="P319" t="s">
        <v>1387</v>
      </c>
      <c r="Q319" t="s">
        <v>1786</v>
      </c>
    </row>
    <row r="320" spans="1:17" x14ac:dyDescent="0.25">
      <c r="A320" t="s">
        <v>39</v>
      </c>
      <c r="B320" t="s">
        <v>2040</v>
      </c>
      <c r="C320" t="s">
        <v>421</v>
      </c>
      <c r="D320" t="s">
        <v>1436</v>
      </c>
      <c r="E320">
        <v>56082</v>
      </c>
      <c r="F320" t="s">
        <v>1446</v>
      </c>
      <c r="G320" t="s">
        <v>1803</v>
      </c>
      <c r="H320" t="s">
        <v>1547</v>
      </c>
      <c r="I320" t="s">
        <v>1422</v>
      </c>
      <c r="J320" t="s">
        <v>1384</v>
      </c>
      <c r="K320" t="b">
        <v>1</v>
      </c>
      <c r="L320" t="b">
        <v>0</v>
      </c>
      <c r="M320" t="s">
        <v>1384</v>
      </c>
      <c r="N320" t="s">
        <v>1385</v>
      </c>
      <c r="O320" t="s">
        <v>1386</v>
      </c>
      <c r="P320" t="s">
        <v>1387</v>
      </c>
      <c r="Q320" t="s">
        <v>1786</v>
      </c>
    </row>
    <row r="321" spans="1:17" x14ac:dyDescent="0.25">
      <c r="A321" t="s">
        <v>39</v>
      </c>
      <c r="B321" t="s">
        <v>2041</v>
      </c>
      <c r="C321" t="s">
        <v>421</v>
      </c>
      <c r="D321" t="s">
        <v>1439</v>
      </c>
      <c r="E321">
        <v>55097</v>
      </c>
      <c r="F321" t="s">
        <v>1446</v>
      </c>
      <c r="G321" t="s">
        <v>1805</v>
      </c>
      <c r="H321" t="s">
        <v>1547</v>
      </c>
      <c r="I321" t="s">
        <v>1426</v>
      </c>
      <c r="J321" t="s">
        <v>1384</v>
      </c>
      <c r="K321" t="b">
        <v>1</v>
      </c>
      <c r="L321" t="b">
        <v>0</v>
      </c>
      <c r="M321" t="s">
        <v>1384</v>
      </c>
      <c r="N321" t="s">
        <v>1385</v>
      </c>
      <c r="O321" t="s">
        <v>1386</v>
      </c>
      <c r="P321" t="s">
        <v>1387</v>
      </c>
      <c r="Q321" t="s">
        <v>1786</v>
      </c>
    </row>
    <row r="322" spans="1:17" x14ac:dyDescent="0.25">
      <c r="A322" t="s">
        <v>39</v>
      </c>
      <c r="B322" t="s">
        <v>2042</v>
      </c>
      <c r="C322" t="s">
        <v>421</v>
      </c>
      <c r="D322" t="s">
        <v>1442</v>
      </c>
      <c r="E322">
        <v>68836</v>
      </c>
      <c r="F322" t="s">
        <v>1446</v>
      </c>
      <c r="G322" t="s">
        <v>1807</v>
      </c>
      <c r="H322" t="s">
        <v>1547</v>
      </c>
      <c r="I322" t="s">
        <v>1565</v>
      </c>
      <c r="J322" t="s">
        <v>1384</v>
      </c>
      <c r="K322" t="b">
        <v>1</v>
      </c>
      <c r="L322" t="b">
        <v>0</v>
      </c>
      <c r="M322" t="s">
        <v>1384</v>
      </c>
      <c r="N322" t="s">
        <v>1385</v>
      </c>
      <c r="O322" t="s">
        <v>1386</v>
      </c>
      <c r="P322" t="s">
        <v>1387</v>
      </c>
      <c r="Q322" t="s">
        <v>1808</v>
      </c>
    </row>
    <row r="323" spans="1:17" x14ac:dyDescent="0.25">
      <c r="A323" t="s">
        <v>41</v>
      </c>
      <c r="B323" t="s">
        <v>1404</v>
      </c>
      <c r="C323" t="s">
        <v>436</v>
      </c>
      <c r="D323" t="s">
        <v>1379</v>
      </c>
      <c r="E323">
        <v>0</v>
      </c>
      <c r="F323" t="s">
        <v>2043</v>
      </c>
      <c r="G323" t="s">
        <v>1384</v>
      </c>
      <c r="H323" t="s">
        <v>2044</v>
      </c>
      <c r="I323" t="s">
        <v>1384</v>
      </c>
      <c r="J323" t="s">
        <v>1384</v>
      </c>
      <c r="K323" t="b">
        <v>1</v>
      </c>
      <c r="L323" t="b">
        <v>0</v>
      </c>
      <c r="M323" t="s">
        <v>1384</v>
      </c>
      <c r="N323" t="s">
        <v>1511</v>
      </c>
      <c r="O323" t="s">
        <v>1512</v>
      </c>
      <c r="P323" t="s">
        <v>2045</v>
      </c>
      <c r="Q323" t="s">
        <v>2046</v>
      </c>
    </row>
    <row r="324" spans="1:17" x14ac:dyDescent="0.25">
      <c r="A324" t="s">
        <v>41</v>
      </c>
      <c r="B324" t="s">
        <v>1407</v>
      </c>
      <c r="C324" t="s">
        <v>436</v>
      </c>
      <c r="D324" t="s">
        <v>1390</v>
      </c>
      <c r="E324">
        <v>0</v>
      </c>
      <c r="F324" t="s">
        <v>2043</v>
      </c>
      <c r="G324" t="s">
        <v>1384</v>
      </c>
      <c r="H324" t="s">
        <v>2044</v>
      </c>
      <c r="I324" t="s">
        <v>1384</v>
      </c>
      <c r="J324" t="s">
        <v>1384</v>
      </c>
      <c r="K324" t="b">
        <v>1</v>
      </c>
      <c r="L324" t="b">
        <v>0</v>
      </c>
      <c r="M324" t="s">
        <v>1384</v>
      </c>
      <c r="N324" t="s">
        <v>1511</v>
      </c>
      <c r="O324" t="s">
        <v>1512</v>
      </c>
      <c r="P324" t="s">
        <v>2045</v>
      </c>
      <c r="Q324" t="s">
        <v>2046</v>
      </c>
    </row>
    <row r="325" spans="1:17" x14ac:dyDescent="0.25">
      <c r="A325" t="s">
        <v>41</v>
      </c>
      <c r="B325" t="s">
        <v>1410</v>
      </c>
      <c r="C325" t="s">
        <v>436</v>
      </c>
      <c r="D325" t="s">
        <v>1394</v>
      </c>
      <c r="E325">
        <v>0</v>
      </c>
      <c r="F325" t="s">
        <v>2043</v>
      </c>
      <c r="G325" t="s">
        <v>1384</v>
      </c>
      <c r="H325" t="s">
        <v>2044</v>
      </c>
      <c r="I325" t="s">
        <v>1384</v>
      </c>
      <c r="J325" t="s">
        <v>1384</v>
      </c>
      <c r="K325" t="b">
        <v>1</v>
      </c>
      <c r="L325" t="b">
        <v>0</v>
      </c>
      <c r="M325" t="s">
        <v>1384</v>
      </c>
      <c r="N325" t="s">
        <v>1511</v>
      </c>
      <c r="O325" t="s">
        <v>1512</v>
      </c>
      <c r="P325" t="s">
        <v>2045</v>
      </c>
      <c r="Q325" t="s">
        <v>2046</v>
      </c>
    </row>
    <row r="326" spans="1:17" x14ac:dyDescent="0.25">
      <c r="A326" t="s">
        <v>41</v>
      </c>
      <c r="B326" t="s">
        <v>1416</v>
      </c>
      <c r="C326" t="s">
        <v>436</v>
      </c>
      <c r="D326" t="s">
        <v>1402</v>
      </c>
      <c r="E326">
        <v>0</v>
      </c>
      <c r="F326" t="s">
        <v>2043</v>
      </c>
      <c r="G326" t="s">
        <v>1384</v>
      </c>
      <c r="H326" t="s">
        <v>2044</v>
      </c>
      <c r="I326" t="s">
        <v>1384</v>
      </c>
      <c r="J326" t="s">
        <v>1384</v>
      </c>
      <c r="K326" t="b">
        <v>1</v>
      </c>
      <c r="L326" t="b">
        <v>0</v>
      </c>
      <c r="M326" t="s">
        <v>1384</v>
      </c>
      <c r="N326" t="s">
        <v>1511</v>
      </c>
      <c r="O326" t="s">
        <v>1512</v>
      </c>
      <c r="P326" t="s">
        <v>2045</v>
      </c>
      <c r="Q326" t="s">
        <v>2046</v>
      </c>
    </row>
    <row r="327" spans="1:17" x14ac:dyDescent="0.25">
      <c r="A327" t="s">
        <v>41</v>
      </c>
      <c r="B327" t="s">
        <v>1419</v>
      </c>
      <c r="C327" t="s">
        <v>436</v>
      </c>
      <c r="D327" t="s">
        <v>1420</v>
      </c>
      <c r="E327">
        <v>0</v>
      </c>
      <c r="F327" t="s">
        <v>2043</v>
      </c>
      <c r="G327" t="s">
        <v>1384</v>
      </c>
      <c r="H327" t="s">
        <v>2044</v>
      </c>
      <c r="I327" t="s">
        <v>1384</v>
      </c>
      <c r="J327" t="s">
        <v>1384</v>
      </c>
      <c r="K327" t="b">
        <v>1</v>
      </c>
      <c r="L327" t="b">
        <v>0</v>
      </c>
      <c r="M327" t="s">
        <v>1384</v>
      </c>
      <c r="N327" t="s">
        <v>1511</v>
      </c>
      <c r="O327" t="s">
        <v>1512</v>
      </c>
      <c r="P327" t="s">
        <v>2045</v>
      </c>
      <c r="Q327" t="s">
        <v>2046</v>
      </c>
    </row>
    <row r="328" spans="1:17" x14ac:dyDescent="0.25">
      <c r="A328" t="s">
        <v>41</v>
      </c>
      <c r="B328" t="s">
        <v>1423</v>
      </c>
      <c r="C328" t="s">
        <v>436</v>
      </c>
      <c r="D328" t="s">
        <v>1424</v>
      </c>
      <c r="E328">
        <v>0</v>
      </c>
      <c r="F328" t="s">
        <v>2043</v>
      </c>
      <c r="G328" t="s">
        <v>1384</v>
      </c>
      <c r="H328" t="s">
        <v>2044</v>
      </c>
      <c r="I328" t="s">
        <v>1384</v>
      </c>
      <c r="J328" t="s">
        <v>1384</v>
      </c>
      <c r="K328" t="b">
        <v>1</v>
      </c>
      <c r="L328" t="b">
        <v>0</v>
      </c>
      <c r="M328" t="s">
        <v>1384</v>
      </c>
      <c r="N328" t="s">
        <v>1511</v>
      </c>
      <c r="O328" t="s">
        <v>1512</v>
      </c>
      <c r="P328" t="s">
        <v>2045</v>
      </c>
      <c r="Q328" t="s">
        <v>2046</v>
      </c>
    </row>
    <row r="329" spans="1:17" x14ac:dyDescent="0.25">
      <c r="A329" t="s">
        <v>41</v>
      </c>
      <c r="B329" t="s">
        <v>1431</v>
      </c>
      <c r="C329" t="s">
        <v>436</v>
      </c>
      <c r="D329" t="s">
        <v>1432</v>
      </c>
      <c r="E329">
        <v>0</v>
      </c>
      <c r="F329" t="s">
        <v>2043</v>
      </c>
      <c r="G329" t="s">
        <v>1384</v>
      </c>
      <c r="H329" t="s">
        <v>2044</v>
      </c>
      <c r="I329" t="s">
        <v>1384</v>
      </c>
      <c r="J329" t="s">
        <v>1384</v>
      </c>
      <c r="K329" t="b">
        <v>1</v>
      </c>
      <c r="L329" t="b">
        <v>0</v>
      </c>
      <c r="M329" t="s">
        <v>1384</v>
      </c>
      <c r="N329" t="s">
        <v>1511</v>
      </c>
      <c r="O329" t="s">
        <v>1512</v>
      </c>
      <c r="P329" t="s">
        <v>2045</v>
      </c>
      <c r="Q329" t="s">
        <v>2046</v>
      </c>
    </row>
    <row r="330" spans="1:17" x14ac:dyDescent="0.25">
      <c r="A330" t="s">
        <v>41</v>
      </c>
      <c r="B330" t="s">
        <v>1435</v>
      </c>
      <c r="C330" t="s">
        <v>436</v>
      </c>
      <c r="D330" t="s">
        <v>1436</v>
      </c>
      <c r="E330">
        <v>0</v>
      </c>
      <c r="F330" t="s">
        <v>2043</v>
      </c>
      <c r="G330" t="s">
        <v>1384</v>
      </c>
      <c r="H330" t="s">
        <v>2044</v>
      </c>
      <c r="I330" t="s">
        <v>1384</v>
      </c>
      <c r="J330" t="s">
        <v>1384</v>
      </c>
      <c r="K330" t="b">
        <v>1</v>
      </c>
      <c r="L330" t="b">
        <v>0</v>
      </c>
      <c r="M330" t="s">
        <v>1384</v>
      </c>
      <c r="N330" t="s">
        <v>1511</v>
      </c>
      <c r="O330" t="s">
        <v>1512</v>
      </c>
      <c r="P330" t="s">
        <v>2045</v>
      </c>
      <c r="Q330" t="s">
        <v>2046</v>
      </c>
    </row>
    <row r="331" spans="1:17" x14ac:dyDescent="0.25">
      <c r="A331" t="s">
        <v>41</v>
      </c>
      <c r="B331" t="s">
        <v>1438</v>
      </c>
      <c r="C331" t="s">
        <v>436</v>
      </c>
      <c r="D331" t="s">
        <v>1439</v>
      </c>
      <c r="E331">
        <v>0</v>
      </c>
      <c r="F331" t="s">
        <v>2043</v>
      </c>
      <c r="G331" t="s">
        <v>1384</v>
      </c>
      <c r="H331" t="s">
        <v>2044</v>
      </c>
      <c r="I331" t="s">
        <v>1384</v>
      </c>
      <c r="J331" t="s">
        <v>1384</v>
      </c>
      <c r="K331" t="b">
        <v>1</v>
      </c>
      <c r="L331" t="b">
        <v>0</v>
      </c>
      <c r="M331" t="s">
        <v>1384</v>
      </c>
      <c r="N331" t="s">
        <v>1511</v>
      </c>
      <c r="O331" t="s">
        <v>1512</v>
      </c>
      <c r="P331" t="s">
        <v>2045</v>
      </c>
      <c r="Q331" t="s">
        <v>2046</v>
      </c>
    </row>
    <row r="332" spans="1:17" x14ac:dyDescent="0.25">
      <c r="A332" t="s">
        <v>41</v>
      </c>
      <c r="B332" t="s">
        <v>1445</v>
      </c>
      <c r="C332" t="s">
        <v>2047</v>
      </c>
      <c r="D332" t="s">
        <v>1379</v>
      </c>
      <c r="E332">
        <v>0</v>
      </c>
      <c r="F332" t="s">
        <v>2043</v>
      </c>
      <c r="G332" t="s">
        <v>1384</v>
      </c>
      <c r="H332" t="s">
        <v>2044</v>
      </c>
      <c r="I332" t="s">
        <v>1384</v>
      </c>
      <c r="J332" t="s">
        <v>1384</v>
      </c>
      <c r="K332" t="b">
        <v>1</v>
      </c>
      <c r="L332" t="b">
        <v>0</v>
      </c>
      <c r="M332" t="s">
        <v>1384</v>
      </c>
      <c r="N332" t="s">
        <v>1511</v>
      </c>
      <c r="O332" t="s">
        <v>1512</v>
      </c>
      <c r="P332" t="s">
        <v>2045</v>
      </c>
      <c r="Q332" t="s">
        <v>2046</v>
      </c>
    </row>
    <row r="333" spans="1:17" x14ac:dyDescent="0.25">
      <c r="A333" t="s">
        <v>41</v>
      </c>
      <c r="B333" t="s">
        <v>1449</v>
      </c>
      <c r="C333" t="s">
        <v>2047</v>
      </c>
      <c r="D333" t="s">
        <v>1390</v>
      </c>
      <c r="E333">
        <v>0</v>
      </c>
      <c r="F333" t="s">
        <v>2043</v>
      </c>
      <c r="G333" t="s">
        <v>1384</v>
      </c>
      <c r="H333" t="s">
        <v>2044</v>
      </c>
      <c r="I333" t="s">
        <v>1384</v>
      </c>
      <c r="J333" t="s">
        <v>1384</v>
      </c>
      <c r="K333" t="b">
        <v>1</v>
      </c>
      <c r="L333" t="b">
        <v>0</v>
      </c>
      <c r="M333" t="s">
        <v>1384</v>
      </c>
      <c r="N333" t="s">
        <v>1511</v>
      </c>
      <c r="O333" t="s">
        <v>1512</v>
      </c>
      <c r="P333" t="s">
        <v>2045</v>
      </c>
      <c r="Q333" t="s">
        <v>2046</v>
      </c>
    </row>
    <row r="334" spans="1:17" x14ac:dyDescent="0.25">
      <c r="A334" t="s">
        <v>41</v>
      </c>
      <c r="B334" t="s">
        <v>1451</v>
      </c>
      <c r="C334" t="s">
        <v>2047</v>
      </c>
      <c r="D334" t="s">
        <v>1394</v>
      </c>
      <c r="E334">
        <v>0</v>
      </c>
      <c r="F334" t="s">
        <v>2043</v>
      </c>
      <c r="G334" t="s">
        <v>1384</v>
      </c>
      <c r="H334" t="s">
        <v>2044</v>
      </c>
      <c r="I334" t="s">
        <v>1384</v>
      </c>
      <c r="J334" t="s">
        <v>1384</v>
      </c>
      <c r="K334" t="b">
        <v>1</v>
      </c>
      <c r="L334" t="b">
        <v>0</v>
      </c>
      <c r="M334" t="s">
        <v>1384</v>
      </c>
      <c r="N334" t="s">
        <v>1511</v>
      </c>
      <c r="O334" t="s">
        <v>1512</v>
      </c>
      <c r="P334" t="s">
        <v>2045</v>
      </c>
      <c r="Q334" t="s">
        <v>2046</v>
      </c>
    </row>
    <row r="335" spans="1:17" x14ac:dyDescent="0.25">
      <c r="A335" t="s">
        <v>41</v>
      </c>
      <c r="B335" t="s">
        <v>1456</v>
      </c>
      <c r="C335" t="s">
        <v>2047</v>
      </c>
      <c r="D335" t="s">
        <v>1402</v>
      </c>
      <c r="E335">
        <v>0</v>
      </c>
      <c r="F335" t="s">
        <v>2043</v>
      </c>
      <c r="G335" t="s">
        <v>1384</v>
      </c>
      <c r="H335" t="s">
        <v>2044</v>
      </c>
      <c r="I335" t="s">
        <v>1384</v>
      </c>
      <c r="J335" t="s">
        <v>1384</v>
      </c>
      <c r="K335" t="b">
        <v>1</v>
      </c>
      <c r="L335" t="b">
        <v>0</v>
      </c>
      <c r="M335" t="s">
        <v>1384</v>
      </c>
      <c r="N335" t="s">
        <v>1511</v>
      </c>
      <c r="O335" t="s">
        <v>1512</v>
      </c>
      <c r="P335" t="s">
        <v>2045</v>
      </c>
      <c r="Q335" t="s">
        <v>2046</v>
      </c>
    </row>
    <row r="336" spans="1:17" x14ac:dyDescent="0.25">
      <c r="A336" t="s">
        <v>41</v>
      </c>
      <c r="B336" t="s">
        <v>1458</v>
      </c>
      <c r="C336" t="s">
        <v>2047</v>
      </c>
      <c r="D336" t="s">
        <v>1420</v>
      </c>
      <c r="E336">
        <v>0</v>
      </c>
      <c r="F336" t="s">
        <v>2043</v>
      </c>
      <c r="G336" t="s">
        <v>1384</v>
      </c>
      <c r="H336" t="s">
        <v>2044</v>
      </c>
      <c r="I336" t="s">
        <v>1384</v>
      </c>
      <c r="J336" t="s">
        <v>1384</v>
      </c>
      <c r="K336" t="b">
        <v>1</v>
      </c>
      <c r="L336" t="b">
        <v>0</v>
      </c>
      <c r="M336" t="s">
        <v>1384</v>
      </c>
      <c r="N336" t="s">
        <v>1511</v>
      </c>
      <c r="O336" t="s">
        <v>1512</v>
      </c>
      <c r="P336" t="s">
        <v>2045</v>
      </c>
      <c r="Q336" t="s">
        <v>2046</v>
      </c>
    </row>
    <row r="337" spans="1:17" x14ac:dyDescent="0.25">
      <c r="A337" t="s">
        <v>41</v>
      </c>
      <c r="B337" t="s">
        <v>1460</v>
      </c>
      <c r="C337" t="s">
        <v>2047</v>
      </c>
      <c r="D337" t="s">
        <v>1424</v>
      </c>
      <c r="E337">
        <v>0</v>
      </c>
      <c r="F337" t="s">
        <v>2043</v>
      </c>
      <c r="G337" t="s">
        <v>1384</v>
      </c>
      <c r="H337" t="s">
        <v>2044</v>
      </c>
      <c r="I337" t="s">
        <v>1384</v>
      </c>
      <c r="J337" t="s">
        <v>1384</v>
      </c>
      <c r="K337" t="b">
        <v>1</v>
      </c>
      <c r="L337" t="b">
        <v>0</v>
      </c>
      <c r="M337" t="s">
        <v>1384</v>
      </c>
      <c r="N337" t="s">
        <v>1511</v>
      </c>
      <c r="O337" t="s">
        <v>1512</v>
      </c>
      <c r="P337" t="s">
        <v>2045</v>
      </c>
      <c r="Q337" t="s">
        <v>2046</v>
      </c>
    </row>
    <row r="338" spans="1:17" x14ac:dyDescent="0.25">
      <c r="A338" t="s">
        <v>41</v>
      </c>
      <c r="B338" t="s">
        <v>1465</v>
      </c>
      <c r="C338" t="s">
        <v>2047</v>
      </c>
      <c r="D338" t="s">
        <v>1432</v>
      </c>
      <c r="E338">
        <v>0</v>
      </c>
      <c r="F338" t="s">
        <v>2043</v>
      </c>
      <c r="G338" t="s">
        <v>1384</v>
      </c>
      <c r="H338" t="s">
        <v>2044</v>
      </c>
      <c r="I338" t="s">
        <v>1384</v>
      </c>
      <c r="J338" t="s">
        <v>1384</v>
      </c>
      <c r="K338" t="b">
        <v>1</v>
      </c>
      <c r="L338" t="b">
        <v>0</v>
      </c>
      <c r="M338" t="s">
        <v>1384</v>
      </c>
      <c r="N338" t="s">
        <v>1511</v>
      </c>
      <c r="O338" t="s">
        <v>1512</v>
      </c>
      <c r="P338" t="s">
        <v>2045</v>
      </c>
      <c r="Q338" t="s">
        <v>2046</v>
      </c>
    </row>
    <row r="339" spans="1:17" x14ac:dyDescent="0.25">
      <c r="A339" t="s">
        <v>41</v>
      </c>
      <c r="B339" t="s">
        <v>1467</v>
      </c>
      <c r="C339" t="s">
        <v>2047</v>
      </c>
      <c r="D339" t="s">
        <v>1436</v>
      </c>
      <c r="E339">
        <v>0</v>
      </c>
      <c r="F339" t="s">
        <v>2043</v>
      </c>
      <c r="G339" t="s">
        <v>1384</v>
      </c>
      <c r="H339" t="s">
        <v>2044</v>
      </c>
      <c r="I339" t="s">
        <v>1384</v>
      </c>
      <c r="J339" t="s">
        <v>1384</v>
      </c>
      <c r="K339" t="b">
        <v>1</v>
      </c>
      <c r="L339" t="b">
        <v>0</v>
      </c>
      <c r="M339" t="s">
        <v>1384</v>
      </c>
      <c r="N339" t="s">
        <v>1511</v>
      </c>
      <c r="O339" t="s">
        <v>1512</v>
      </c>
      <c r="P339" t="s">
        <v>2045</v>
      </c>
      <c r="Q339" t="s">
        <v>2046</v>
      </c>
    </row>
    <row r="340" spans="1:17" x14ac:dyDescent="0.25">
      <c r="A340" t="s">
        <v>41</v>
      </c>
      <c r="B340" t="s">
        <v>1469</v>
      </c>
      <c r="C340" t="s">
        <v>2047</v>
      </c>
      <c r="D340" t="s">
        <v>1439</v>
      </c>
      <c r="E340">
        <v>0</v>
      </c>
      <c r="F340" t="s">
        <v>2043</v>
      </c>
      <c r="G340" t="s">
        <v>1384</v>
      </c>
      <c r="H340" t="s">
        <v>2044</v>
      </c>
      <c r="I340" t="s">
        <v>1384</v>
      </c>
      <c r="J340" t="s">
        <v>1384</v>
      </c>
      <c r="K340" t="b">
        <v>1</v>
      </c>
      <c r="L340" t="b">
        <v>0</v>
      </c>
      <c r="M340" t="s">
        <v>1384</v>
      </c>
      <c r="N340" t="s">
        <v>1511</v>
      </c>
      <c r="O340" t="s">
        <v>1512</v>
      </c>
      <c r="P340" t="s">
        <v>2045</v>
      </c>
      <c r="Q340" t="s">
        <v>2046</v>
      </c>
    </row>
    <row r="341" spans="1:17" x14ac:dyDescent="0.25">
      <c r="A341" t="s">
        <v>41</v>
      </c>
      <c r="B341" t="s">
        <v>2048</v>
      </c>
      <c r="C341" t="s">
        <v>436</v>
      </c>
      <c r="D341" t="s">
        <v>1379</v>
      </c>
      <c r="E341">
        <v>0</v>
      </c>
      <c r="F341" t="s">
        <v>2043</v>
      </c>
      <c r="G341" t="s">
        <v>1384</v>
      </c>
      <c r="H341" t="s">
        <v>2044</v>
      </c>
      <c r="I341" t="s">
        <v>1384</v>
      </c>
      <c r="J341" t="s">
        <v>1384</v>
      </c>
      <c r="K341" t="b">
        <v>1</v>
      </c>
      <c r="L341" t="b">
        <v>0</v>
      </c>
      <c r="M341" t="s">
        <v>1384</v>
      </c>
      <c r="N341" t="s">
        <v>1511</v>
      </c>
      <c r="O341" t="s">
        <v>1512</v>
      </c>
      <c r="P341" t="s">
        <v>2045</v>
      </c>
      <c r="Q341" t="s">
        <v>2046</v>
      </c>
    </row>
    <row r="342" spans="1:17" x14ac:dyDescent="0.25">
      <c r="A342" t="s">
        <v>41</v>
      </c>
      <c r="B342" t="s">
        <v>2049</v>
      </c>
      <c r="C342" t="s">
        <v>436</v>
      </c>
      <c r="D342" t="s">
        <v>1402</v>
      </c>
      <c r="E342">
        <v>0</v>
      </c>
      <c r="F342" t="s">
        <v>2043</v>
      </c>
      <c r="G342" t="s">
        <v>1384</v>
      </c>
      <c r="H342" t="s">
        <v>2044</v>
      </c>
      <c r="I342" t="s">
        <v>1384</v>
      </c>
      <c r="J342" t="s">
        <v>1384</v>
      </c>
      <c r="K342" t="b">
        <v>1</v>
      </c>
      <c r="L342" t="b">
        <v>0</v>
      </c>
      <c r="M342" t="s">
        <v>1384</v>
      </c>
      <c r="N342" t="s">
        <v>1511</v>
      </c>
      <c r="O342" t="s">
        <v>1512</v>
      </c>
      <c r="P342" t="s">
        <v>2045</v>
      </c>
      <c r="Q342" t="s">
        <v>2046</v>
      </c>
    </row>
    <row r="343" spans="1:17" x14ac:dyDescent="0.25">
      <c r="A343" t="s">
        <v>41</v>
      </c>
      <c r="B343" t="s">
        <v>2050</v>
      </c>
      <c r="C343" t="s">
        <v>436</v>
      </c>
      <c r="D343" t="s">
        <v>1432</v>
      </c>
      <c r="E343">
        <v>0</v>
      </c>
      <c r="F343" t="s">
        <v>2043</v>
      </c>
      <c r="G343" t="s">
        <v>1384</v>
      </c>
      <c r="H343" t="s">
        <v>2044</v>
      </c>
      <c r="I343" t="s">
        <v>1384</v>
      </c>
      <c r="J343" t="s">
        <v>1384</v>
      </c>
      <c r="K343" t="b">
        <v>1</v>
      </c>
      <c r="L343" t="b">
        <v>0</v>
      </c>
      <c r="M343" t="s">
        <v>1384</v>
      </c>
      <c r="N343" t="s">
        <v>1511</v>
      </c>
      <c r="O343" t="s">
        <v>1512</v>
      </c>
      <c r="P343" t="s">
        <v>2045</v>
      </c>
      <c r="Q343" t="s">
        <v>2046</v>
      </c>
    </row>
    <row r="344" spans="1:17" x14ac:dyDescent="0.25">
      <c r="A344" t="s">
        <v>41</v>
      </c>
      <c r="B344" t="s">
        <v>2051</v>
      </c>
      <c r="C344" t="s">
        <v>2047</v>
      </c>
      <c r="D344" t="s">
        <v>1442</v>
      </c>
      <c r="E344">
        <v>0</v>
      </c>
      <c r="F344" t="s">
        <v>2043</v>
      </c>
      <c r="G344" t="s">
        <v>1384</v>
      </c>
      <c r="H344" t="s">
        <v>2044</v>
      </c>
      <c r="I344" t="s">
        <v>1384</v>
      </c>
      <c r="J344" t="s">
        <v>1384</v>
      </c>
      <c r="K344" t="b">
        <v>1</v>
      </c>
      <c r="L344" t="b">
        <v>0</v>
      </c>
      <c r="M344" t="s">
        <v>1384</v>
      </c>
      <c r="N344" t="s">
        <v>1511</v>
      </c>
      <c r="O344" t="s">
        <v>1512</v>
      </c>
      <c r="P344" t="s">
        <v>2045</v>
      </c>
      <c r="Q344" t="s">
        <v>2046</v>
      </c>
    </row>
    <row r="345" spans="1:17" x14ac:dyDescent="0.25">
      <c r="A345" t="s">
        <v>39</v>
      </c>
      <c r="B345" t="s">
        <v>2052</v>
      </c>
      <c r="C345" t="s">
        <v>118</v>
      </c>
      <c r="D345" t="s">
        <v>1379</v>
      </c>
      <c r="E345">
        <v>0</v>
      </c>
      <c r="F345" t="s">
        <v>2043</v>
      </c>
      <c r="G345" t="s">
        <v>1384</v>
      </c>
      <c r="H345" t="s">
        <v>1944</v>
      </c>
      <c r="I345" t="s">
        <v>1384</v>
      </c>
      <c r="J345" t="s">
        <v>1384</v>
      </c>
      <c r="K345" t="b">
        <v>1</v>
      </c>
      <c r="L345" t="b">
        <v>0</v>
      </c>
      <c r="M345" t="s">
        <v>1384</v>
      </c>
      <c r="N345" t="s">
        <v>1511</v>
      </c>
      <c r="O345" t="s">
        <v>1386</v>
      </c>
      <c r="P345" t="s">
        <v>2053</v>
      </c>
      <c r="Q345" t="s">
        <v>2054</v>
      </c>
    </row>
    <row r="346" spans="1:17" x14ac:dyDescent="0.25">
      <c r="A346" t="s">
        <v>39</v>
      </c>
      <c r="B346" t="s">
        <v>2055</v>
      </c>
      <c r="C346" t="s">
        <v>118</v>
      </c>
      <c r="D346" t="s">
        <v>1390</v>
      </c>
      <c r="E346">
        <v>0</v>
      </c>
      <c r="F346" t="s">
        <v>2043</v>
      </c>
      <c r="G346" t="s">
        <v>1384</v>
      </c>
      <c r="H346" t="s">
        <v>1944</v>
      </c>
      <c r="I346" t="s">
        <v>1384</v>
      </c>
      <c r="J346" t="s">
        <v>1384</v>
      </c>
      <c r="K346" t="b">
        <v>1</v>
      </c>
      <c r="L346" t="b">
        <v>0</v>
      </c>
      <c r="M346" t="s">
        <v>1384</v>
      </c>
      <c r="N346" t="s">
        <v>1511</v>
      </c>
      <c r="O346" t="s">
        <v>1386</v>
      </c>
      <c r="P346" t="s">
        <v>2053</v>
      </c>
      <c r="Q346" t="s">
        <v>2054</v>
      </c>
    </row>
    <row r="347" spans="1:17" x14ac:dyDescent="0.25">
      <c r="A347" t="s">
        <v>39</v>
      </c>
      <c r="B347" t="s">
        <v>2056</v>
      </c>
      <c r="C347" t="s">
        <v>118</v>
      </c>
      <c r="D347" t="s">
        <v>1394</v>
      </c>
      <c r="E347">
        <v>0</v>
      </c>
      <c r="F347" t="s">
        <v>2043</v>
      </c>
      <c r="G347" t="s">
        <v>1384</v>
      </c>
      <c r="H347" t="s">
        <v>1944</v>
      </c>
      <c r="I347" t="s">
        <v>1384</v>
      </c>
      <c r="J347" t="s">
        <v>1384</v>
      </c>
      <c r="K347" t="b">
        <v>1</v>
      </c>
      <c r="L347" t="b">
        <v>0</v>
      </c>
      <c r="M347" t="s">
        <v>1384</v>
      </c>
      <c r="N347" t="s">
        <v>1511</v>
      </c>
      <c r="O347" t="s">
        <v>1386</v>
      </c>
      <c r="P347" t="s">
        <v>2053</v>
      </c>
      <c r="Q347" t="s">
        <v>2054</v>
      </c>
    </row>
    <row r="348" spans="1:17" x14ac:dyDescent="0.25">
      <c r="A348" t="s">
        <v>39</v>
      </c>
      <c r="B348" t="s">
        <v>2057</v>
      </c>
      <c r="C348" t="s">
        <v>118</v>
      </c>
      <c r="D348" t="s">
        <v>1398</v>
      </c>
      <c r="E348">
        <v>0</v>
      </c>
      <c r="F348" t="s">
        <v>2043</v>
      </c>
      <c r="G348" t="s">
        <v>1384</v>
      </c>
      <c r="H348" t="s">
        <v>1944</v>
      </c>
      <c r="I348" t="s">
        <v>1384</v>
      </c>
      <c r="J348" t="s">
        <v>1384</v>
      </c>
      <c r="K348" t="b">
        <v>1</v>
      </c>
      <c r="L348" t="b">
        <v>0</v>
      </c>
      <c r="M348" t="s">
        <v>1384</v>
      </c>
      <c r="N348" t="s">
        <v>1511</v>
      </c>
      <c r="O348" t="s">
        <v>1386</v>
      </c>
      <c r="P348" t="s">
        <v>2053</v>
      </c>
      <c r="Q348" t="s">
        <v>2054</v>
      </c>
    </row>
    <row r="349" spans="1:17" x14ac:dyDescent="0.25">
      <c r="A349" t="s">
        <v>39</v>
      </c>
      <c r="B349" t="s">
        <v>2058</v>
      </c>
      <c r="C349" t="s">
        <v>118</v>
      </c>
      <c r="D349" t="s">
        <v>1402</v>
      </c>
      <c r="E349">
        <v>0</v>
      </c>
      <c r="F349" t="s">
        <v>2043</v>
      </c>
      <c r="G349" t="s">
        <v>1384</v>
      </c>
      <c r="H349" t="s">
        <v>1944</v>
      </c>
      <c r="I349" t="s">
        <v>1384</v>
      </c>
      <c r="J349" t="s">
        <v>1384</v>
      </c>
      <c r="K349" t="b">
        <v>1</v>
      </c>
      <c r="L349" t="b">
        <v>0</v>
      </c>
      <c r="M349" t="s">
        <v>1384</v>
      </c>
      <c r="N349" t="s">
        <v>1511</v>
      </c>
      <c r="O349" t="s">
        <v>1386</v>
      </c>
      <c r="P349" t="s">
        <v>2053</v>
      </c>
      <c r="Q349" t="s">
        <v>2054</v>
      </c>
    </row>
    <row r="350" spans="1:17" x14ac:dyDescent="0.25">
      <c r="A350" t="s">
        <v>39</v>
      </c>
      <c r="B350" t="s">
        <v>2059</v>
      </c>
      <c r="C350" t="s">
        <v>118</v>
      </c>
      <c r="D350" t="s">
        <v>1420</v>
      </c>
      <c r="E350">
        <v>0</v>
      </c>
      <c r="F350" t="s">
        <v>2043</v>
      </c>
      <c r="G350" t="s">
        <v>1384</v>
      </c>
      <c r="H350" t="s">
        <v>1944</v>
      </c>
      <c r="I350" t="s">
        <v>1384</v>
      </c>
      <c r="J350" t="s">
        <v>1384</v>
      </c>
      <c r="K350" t="b">
        <v>1</v>
      </c>
      <c r="L350" t="b">
        <v>0</v>
      </c>
      <c r="M350" t="s">
        <v>1384</v>
      </c>
      <c r="N350" t="s">
        <v>1511</v>
      </c>
      <c r="O350" t="s">
        <v>1386</v>
      </c>
      <c r="P350" t="s">
        <v>2053</v>
      </c>
      <c r="Q350" t="s">
        <v>2054</v>
      </c>
    </row>
    <row r="351" spans="1:17" x14ac:dyDescent="0.25">
      <c r="A351" t="s">
        <v>39</v>
      </c>
      <c r="B351" t="s">
        <v>2060</v>
      </c>
      <c r="C351" t="s">
        <v>118</v>
      </c>
      <c r="D351" t="s">
        <v>1424</v>
      </c>
      <c r="E351">
        <v>0</v>
      </c>
      <c r="F351" t="s">
        <v>2043</v>
      </c>
      <c r="G351" t="s">
        <v>1384</v>
      </c>
      <c r="H351" t="s">
        <v>1944</v>
      </c>
      <c r="I351" t="s">
        <v>1384</v>
      </c>
      <c r="J351" t="s">
        <v>1384</v>
      </c>
      <c r="K351" t="b">
        <v>1</v>
      </c>
      <c r="L351" t="b">
        <v>0</v>
      </c>
      <c r="M351" t="s">
        <v>1384</v>
      </c>
      <c r="N351" t="s">
        <v>1511</v>
      </c>
      <c r="O351" t="s">
        <v>1386</v>
      </c>
      <c r="P351" t="s">
        <v>2053</v>
      </c>
      <c r="Q351" t="s">
        <v>2054</v>
      </c>
    </row>
    <row r="352" spans="1:17" x14ac:dyDescent="0.25">
      <c r="A352" t="s">
        <v>39</v>
      </c>
      <c r="B352" t="s">
        <v>2061</v>
      </c>
      <c r="C352" t="s">
        <v>118</v>
      </c>
      <c r="D352" t="s">
        <v>1428</v>
      </c>
      <c r="E352">
        <v>0</v>
      </c>
      <c r="F352" t="s">
        <v>2043</v>
      </c>
      <c r="G352" t="s">
        <v>1384</v>
      </c>
      <c r="H352" t="s">
        <v>1944</v>
      </c>
      <c r="I352" t="s">
        <v>1384</v>
      </c>
      <c r="J352" t="s">
        <v>1384</v>
      </c>
      <c r="K352" t="b">
        <v>1</v>
      </c>
      <c r="L352" t="b">
        <v>0</v>
      </c>
      <c r="M352" t="s">
        <v>1384</v>
      </c>
      <c r="N352" t="s">
        <v>1511</v>
      </c>
      <c r="O352" t="s">
        <v>1386</v>
      </c>
      <c r="P352" t="s">
        <v>2053</v>
      </c>
      <c r="Q352" t="s">
        <v>2054</v>
      </c>
    </row>
    <row r="353" spans="1:17" x14ac:dyDescent="0.25">
      <c r="A353" t="s">
        <v>39</v>
      </c>
      <c r="B353" t="s">
        <v>2062</v>
      </c>
      <c r="C353" t="s">
        <v>118</v>
      </c>
      <c r="D353" t="s">
        <v>1432</v>
      </c>
      <c r="E353">
        <v>0</v>
      </c>
      <c r="F353" t="s">
        <v>2043</v>
      </c>
      <c r="G353" t="s">
        <v>1384</v>
      </c>
      <c r="H353" t="s">
        <v>1944</v>
      </c>
      <c r="I353" t="s">
        <v>1384</v>
      </c>
      <c r="J353" t="s">
        <v>1384</v>
      </c>
      <c r="K353" t="b">
        <v>1</v>
      </c>
      <c r="L353" t="b">
        <v>0</v>
      </c>
      <c r="M353" t="s">
        <v>1384</v>
      </c>
      <c r="N353" t="s">
        <v>1511</v>
      </c>
      <c r="O353" t="s">
        <v>1386</v>
      </c>
      <c r="P353" t="s">
        <v>2053</v>
      </c>
      <c r="Q353" t="s">
        <v>2054</v>
      </c>
    </row>
    <row r="354" spans="1:17" x14ac:dyDescent="0.25">
      <c r="A354" t="s">
        <v>39</v>
      </c>
      <c r="B354" t="s">
        <v>2063</v>
      </c>
      <c r="C354" t="s">
        <v>118</v>
      </c>
      <c r="D354" t="s">
        <v>1436</v>
      </c>
      <c r="E354">
        <v>0</v>
      </c>
      <c r="F354" t="s">
        <v>2043</v>
      </c>
      <c r="G354" t="s">
        <v>1384</v>
      </c>
      <c r="H354" t="s">
        <v>1944</v>
      </c>
      <c r="I354" t="s">
        <v>1384</v>
      </c>
      <c r="J354" t="s">
        <v>1384</v>
      </c>
      <c r="K354" t="b">
        <v>1</v>
      </c>
      <c r="L354" t="b">
        <v>0</v>
      </c>
      <c r="M354" t="s">
        <v>1384</v>
      </c>
      <c r="N354" t="s">
        <v>1511</v>
      </c>
      <c r="O354" t="s">
        <v>1386</v>
      </c>
      <c r="P354" t="s">
        <v>2053</v>
      </c>
      <c r="Q354" t="s">
        <v>2054</v>
      </c>
    </row>
    <row r="355" spans="1:17" x14ac:dyDescent="0.25">
      <c r="A355" t="s">
        <v>39</v>
      </c>
      <c r="B355" t="s">
        <v>2064</v>
      </c>
      <c r="C355" t="s">
        <v>118</v>
      </c>
      <c r="D355" t="s">
        <v>1439</v>
      </c>
      <c r="E355">
        <v>0</v>
      </c>
      <c r="F355" t="s">
        <v>2043</v>
      </c>
      <c r="G355" t="s">
        <v>1384</v>
      </c>
      <c r="H355" t="s">
        <v>1944</v>
      </c>
      <c r="I355" t="s">
        <v>1384</v>
      </c>
      <c r="J355" t="s">
        <v>1384</v>
      </c>
      <c r="K355" t="b">
        <v>1</v>
      </c>
      <c r="L355" t="b">
        <v>0</v>
      </c>
      <c r="M355" t="s">
        <v>1384</v>
      </c>
      <c r="N355" t="s">
        <v>1511</v>
      </c>
      <c r="O355" t="s">
        <v>1386</v>
      </c>
      <c r="P355" t="s">
        <v>2053</v>
      </c>
      <c r="Q355" t="s">
        <v>2054</v>
      </c>
    </row>
    <row r="356" spans="1:17" x14ac:dyDescent="0.25">
      <c r="A356" t="s">
        <v>39</v>
      </c>
      <c r="B356" t="s">
        <v>2065</v>
      </c>
      <c r="C356" t="s">
        <v>118</v>
      </c>
      <c r="D356" t="s">
        <v>1442</v>
      </c>
      <c r="E356">
        <v>0</v>
      </c>
      <c r="F356" t="s">
        <v>2043</v>
      </c>
      <c r="G356" t="s">
        <v>1384</v>
      </c>
      <c r="H356" t="s">
        <v>1944</v>
      </c>
      <c r="I356" t="s">
        <v>1384</v>
      </c>
      <c r="J356" t="s">
        <v>1384</v>
      </c>
      <c r="K356" t="b">
        <v>1</v>
      </c>
      <c r="L356" t="b">
        <v>0</v>
      </c>
      <c r="M356" t="s">
        <v>1384</v>
      </c>
      <c r="N356" t="s">
        <v>1511</v>
      </c>
      <c r="O356" t="s">
        <v>1386</v>
      </c>
      <c r="P356" t="s">
        <v>2053</v>
      </c>
      <c r="Q356" t="s">
        <v>2054</v>
      </c>
    </row>
    <row r="357" spans="1:17" x14ac:dyDescent="0.25">
      <c r="A357" t="s">
        <v>39</v>
      </c>
      <c r="B357" t="s">
        <v>2066</v>
      </c>
      <c r="C357" t="s">
        <v>366</v>
      </c>
      <c r="D357" t="s">
        <v>1379</v>
      </c>
      <c r="E357">
        <v>0</v>
      </c>
      <c r="F357" t="s">
        <v>2043</v>
      </c>
      <c r="G357" t="s">
        <v>1384</v>
      </c>
      <c r="H357" t="s">
        <v>1944</v>
      </c>
      <c r="I357" t="s">
        <v>1384</v>
      </c>
      <c r="J357" t="s">
        <v>1384</v>
      </c>
      <c r="K357" t="b">
        <v>1</v>
      </c>
      <c r="L357" t="b">
        <v>0</v>
      </c>
      <c r="M357" t="s">
        <v>1384</v>
      </c>
      <c r="N357" t="s">
        <v>1511</v>
      </c>
      <c r="O357" t="s">
        <v>1386</v>
      </c>
      <c r="P357" t="s">
        <v>2053</v>
      </c>
      <c r="Q357" t="s">
        <v>2054</v>
      </c>
    </row>
    <row r="358" spans="1:17" x14ac:dyDescent="0.25">
      <c r="A358" t="s">
        <v>39</v>
      </c>
      <c r="B358" t="s">
        <v>2067</v>
      </c>
      <c r="C358" t="s">
        <v>366</v>
      </c>
      <c r="D358" t="s">
        <v>1390</v>
      </c>
      <c r="E358">
        <v>0</v>
      </c>
      <c r="F358" t="s">
        <v>2043</v>
      </c>
      <c r="G358" t="s">
        <v>1384</v>
      </c>
      <c r="H358" t="s">
        <v>1944</v>
      </c>
      <c r="I358" t="s">
        <v>1384</v>
      </c>
      <c r="J358" t="s">
        <v>1384</v>
      </c>
      <c r="K358" t="b">
        <v>1</v>
      </c>
      <c r="L358" t="b">
        <v>0</v>
      </c>
      <c r="M358" t="s">
        <v>1384</v>
      </c>
      <c r="N358" t="s">
        <v>1511</v>
      </c>
      <c r="O358" t="s">
        <v>1386</v>
      </c>
      <c r="P358" t="s">
        <v>2053</v>
      </c>
      <c r="Q358" t="s">
        <v>2054</v>
      </c>
    </row>
    <row r="359" spans="1:17" x14ac:dyDescent="0.25">
      <c r="A359" t="s">
        <v>39</v>
      </c>
      <c r="B359" t="s">
        <v>2068</v>
      </c>
      <c r="C359" t="s">
        <v>366</v>
      </c>
      <c r="D359" t="s">
        <v>1394</v>
      </c>
      <c r="E359">
        <v>0</v>
      </c>
      <c r="F359" t="s">
        <v>2043</v>
      </c>
      <c r="G359" t="s">
        <v>1384</v>
      </c>
      <c r="H359" t="s">
        <v>1944</v>
      </c>
      <c r="I359" t="s">
        <v>1384</v>
      </c>
      <c r="J359" t="s">
        <v>1384</v>
      </c>
      <c r="K359" t="b">
        <v>1</v>
      </c>
      <c r="L359" t="b">
        <v>0</v>
      </c>
      <c r="M359" t="s">
        <v>1384</v>
      </c>
      <c r="N359" t="s">
        <v>1511</v>
      </c>
      <c r="O359" t="s">
        <v>1386</v>
      </c>
      <c r="P359" t="s">
        <v>2053</v>
      </c>
      <c r="Q359" t="s">
        <v>2054</v>
      </c>
    </row>
    <row r="360" spans="1:17" x14ac:dyDescent="0.25">
      <c r="A360" t="s">
        <v>39</v>
      </c>
      <c r="B360" t="s">
        <v>2069</v>
      </c>
      <c r="C360" t="s">
        <v>366</v>
      </c>
      <c r="D360" t="s">
        <v>1398</v>
      </c>
      <c r="E360">
        <v>0</v>
      </c>
      <c r="F360" t="s">
        <v>2043</v>
      </c>
      <c r="G360" t="s">
        <v>1384</v>
      </c>
      <c r="H360" t="s">
        <v>1944</v>
      </c>
      <c r="I360" t="s">
        <v>1384</v>
      </c>
      <c r="J360" t="s">
        <v>1384</v>
      </c>
      <c r="K360" t="b">
        <v>1</v>
      </c>
      <c r="L360" t="b">
        <v>0</v>
      </c>
      <c r="M360" t="s">
        <v>1384</v>
      </c>
      <c r="N360" t="s">
        <v>1511</v>
      </c>
      <c r="O360" t="s">
        <v>1386</v>
      </c>
      <c r="P360" t="s">
        <v>2053</v>
      </c>
      <c r="Q360" t="s">
        <v>2054</v>
      </c>
    </row>
    <row r="361" spans="1:17" x14ac:dyDescent="0.25">
      <c r="A361" t="s">
        <v>39</v>
      </c>
      <c r="B361" t="s">
        <v>2070</v>
      </c>
      <c r="C361" t="s">
        <v>366</v>
      </c>
      <c r="D361" t="s">
        <v>1402</v>
      </c>
      <c r="E361">
        <v>0</v>
      </c>
      <c r="F361" t="s">
        <v>2043</v>
      </c>
      <c r="G361" t="s">
        <v>1384</v>
      </c>
      <c r="H361" t="s">
        <v>1944</v>
      </c>
      <c r="I361" t="s">
        <v>1384</v>
      </c>
      <c r="J361" t="s">
        <v>1384</v>
      </c>
      <c r="K361" t="b">
        <v>1</v>
      </c>
      <c r="L361" t="b">
        <v>0</v>
      </c>
      <c r="M361" t="s">
        <v>1384</v>
      </c>
      <c r="N361" t="s">
        <v>1511</v>
      </c>
      <c r="O361" t="s">
        <v>1386</v>
      </c>
      <c r="P361" t="s">
        <v>2053</v>
      </c>
      <c r="Q361" t="s">
        <v>2054</v>
      </c>
    </row>
    <row r="362" spans="1:17" x14ac:dyDescent="0.25">
      <c r="A362" t="s">
        <v>39</v>
      </c>
      <c r="B362" t="s">
        <v>2071</v>
      </c>
      <c r="C362" t="s">
        <v>366</v>
      </c>
      <c r="D362" t="s">
        <v>1420</v>
      </c>
      <c r="E362">
        <v>0</v>
      </c>
      <c r="F362" t="s">
        <v>2043</v>
      </c>
      <c r="G362" t="s">
        <v>1384</v>
      </c>
      <c r="H362" t="s">
        <v>1944</v>
      </c>
      <c r="I362" t="s">
        <v>1384</v>
      </c>
      <c r="J362" t="s">
        <v>1384</v>
      </c>
      <c r="K362" t="b">
        <v>1</v>
      </c>
      <c r="L362" t="b">
        <v>0</v>
      </c>
      <c r="M362" t="s">
        <v>1384</v>
      </c>
      <c r="N362" t="s">
        <v>1511</v>
      </c>
      <c r="O362" t="s">
        <v>1386</v>
      </c>
      <c r="P362" t="s">
        <v>2053</v>
      </c>
      <c r="Q362" t="s">
        <v>2054</v>
      </c>
    </row>
    <row r="363" spans="1:17" x14ac:dyDescent="0.25">
      <c r="A363" t="s">
        <v>39</v>
      </c>
      <c r="B363" t="s">
        <v>2072</v>
      </c>
      <c r="C363" t="s">
        <v>366</v>
      </c>
      <c r="D363" t="s">
        <v>1424</v>
      </c>
      <c r="E363">
        <v>0</v>
      </c>
      <c r="F363" t="s">
        <v>2043</v>
      </c>
      <c r="G363" t="s">
        <v>1384</v>
      </c>
      <c r="H363" t="s">
        <v>1944</v>
      </c>
      <c r="I363" t="s">
        <v>1384</v>
      </c>
      <c r="J363" t="s">
        <v>1384</v>
      </c>
      <c r="K363" t="b">
        <v>1</v>
      </c>
      <c r="L363" t="b">
        <v>0</v>
      </c>
      <c r="M363" t="s">
        <v>1384</v>
      </c>
      <c r="N363" t="s">
        <v>1511</v>
      </c>
      <c r="O363" t="s">
        <v>1386</v>
      </c>
      <c r="P363" t="s">
        <v>2053</v>
      </c>
      <c r="Q363" t="s">
        <v>2054</v>
      </c>
    </row>
    <row r="364" spans="1:17" x14ac:dyDescent="0.25">
      <c r="A364" t="s">
        <v>39</v>
      </c>
      <c r="B364" t="s">
        <v>2073</v>
      </c>
      <c r="C364" t="s">
        <v>366</v>
      </c>
      <c r="D364" t="s">
        <v>1428</v>
      </c>
      <c r="E364">
        <v>0</v>
      </c>
      <c r="F364" t="s">
        <v>2043</v>
      </c>
      <c r="G364" t="s">
        <v>1384</v>
      </c>
      <c r="H364" t="s">
        <v>1944</v>
      </c>
      <c r="I364" t="s">
        <v>1384</v>
      </c>
      <c r="J364" t="s">
        <v>1384</v>
      </c>
      <c r="K364" t="b">
        <v>1</v>
      </c>
      <c r="L364" t="b">
        <v>0</v>
      </c>
      <c r="M364" t="s">
        <v>1384</v>
      </c>
      <c r="N364" t="s">
        <v>1511</v>
      </c>
      <c r="O364" t="s">
        <v>1386</v>
      </c>
      <c r="P364" t="s">
        <v>2053</v>
      </c>
      <c r="Q364" t="s">
        <v>2054</v>
      </c>
    </row>
    <row r="365" spans="1:17" x14ac:dyDescent="0.25">
      <c r="A365" t="s">
        <v>39</v>
      </c>
      <c r="B365" t="s">
        <v>2074</v>
      </c>
      <c r="C365" t="s">
        <v>366</v>
      </c>
      <c r="D365" t="s">
        <v>1432</v>
      </c>
      <c r="E365">
        <v>0</v>
      </c>
      <c r="F365" t="s">
        <v>2043</v>
      </c>
      <c r="G365" t="s">
        <v>1384</v>
      </c>
      <c r="H365" t="s">
        <v>1944</v>
      </c>
      <c r="I365" t="s">
        <v>1384</v>
      </c>
      <c r="J365" t="s">
        <v>1384</v>
      </c>
      <c r="K365" t="b">
        <v>1</v>
      </c>
      <c r="L365" t="b">
        <v>0</v>
      </c>
      <c r="M365" t="s">
        <v>1384</v>
      </c>
      <c r="N365" t="s">
        <v>1511</v>
      </c>
      <c r="O365" t="s">
        <v>1386</v>
      </c>
      <c r="P365" t="s">
        <v>2053</v>
      </c>
      <c r="Q365" t="s">
        <v>2054</v>
      </c>
    </row>
    <row r="366" spans="1:17" x14ac:dyDescent="0.25">
      <c r="A366" t="s">
        <v>39</v>
      </c>
      <c r="B366" t="s">
        <v>2075</v>
      </c>
      <c r="C366" t="s">
        <v>366</v>
      </c>
      <c r="D366" t="s">
        <v>1436</v>
      </c>
      <c r="E366">
        <v>0</v>
      </c>
      <c r="F366" t="s">
        <v>2043</v>
      </c>
      <c r="G366" t="s">
        <v>1384</v>
      </c>
      <c r="H366" t="s">
        <v>1944</v>
      </c>
      <c r="I366" t="s">
        <v>1384</v>
      </c>
      <c r="J366" t="s">
        <v>1384</v>
      </c>
      <c r="K366" t="b">
        <v>1</v>
      </c>
      <c r="L366" t="b">
        <v>0</v>
      </c>
      <c r="M366" t="s">
        <v>1384</v>
      </c>
      <c r="N366" t="s">
        <v>1511</v>
      </c>
      <c r="O366" t="s">
        <v>1386</v>
      </c>
      <c r="P366" t="s">
        <v>2053</v>
      </c>
      <c r="Q366" t="s">
        <v>2054</v>
      </c>
    </row>
    <row r="367" spans="1:17" x14ac:dyDescent="0.25">
      <c r="A367" t="s">
        <v>39</v>
      </c>
      <c r="B367" t="s">
        <v>2076</v>
      </c>
      <c r="C367" t="s">
        <v>366</v>
      </c>
      <c r="D367" t="s">
        <v>1439</v>
      </c>
      <c r="E367">
        <v>0</v>
      </c>
      <c r="F367" t="s">
        <v>2043</v>
      </c>
      <c r="G367" t="s">
        <v>1384</v>
      </c>
      <c r="H367" t="s">
        <v>1944</v>
      </c>
      <c r="I367" t="s">
        <v>1384</v>
      </c>
      <c r="J367" t="s">
        <v>1384</v>
      </c>
      <c r="K367" t="b">
        <v>1</v>
      </c>
      <c r="L367" t="b">
        <v>0</v>
      </c>
      <c r="M367" t="s">
        <v>1384</v>
      </c>
      <c r="N367" t="s">
        <v>1511</v>
      </c>
      <c r="O367" t="s">
        <v>1386</v>
      </c>
      <c r="P367" t="s">
        <v>2053</v>
      </c>
      <c r="Q367" t="s">
        <v>2054</v>
      </c>
    </row>
    <row r="368" spans="1:17" x14ac:dyDescent="0.25">
      <c r="A368" t="s">
        <v>39</v>
      </c>
      <c r="B368" t="s">
        <v>2077</v>
      </c>
      <c r="C368" t="s">
        <v>366</v>
      </c>
      <c r="D368" t="s">
        <v>1442</v>
      </c>
      <c r="E368">
        <v>0</v>
      </c>
      <c r="F368" t="s">
        <v>2043</v>
      </c>
      <c r="G368" t="s">
        <v>1384</v>
      </c>
      <c r="H368" t="s">
        <v>1944</v>
      </c>
      <c r="I368" t="s">
        <v>1384</v>
      </c>
      <c r="J368" t="s">
        <v>1384</v>
      </c>
      <c r="K368" t="b">
        <v>1</v>
      </c>
      <c r="L368" t="b">
        <v>0</v>
      </c>
      <c r="M368" t="s">
        <v>1384</v>
      </c>
      <c r="N368" t="s">
        <v>1511</v>
      </c>
      <c r="O368" t="s">
        <v>1386</v>
      </c>
      <c r="P368" t="s">
        <v>2053</v>
      </c>
      <c r="Q368" t="s">
        <v>2054</v>
      </c>
    </row>
    <row r="369" spans="1:17" x14ac:dyDescent="0.25">
      <c r="A369" t="s">
        <v>39</v>
      </c>
      <c r="B369" t="s">
        <v>2078</v>
      </c>
      <c r="C369" t="s">
        <v>367</v>
      </c>
      <c r="D369" t="s">
        <v>1379</v>
      </c>
      <c r="E369">
        <v>0</v>
      </c>
      <c r="F369" t="s">
        <v>2043</v>
      </c>
      <c r="G369" t="s">
        <v>1384</v>
      </c>
      <c r="H369" t="s">
        <v>1944</v>
      </c>
      <c r="I369" t="s">
        <v>1384</v>
      </c>
      <c r="J369" t="s">
        <v>1384</v>
      </c>
      <c r="K369" t="b">
        <v>1</v>
      </c>
      <c r="L369" t="b">
        <v>0</v>
      </c>
      <c r="M369" t="s">
        <v>1384</v>
      </c>
      <c r="N369" t="s">
        <v>1511</v>
      </c>
      <c r="O369" t="s">
        <v>1386</v>
      </c>
      <c r="P369" t="s">
        <v>2053</v>
      </c>
      <c r="Q369" t="s">
        <v>2054</v>
      </c>
    </row>
    <row r="370" spans="1:17" x14ac:dyDescent="0.25">
      <c r="A370" t="s">
        <v>39</v>
      </c>
      <c r="B370" t="s">
        <v>2079</v>
      </c>
      <c r="C370" t="s">
        <v>367</v>
      </c>
      <c r="D370" t="s">
        <v>1390</v>
      </c>
      <c r="E370">
        <v>0</v>
      </c>
      <c r="F370" t="s">
        <v>2043</v>
      </c>
      <c r="G370" t="s">
        <v>1384</v>
      </c>
      <c r="H370" t="s">
        <v>1944</v>
      </c>
      <c r="I370" t="s">
        <v>1384</v>
      </c>
      <c r="J370" t="s">
        <v>1384</v>
      </c>
      <c r="K370" t="b">
        <v>1</v>
      </c>
      <c r="L370" t="b">
        <v>0</v>
      </c>
      <c r="M370" t="s">
        <v>1384</v>
      </c>
      <c r="N370" t="s">
        <v>1511</v>
      </c>
      <c r="O370" t="s">
        <v>1386</v>
      </c>
      <c r="P370" t="s">
        <v>2053</v>
      </c>
      <c r="Q370" t="s">
        <v>2054</v>
      </c>
    </row>
    <row r="371" spans="1:17" x14ac:dyDescent="0.25">
      <c r="A371" t="s">
        <v>39</v>
      </c>
      <c r="B371" t="s">
        <v>2080</v>
      </c>
      <c r="C371" t="s">
        <v>367</v>
      </c>
      <c r="D371" t="s">
        <v>1394</v>
      </c>
      <c r="E371">
        <v>0</v>
      </c>
      <c r="F371" t="s">
        <v>2043</v>
      </c>
      <c r="G371" t="s">
        <v>1384</v>
      </c>
      <c r="H371" t="s">
        <v>1944</v>
      </c>
      <c r="I371" t="s">
        <v>1384</v>
      </c>
      <c r="J371" t="s">
        <v>1384</v>
      </c>
      <c r="K371" t="b">
        <v>1</v>
      </c>
      <c r="L371" t="b">
        <v>0</v>
      </c>
      <c r="M371" t="s">
        <v>1384</v>
      </c>
      <c r="N371" t="s">
        <v>1511</v>
      </c>
      <c r="O371" t="s">
        <v>1386</v>
      </c>
      <c r="P371" t="s">
        <v>2053</v>
      </c>
      <c r="Q371" t="s">
        <v>2054</v>
      </c>
    </row>
    <row r="372" spans="1:17" x14ac:dyDescent="0.25">
      <c r="A372" t="s">
        <v>39</v>
      </c>
      <c r="B372" t="s">
        <v>2081</v>
      </c>
      <c r="C372" t="s">
        <v>367</v>
      </c>
      <c r="D372" t="s">
        <v>1398</v>
      </c>
      <c r="E372">
        <v>0</v>
      </c>
      <c r="F372" t="s">
        <v>2043</v>
      </c>
      <c r="G372" t="s">
        <v>1384</v>
      </c>
      <c r="H372" t="s">
        <v>1944</v>
      </c>
      <c r="I372" t="s">
        <v>1384</v>
      </c>
      <c r="J372" t="s">
        <v>1384</v>
      </c>
      <c r="K372" t="b">
        <v>1</v>
      </c>
      <c r="L372" t="b">
        <v>0</v>
      </c>
      <c r="M372" t="s">
        <v>1384</v>
      </c>
      <c r="N372" t="s">
        <v>1511</v>
      </c>
      <c r="O372" t="s">
        <v>1386</v>
      </c>
      <c r="P372" t="s">
        <v>2053</v>
      </c>
      <c r="Q372" t="s">
        <v>2054</v>
      </c>
    </row>
    <row r="373" spans="1:17" x14ac:dyDescent="0.25">
      <c r="A373" t="s">
        <v>39</v>
      </c>
      <c r="B373" t="s">
        <v>2082</v>
      </c>
      <c r="C373" t="s">
        <v>367</v>
      </c>
      <c r="D373" t="s">
        <v>1402</v>
      </c>
      <c r="E373">
        <v>0</v>
      </c>
      <c r="F373" t="s">
        <v>2043</v>
      </c>
      <c r="G373" t="s">
        <v>1384</v>
      </c>
      <c r="H373" t="s">
        <v>1944</v>
      </c>
      <c r="I373" t="s">
        <v>1384</v>
      </c>
      <c r="J373" t="s">
        <v>1384</v>
      </c>
      <c r="K373" t="b">
        <v>1</v>
      </c>
      <c r="L373" t="b">
        <v>0</v>
      </c>
      <c r="M373" t="s">
        <v>1384</v>
      </c>
      <c r="N373" t="s">
        <v>1511</v>
      </c>
      <c r="O373" t="s">
        <v>1386</v>
      </c>
      <c r="P373" t="s">
        <v>2053</v>
      </c>
      <c r="Q373" t="s">
        <v>2054</v>
      </c>
    </row>
    <row r="374" spans="1:17" x14ac:dyDescent="0.25">
      <c r="A374" t="s">
        <v>39</v>
      </c>
      <c r="B374" t="s">
        <v>2083</v>
      </c>
      <c r="C374" t="s">
        <v>367</v>
      </c>
      <c r="D374" t="s">
        <v>1420</v>
      </c>
      <c r="E374">
        <v>0</v>
      </c>
      <c r="F374" t="s">
        <v>2043</v>
      </c>
      <c r="G374" t="s">
        <v>1384</v>
      </c>
      <c r="H374" t="s">
        <v>1944</v>
      </c>
      <c r="I374" t="s">
        <v>1384</v>
      </c>
      <c r="J374" t="s">
        <v>1384</v>
      </c>
      <c r="K374" t="b">
        <v>1</v>
      </c>
      <c r="L374" t="b">
        <v>0</v>
      </c>
      <c r="M374" t="s">
        <v>1384</v>
      </c>
      <c r="N374" t="s">
        <v>1511</v>
      </c>
      <c r="O374" t="s">
        <v>1386</v>
      </c>
      <c r="P374" t="s">
        <v>2053</v>
      </c>
      <c r="Q374" t="s">
        <v>2054</v>
      </c>
    </row>
    <row r="375" spans="1:17" x14ac:dyDescent="0.25">
      <c r="A375" t="s">
        <v>39</v>
      </c>
      <c r="B375" t="s">
        <v>2084</v>
      </c>
      <c r="C375" t="s">
        <v>367</v>
      </c>
      <c r="D375" t="s">
        <v>1424</v>
      </c>
      <c r="E375">
        <v>0</v>
      </c>
      <c r="F375" t="s">
        <v>2043</v>
      </c>
      <c r="G375" t="s">
        <v>1384</v>
      </c>
      <c r="H375" t="s">
        <v>1944</v>
      </c>
      <c r="I375" t="s">
        <v>1384</v>
      </c>
      <c r="J375" t="s">
        <v>1384</v>
      </c>
      <c r="K375" t="b">
        <v>1</v>
      </c>
      <c r="L375" t="b">
        <v>0</v>
      </c>
      <c r="M375" t="s">
        <v>1384</v>
      </c>
      <c r="N375" t="s">
        <v>1511</v>
      </c>
      <c r="O375" t="s">
        <v>1386</v>
      </c>
      <c r="P375" t="s">
        <v>2053</v>
      </c>
      <c r="Q375" t="s">
        <v>2054</v>
      </c>
    </row>
    <row r="376" spans="1:17" x14ac:dyDescent="0.25">
      <c r="A376" t="s">
        <v>39</v>
      </c>
      <c r="B376" t="s">
        <v>2085</v>
      </c>
      <c r="C376" t="s">
        <v>367</v>
      </c>
      <c r="D376" t="s">
        <v>1428</v>
      </c>
      <c r="E376">
        <v>0</v>
      </c>
      <c r="F376" t="s">
        <v>2043</v>
      </c>
      <c r="G376" t="s">
        <v>1384</v>
      </c>
      <c r="H376" t="s">
        <v>1944</v>
      </c>
      <c r="I376" t="s">
        <v>1384</v>
      </c>
      <c r="J376" t="s">
        <v>1384</v>
      </c>
      <c r="K376" t="b">
        <v>1</v>
      </c>
      <c r="L376" t="b">
        <v>0</v>
      </c>
      <c r="M376" t="s">
        <v>1384</v>
      </c>
      <c r="N376" t="s">
        <v>1511</v>
      </c>
      <c r="O376" t="s">
        <v>1386</v>
      </c>
      <c r="P376" t="s">
        <v>2053</v>
      </c>
      <c r="Q376" t="s">
        <v>2054</v>
      </c>
    </row>
    <row r="377" spans="1:17" x14ac:dyDescent="0.25">
      <c r="A377" t="s">
        <v>39</v>
      </c>
      <c r="B377" t="s">
        <v>2086</v>
      </c>
      <c r="C377" t="s">
        <v>367</v>
      </c>
      <c r="D377" t="s">
        <v>1432</v>
      </c>
      <c r="E377">
        <v>0</v>
      </c>
      <c r="F377" t="s">
        <v>2043</v>
      </c>
      <c r="G377" t="s">
        <v>1384</v>
      </c>
      <c r="H377" t="s">
        <v>1944</v>
      </c>
      <c r="I377" t="s">
        <v>1384</v>
      </c>
      <c r="J377" t="s">
        <v>1384</v>
      </c>
      <c r="K377" t="b">
        <v>1</v>
      </c>
      <c r="L377" t="b">
        <v>0</v>
      </c>
      <c r="M377" t="s">
        <v>1384</v>
      </c>
      <c r="N377" t="s">
        <v>1511</v>
      </c>
      <c r="O377" t="s">
        <v>1386</v>
      </c>
      <c r="P377" t="s">
        <v>2053</v>
      </c>
      <c r="Q377" t="s">
        <v>2054</v>
      </c>
    </row>
    <row r="378" spans="1:17" x14ac:dyDescent="0.25">
      <c r="A378" t="s">
        <v>39</v>
      </c>
      <c r="B378" t="s">
        <v>2087</v>
      </c>
      <c r="C378" t="s">
        <v>367</v>
      </c>
      <c r="D378" t="s">
        <v>1436</v>
      </c>
      <c r="E378">
        <v>0</v>
      </c>
      <c r="F378" t="s">
        <v>2043</v>
      </c>
      <c r="G378" t="s">
        <v>1384</v>
      </c>
      <c r="H378" t="s">
        <v>1944</v>
      </c>
      <c r="I378" t="s">
        <v>1384</v>
      </c>
      <c r="J378" t="s">
        <v>1384</v>
      </c>
      <c r="K378" t="b">
        <v>1</v>
      </c>
      <c r="L378" t="b">
        <v>0</v>
      </c>
      <c r="M378" t="s">
        <v>1384</v>
      </c>
      <c r="N378" t="s">
        <v>1511</v>
      </c>
      <c r="O378" t="s">
        <v>1386</v>
      </c>
      <c r="P378" t="s">
        <v>2053</v>
      </c>
      <c r="Q378" t="s">
        <v>2054</v>
      </c>
    </row>
    <row r="379" spans="1:17" x14ac:dyDescent="0.25">
      <c r="A379" t="s">
        <v>39</v>
      </c>
      <c r="B379" t="s">
        <v>2088</v>
      </c>
      <c r="C379" t="s">
        <v>367</v>
      </c>
      <c r="D379" t="s">
        <v>1439</v>
      </c>
      <c r="E379">
        <v>0</v>
      </c>
      <c r="F379" t="s">
        <v>2043</v>
      </c>
      <c r="G379" t="s">
        <v>1384</v>
      </c>
      <c r="H379" t="s">
        <v>1944</v>
      </c>
      <c r="I379" t="s">
        <v>1384</v>
      </c>
      <c r="J379" t="s">
        <v>1384</v>
      </c>
      <c r="K379" t="b">
        <v>1</v>
      </c>
      <c r="L379" t="b">
        <v>0</v>
      </c>
      <c r="M379" t="s">
        <v>1384</v>
      </c>
      <c r="N379" t="s">
        <v>1511</v>
      </c>
      <c r="O379" t="s">
        <v>1386</v>
      </c>
      <c r="P379" t="s">
        <v>2053</v>
      </c>
      <c r="Q379" t="s">
        <v>2054</v>
      </c>
    </row>
    <row r="380" spans="1:17" x14ac:dyDescent="0.25">
      <c r="A380" t="s">
        <v>39</v>
      </c>
      <c r="B380" t="s">
        <v>2089</v>
      </c>
      <c r="C380" t="s">
        <v>367</v>
      </c>
      <c r="D380" t="s">
        <v>1442</v>
      </c>
      <c r="E380">
        <v>0</v>
      </c>
      <c r="F380" t="s">
        <v>2043</v>
      </c>
      <c r="G380" t="s">
        <v>1384</v>
      </c>
      <c r="H380" t="s">
        <v>1944</v>
      </c>
      <c r="I380" t="s">
        <v>1384</v>
      </c>
      <c r="J380" t="s">
        <v>1384</v>
      </c>
      <c r="K380" t="b">
        <v>1</v>
      </c>
      <c r="L380" t="b">
        <v>0</v>
      </c>
      <c r="M380" t="s">
        <v>1384</v>
      </c>
      <c r="N380" t="s">
        <v>1511</v>
      </c>
      <c r="O380" t="s">
        <v>1386</v>
      </c>
      <c r="P380" t="s">
        <v>2053</v>
      </c>
      <c r="Q380" t="s">
        <v>2054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15177.211803414293</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15177.211803414293</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85.73526042525053</v>
      </c>
      <c r="Q11" s="25">
        <f>Valuation!N142</f>
        <v>1.2544112654549178</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68.13685454919187</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0.7916606507807484</v>
      </c>
      <c r="M13" s="8"/>
      <c r="N13" s="32" t="s">
        <v>16</v>
      </c>
      <c r="O13" s="30"/>
      <c r="P13" s="33">
        <f>Valuation!N219</f>
        <v>22.922880687357228</v>
      </c>
      <c r="Q13" s="31">
        <f>Valuation!N220</f>
        <v>-0.39724215915442473</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16987.416794144043</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16987.416794144043</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76.26362221608488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1.005354252329342</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0.18721228897035092</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2472.8640000000005</v>
      </c>
      <c r="H8" s="106">
        <f>Model!Q28</f>
        <v>2494.315</v>
      </c>
      <c r="I8" s="106">
        <f>Model!R28</f>
        <v>2907.6740000000004</v>
      </c>
      <c r="J8" s="107">
        <f>Model!S28</f>
        <v>2948.8239999999987</v>
      </c>
      <c r="K8" s="106">
        <f>Model!U28</f>
        <v>2742.8525100000006</v>
      </c>
      <c r="L8" s="106">
        <f>Model!V28</f>
        <v>2804.45528</v>
      </c>
      <c r="M8" s="106">
        <f>Model!W28</f>
        <v>3225.2027500000004</v>
      </c>
      <c r="N8" s="108">
        <f>Model!X28</f>
        <v>3219.017969999999</v>
      </c>
      <c r="O8" s="106">
        <f>Model!Z28</f>
        <v>2948.7114171000007</v>
      </c>
      <c r="P8" s="106">
        <f>Model!AA28</f>
        <v>3086.9714088000005</v>
      </c>
      <c r="Q8" s="106">
        <f>Model!AB28</f>
        <v>3511.418069500001</v>
      </c>
      <c r="R8" s="106">
        <f>Model!AC28</f>
        <v>3473.7289899999987</v>
      </c>
      <c r="S8" s="8"/>
      <c r="T8" s="106">
        <f>Model!J28</f>
        <v>7441.38</v>
      </c>
      <c r="U8" s="106">
        <f>Model!O28</f>
        <v>10515.069000000001</v>
      </c>
      <c r="V8" s="107">
        <f>Model!T28</f>
        <v>10823.677</v>
      </c>
      <c r="W8" s="106">
        <f>Model!Y28</f>
        <v>11991.52851</v>
      </c>
      <c r="X8" s="106">
        <f>Model!AD28</f>
        <v>13020.829885400002</v>
      </c>
      <c r="Y8" s="106">
        <f>Model!AE28</f>
        <v>13894.990803084002</v>
      </c>
      <c r="Z8" s="106">
        <f>Model!AF28</f>
        <v>14550.91656634524</v>
      </c>
      <c r="AA8" s="106">
        <f>Model!AG28</f>
        <v>14977.125595263211</v>
      </c>
      <c r="AB8" s="8"/>
      <c r="AC8" s="109">
        <f>IFERROR((V8/T8)^(1/(V$4-T$4))-1,"N/A")</f>
        <v>0.20603710750453108</v>
      </c>
      <c r="AD8" s="74"/>
      <c r="AE8" s="109">
        <f>IFERROR((AA8/V8)^(1/(AA$4-V$4))-1,"N/A")</f>
        <v>0.06711378367453325</v>
      </c>
    </row>
    <row r="9" spans="1:31" x14ac:dyDescent="0.25">
      <c r="A9" s="9"/>
      <c r="B9" s="8"/>
      <c r="C9" s="110" t="s">
        <v>104</v>
      </c>
      <c r="D9" s="8"/>
      <c r="E9" s="8"/>
      <c r="F9" s="8"/>
      <c r="G9" s="8"/>
      <c r="H9" s="111"/>
      <c r="I9" s="111"/>
      <c r="J9" s="112"/>
      <c r="K9" s="111">
        <f t="shared" ref="K9:R9" si="0">K8/G8-1</f>
        <v>0.10918049274040142</v>
      </c>
      <c r="L9" s="111">
        <f t="shared" si="0"/>
        <v>0.12433885856437543</v>
      </c>
      <c r="M9" s="111">
        <f t="shared" si="0"/>
        <v>0.10920369683809117</v>
      </c>
      <c r="N9" s="113">
        <f t="shared" si="0"/>
        <v>0.09162770311147783</v>
      </c>
      <c r="O9" s="111">
        <f t="shared" si="0"/>
        <v>0.075052853315835</v>
      </c>
      <c r="P9" s="111">
        <f t="shared" si="0"/>
        <v>0.1007383254833003</v>
      </c>
      <c r="Q9" s="111">
        <f t="shared" si="0"/>
        <v>0.08874335714243098</v>
      </c>
      <c r="R9" s="111">
        <f t="shared" si="0"/>
        <v>0.07912693323672237</v>
      </c>
      <c r="S9" s="8"/>
      <c r="T9" s="111"/>
      <c r="U9" s="111">
        <f t="shared" ref="U9:AA9" si="1">IF(ISERROR(U8/T8-1),"NA",(U8/T8-1))</f>
        <v>0.4130536271498031</v>
      </c>
      <c r="V9" s="112">
        <f t="shared" si="1"/>
        <v>0.029349117918294088</v>
      </c>
      <c r="W9" s="111">
        <f t="shared" si="1"/>
        <v>0.10789785301242816</v>
      </c>
      <c r="X9" s="111">
        <f t="shared" si="1"/>
        <v>0.08583571098060139</v>
      </c>
      <c r="Y9" s="111">
        <f t="shared" si="1"/>
        <v>0.06713557625571775</v>
      </c>
      <c r="Z9" s="111">
        <f t="shared" si="1"/>
        <v>0.04720591561065701</v>
      </c>
      <c r="AA9" s="111">
        <f t="shared" si="1"/>
        <v>0.02929087160761723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1593.0190000000005</v>
      </c>
      <c r="H11" s="106">
        <f>Model!Q30</f>
        <v>1634.4470000000001</v>
      </c>
      <c r="I11" s="106">
        <f>Model!R30</f>
        <v>2047.4320000000005</v>
      </c>
      <c r="J11" s="107">
        <f>Model!S30</f>
        <v>2068.8529999999987</v>
      </c>
      <c r="K11" s="106">
        <f>Model!U30</f>
        <v>1901.7557325000007</v>
      </c>
      <c r="L11" s="106">
        <f>Model!V30</f>
        <v>1909.5562750000001</v>
      </c>
      <c r="M11" s="106">
        <f>Model!W30</f>
        <v>2275.2515175000003</v>
      </c>
      <c r="N11" s="108">
        <f>Model!X30</f>
        <v>2296.6189649999988</v>
      </c>
      <c r="O11" s="106">
        <f>Model!Z30</f>
        <v>2067.029263300001</v>
      </c>
      <c r="P11" s="106">
        <f>Model!AA30</f>
        <v>2192.339255000001</v>
      </c>
      <c r="Q11" s="106">
        <f>Model!AB30</f>
        <v>2603.835915700001</v>
      </c>
      <c r="R11" s="106">
        <f>Model!AC30</f>
        <v>2553.196836199999</v>
      </c>
      <c r="S11" s="8"/>
      <c r="T11" s="106">
        <f>Model!J30</f>
        <v>4700.398</v>
      </c>
      <c r="U11" s="106">
        <f>Model!O30</f>
        <v>7034.803</v>
      </c>
      <c r="V11" s="107">
        <f>Model!T30</f>
        <v>7343.751</v>
      </c>
      <c r="W11" s="106">
        <f>Model!Y30</f>
        <v>8383.18249</v>
      </c>
      <c r="X11" s="106">
        <f>Model!AD30</f>
        <v>9416.401270200002</v>
      </c>
      <c r="Y11" s="106">
        <f>Model!AE30</f>
        <v>17136.803693084003</v>
      </c>
      <c r="Z11" s="106">
        <f>Model!AF30</f>
        <v>17477.72945634524</v>
      </c>
      <c r="AA11" s="106">
        <f>Model!AG30</f>
        <v>17588.938485263214</v>
      </c>
      <c r="AB11" s="8"/>
      <c r="AC11" s="109">
        <f>IFERROR((V11/T11)^(1/(V$4-T$4))-1,"N/A")</f>
        <v>0.24994716293195918</v>
      </c>
      <c r="AD11" s="74"/>
      <c r="AE11" s="109">
        <f>IFERROR((AA11/V11)^(1/(AA$4-V$4))-1,"N/A")</f>
        <v>-0.004400787736185574</v>
      </c>
    </row>
    <row r="12" spans="1:31" x14ac:dyDescent="0.25">
      <c r="A12" s="9"/>
      <c r="B12" s="8"/>
      <c r="C12" s="110" t="s">
        <v>105</v>
      </c>
      <c r="D12" s="8"/>
      <c r="E12" s="8"/>
      <c r="F12" s="8"/>
      <c r="G12" s="111">
        <f t="shared" ref="G12:R12" si="2">G11/G$8</f>
        <v>0.6442000045291614</v>
      </c>
      <c r="H12" s="111">
        <f t="shared" si="2"/>
        <v>0.6552688814363864</v>
      </c>
      <c r="I12" s="111">
        <f t="shared" si="2"/>
        <v>0.7041477139459238</v>
      </c>
      <c r="J12" s="112">
        <f t="shared" si="2"/>
        <v>0.7015857847060386</v>
      </c>
      <c r="K12" s="111">
        <f t="shared" si="2"/>
        <v>0.6933496152514597</v>
      </c>
      <c r="L12" s="111">
        <f t="shared" si="2"/>
        <v>0.6809009537852214</v>
      </c>
      <c r="M12" s="111">
        <f t="shared" si="2"/>
        <v>0.7054599954995078</v>
      </c>
      <c r="N12" s="113">
        <f t="shared" si="2"/>
        <v>0.7134532911600986</v>
      </c>
      <c r="O12" s="111">
        <f t="shared" si="2"/>
        <v>0.7009940855225782</v>
      </c>
      <c r="P12" s="111">
        <f t="shared" si="2"/>
        <v>0.710190981604274</v>
      </c>
      <c r="Q12" s="111">
        <f t="shared" si="2"/>
        <v>0.7415340082449274</v>
      </c>
      <c r="R12" s="111">
        <f t="shared" si="2"/>
        <v>0.7350017354692946</v>
      </c>
      <c r="S12" s="8"/>
      <c r="T12" s="111">
        <f t="shared" ref="T12:AA12" si="3">T11/T$8</f>
        <v>0.6316567625897347</v>
      </c>
      <c r="U12" s="111">
        <f t="shared" si="3"/>
        <v>0.6690210972462471</v>
      </c>
      <c r="V12" s="112">
        <f t="shared" si="3"/>
        <v>0.6784894819015757</v>
      </c>
      <c r="W12" s="111">
        <f t="shared" si="3"/>
        <v>0.6990920701234274</v>
      </c>
      <c r="X12" s="111">
        <f t="shared" si="3"/>
        <v>0.7231798090502991</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0.1938060578687386</v>
      </c>
      <c r="L13" s="111">
        <f t="shared" si="4"/>
        <v>0.1683194835929216</v>
      </c>
      <c r="M13" s="111">
        <f t="shared" si="4"/>
        <v>0.11127085905661316</v>
      </c>
      <c r="N13" s="113">
        <f t="shared" si="4"/>
        <v>0.11009287030059656</v>
      </c>
      <c r="O13" s="111">
        <f t="shared" si="4"/>
        <v>0.08690576185761545</v>
      </c>
      <c r="P13" s="111">
        <f t="shared" si="4"/>
        <v>0.14808831962807734</v>
      </c>
      <c r="Q13" s="111">
        <f t="shared" si="4"/>
        <v>0.1444167362037594</v>
      </c>
      <c r="R13" s="111">
        <f t="shared" si="4"/>
        <v>0.11171982601824437</v>
      </c>
      <c r="S13" s="8"/>
      <c r="T13" s="111"/>
      <c r="U13" s="111">
        <f t="shared" ref="U13:AA13" si="5">U11/T11-1</f>
        <v>0.4966398590076839</v>
      </c>
      <c r="V13" s="112">
        <f t="shared" si="5"/>
        <v>0.04391707912787335</v>
      </c>
      <c r="W13" s="111">
        <f t="shared" si="5"/>
        <v>0.14153958787546017</v>
      </c>
      <c r="X13" s="111">
        <f t="shared" si="5"/>
        <v>0.12324899063482064</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151.0650000000005</v>
      </c>
      <c r="H15" s="106">
        <f>Model!Q36</f>
        <v>134.9010000000003</v>
      </c>
      <c r="I15" s="106">
        <f>Model!R36</f>
        <v>331.8150000000005</v>
      </c>
      <c r="J15" s="107">
        <f>Model!S36</f>
        <v>200.50499999999874</v>
      </c>
      <c r="K15" s="106">
        <f>Model!U36</f>
        <v>292.56286468124995</v>
      </c>
      <c r="L15" s="106">
        <f>Model!V36</f>
        <v>304.6334830180126</v>
      </c>
      <c r="M15" s="106">
        <f>Model!W36</f>
        <v>359.57675150345585</v>
      </c>
      <c r="N15" s="108">
        <f>Model!X36</f>
        <v>355.9426018756485</v>
      </c>
      <c r="O15" s="106">
        <f>Model!Z36</f>
        <v>323.2213815366613</v>
      </c>
      <c r="P15" s="106">
        <f>Model!AA36</f>
        <v>363.1636914637472</v>
      </c>
      <c r="Q15" s="106">
        <f>Model!AB36</f>
        <v>486.0062163551315</v>
      </c>
      <c r="R15" s="106">
        <f>Model!AC36</f>
        <v>512.8261196784065</v>
      </c>
      <c r="S15" s="8"/>
      <c r="T15" s="106">
        <f>Model!J36</f>
        <v>312.9970000000003</v>
      </c>
      <c r="U15" s="106">
        <f>Model!O36</f>
        <v>954.4930000000004</v>
      </c>
      <c r="V15" s="107">
        <f>Model!T36</f>
        <v>818.2860000000001</v>
      </c>
      <c r="W15" s="106">
        <f>Model!Y36</f>
        <v>1312.715701078367</v>
      </c>
      <c r="X15" s="106">
        <f>Model!AD36</f>
        <v>1685.2174090339465</v>
      </c>
      <c r="Y15" s="106">
        <f>Model!AE36</f>
        <v>3110.820816901647</v>
      </c>
      <c r="Z15" s="106">
        <f>Model!AF36</f>
        <v>3232.3522128624954</v>
      </c>
      <c r="AA15" s="106">
        <f>Model!AG36</f>
        <v>3112.230109164375</v>
      </c>
      <c r="AB15" s="8"/>
      <c r="AC15" s="109">
        <f>IFERROR((V15/T15)^(1/(V$4-T$4))-1,"N/A")</f>
        <v>0.6168974383394126</v>
      </c>
      <c r="AD15" s="74"/>
      <c r="AE15" s="109">
        <f>IFERROR((AA15/V15)^(1/(AA$4-V$4))-1,"N/A")</f>
        <v>-0.2294331852555942</v>
      </c>
    </row>
    <row r="16" spans="1:31" x14ac:dyDescent="0.25">
      <c r="A16" s="9"/>
      <c r="B16" s="8"/>
      <c r="C16" s="110" t="s">
        <v>106</v>
      </c>
      <c r="D16" s="8"/>
      <c r="E16" s="8"/>
      <c r="F16" s="8"/>
      <c r="G16" s="111">
        <f t="shared" ref="G16:R16" si="6">G15/G$8</f>
        <v>0.06108908536822101</v>
      </c>
      <c r="H16" s="111">
        <f t="shared" si="6"/>
        <v>0.054083385618897487</v>
      </c>
      <c r="I16" s="111">
        <f t="shared" si="6"/>
        <v>0.11411698835564113</v>
      </c>
      <c r="J16" s="112">
        <f t="shared" si="6"/>
        <v>0.06799490237464116</v>
      </c>
      <c r="K16" s="111">
        <f t="shared" si="6"/>
        <v>0.10666372457673631</v>
      </c>
      <c r="L16" s="111">
        <f t="shared" si="6"/>
        <v>0.10862483177767505</v>
      </c>
      <c r="M16" s="111">
        <f t="shared" si="6"/>
        <v>0.11148965797683752</v>
      </c>
      <c r="N16" s="113">
        <f t="shared" si="6"/>
        <v>0.11057490364853373</v>
      </c>
      <c r="O16" s="111">
        <f t="shared" si="6"/>
        <v>0.10961445045529179</v>
      </c>
      <c r="P16" s="111">
        <f t="shared" si="6"/>
        <v>0.11764400876162309</v>
      </c>
      <c r="Q16" s="111">
        <f t="shared" si="6"/>
        <v>0.13840739175336508</v>
      </c>
      <c r="R16" s="111">
        <f t="shared" si="6"/>
        <v>0.1476298586201472</v>
      </c>
      <c r="S16" s="8"/>
      <c r="T16" s="111">
        <f t="shared" ref="T16:AA16" si="7">T15/T$8</f>
        <v>0.04206168748269814</v>
      </c>
      <c r="U16" s="111">
        <f t="shared" si="7"/>
        <v>0.09077382183607166</v>
      </c>
      <c r="V16" s="112">
        <f t="shared" si="7"/>
        <v>0.07560147997764531</v>
      </c>
      <c r="W16" s="111">
        <f t="shared" si="7"/>
        <v>0.10947025643842354</v>
      </c>
      <c r="X16" s="111">
        <f t="shared" si="7"/>
        <v>0.12942473128564158</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0.9366687497517556</v>
      </c>
      <c r="L17" s="111">
        <f t="shared" si="8"/>
        <v>1.2582003322289084</v>
      </c>
      <c r="M17" s="111">
        <f t="shared" si="8"/>
        <v>0.08366635475628081</v>
      </c>
      <c r="N17" s="113">
        <f t="shared" si="8"/>
        <v>0.7752305522338632</v>
      </c>
      <c r="O17" s="111">
        <f t="shared" si="8"/>
        <v>0.104792919938127</v>
      </c>
      <c r="P17" s="111">
        <f t="shared" si="8"/>
        <v>0.1921332082930418</v>
      </c>
      <c r="Q17" s="111">
        <f t="shared" si="8"/>
        <v>0.3516063380712213</v>
      </c>
      <c r="R17" s="111">
        <f t="shared" si="8"/>
        <v>0.4407551020194165</v>
      </c>
      <c r="S17" s="8"/>
      <c r="T17" s="111"/>
      <c r="U17" s="111">
        <f t="shared" ref="U17:AA17" si="9">U15/T15-1</f>
        <v>2.04952763125525</v>
      </c>
      <c r="V17" s="112">
        <f t="shared" si="9"/>
        <v>-0.142700889372683</v>
      </c>
      <c r="W17" s="111">
        <f t="shared" si="9"/>
        <v>0.6042260298702005</v>
      </c>
      <c r="X17" s="111">
        <f t="shared" si="9"/>
        <v>0.28376419025808697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136.8490000000005</v>
      </c>
      <c r="H19" s="106">
        <f>Model!Q45</f>
        <v>91.3950000000003</v>
      </c>
      <c r="I19" s="106">
        <f>Model!R45</f>
        <v>242.5040000000005</v>
      </c>
      <c r="J19" s="107">
        <f>Model!S45</f>
        <v>162.96799999999877</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221.11700000000033</v>
      </c>
      <c r="U19" s="106">
        <f>Model!O45</f>
        <v>661.2990000000004</v>
      </c>
      <c r="V19" s="107">
        <f>Model!T45</f>
        <v>633.7160000000001</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0.6929193516804895</v>
      </c>
      <c r="AD19" s="74"/>
      <c r="AE19" s="109">
        <f>IFERROR((AA19/V19)^(1/(AA$4-V$4))-1,"N/A")</f>
        <v>-0.27015036741743625</v>
      </c>
    </row>
    <row r="20" spans="1:31" x14ac:dyDescent="0.25">
      <c r="A20" s="9"/>
      <c r="B20" s="8"/>
      <c r="C20" s="110" t="s">
        <v>106</v>
      </c>
      <c r="D20" s="8"/>
      <c r="E20" s="8"/>
      <c r="F20" s="8"/>
      <c r="G20" s="111">
        <f t="shared" ref="G20:R20" si="10">G19/G$8</f>
        <v>0.05534028559597312</v>
      </c>
      <c r="H20" s="111">
        <f t="shared" si="10"/>
        <v>0.036641322367062815</v>
      </c>
      <c r="I20" s="111">
        <f t="shared" si="10"/>
        <v>0.08340137168059433</v>
      </c>
      <c r="J20" s="112">
        <f t="shared" si="10"/>
        <v>0.055265421062769035</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0.02971451531839529</v>
      </c>
      <c r="U20" s="111">
        <f t="shared" si="11"/>
        <v>0.06289060014727439</v>
      </c>
      <c r="V20" s="112">
        <f t="shared" si="11"/>
        <v>0.05854904945888538</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-0.813857478014173</v>
      </c>
      <c r="L21" s="111">
        <f t="shared" si="12"/>
        <v>-0.8174241094125752</v>
      </c>
      <c r="M21" s="111">
        <f t="shared" si="12"/>
        <v>-0.8200215444266242</v>
      </c>
      <c r="N21" s="113">
        <f t="shared" si="12"/>
        <v>-0.8222429874149559</v>
      </c>
      <c r="O21" s="111">
        <f t="shared" si="12"/>
        <v>0.012414007185758802</v>
      </c>
      <c r="P21" s="111">
        <f t="shared" si="12"/>
        <v>0.11722892623283965</v>
      </c>
      <c r="Q21" s="111">
        <f t="shared" si="12"/>
        <v>0.24438800442542785</v>
      </c>
      <c r="R21" s="111">
        <f t="shared" si="12"/>
        <v>0.3260352547559604</v>
      </c>
      <c r="S21" s="8"/>
      <c r="T21" s="111"/>
      <c r="U21" s="111">
        <f t="shared" ref="U21:AA21" si="13">U19/T19-1</f>
        <v>1.9907198451498505</v>
      </c>
      <c r="V21" s="112">
        <f t="shared" si="13"/>
        <v>-0.04171033072785579</v>
      </c>
      <c r="W21" s="111">
        <f t="shared" si="13"/>
        <v>-0.8188602275475703</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0.5744848234194081</v>
      </c>
      <c r="H23" s="117">
        <f>Model!Q57</f>
        <v>0.3966570075305223</v>
      </c>
      <c r="I23" s="117">
        <f>Model!R57</f>
        <v>1.0057068450710571</v>
      </c>
      <c r="J23" s="118">
        <f>Model!S57</f>
        <v>0.620850655006145</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0.9414303904923612</v>
      </c>
      <c r="U23" s="117">
        <f>Model!O57</f>
        <v>2.7800044702726887</v>
      </c>
      <c r="V23" s="118">
        <f>Model!T57</f>
        <v>2.5987147760298313</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0.6614420616648586</v>
      </c>
      <c r="AD23" s="74"/>
      <c r="AE23" s="109">
        <f>IFERROR((AA23/V23)^(1/(AA$4-V$4))-1,"N/A")</f>
        <v>-0.22685961067894211</v>
      </c>
    </row>
    <row r="24" ht="15.75" customHeight="1" spans="1:31" x14ac:dyDescent="0.25">
      <c r="A24" s="9"/>
      <c r="B24" s="8"/>
      <c r="C24" s="110" t="s">
        <v>104</v>
      </c>
      <c r="D24" s="8"/>
      <c r="E24" s="8"/>
      <c r="F24" s="8"/>
      <c r="G24" s="8"/>
      <c r="H24" s="111"/>
      <c r="I24" s="111"/>
      <c r="J24" s="112"/>
      <c r="K24" s="111">
        <f t="shared" ref="K24:R24" si="14">K23/G23-1</f>
        <v>-0.8315054248262492</v>
      </c>
      <c r="L24" s="111">
        <f t="shared" si="14"/>
        <v>-0.8331991217157282</v>
      </c>
      <c r="M24" s="111">
        <f t="shared" si="14"/>
        <v>-0.8253826171579602</v>
      </c>
      <c r="N24" s="113">
        <f t="shared" si="14"/>
        <v>-0.8241020091739948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1.9529580714074535</v>
      </c>
      <c r="V24" s="112">
        <f t="shared" si="15"/>
        <v>-0.06521201536955623</v>
      </c>
      <c r="W24" s="111">
        <f t="shared" si="15"/>
        <v>-0.8292232746357159</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172.9970000000005</v>
      </c>
      <c r="H27" s="106">
        <f>Model!Q61</f>
        <v>183.7760000000003</v>
      </c>
      <c r="I27" s="106">
        <f>Model!R61</f>
        <v>366.5270000000005</v>
      </c>
      <c r="J27" s="107">
        <f>Model!S61</f>
        <v>231.63899999999876</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425.8820000000003</v>
      </c>
      <c r="U27" s="106">
        <f>Model!O61</f>
        <v>1105.4070000000004</v>
      </c>
      <c r="V27" s="107">
        <f>Model!T61</f>
        <v>954.9390000000001</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0.49741842552476134</v>
      </c>
      <c r="AD27" s="74"/>
      <c r="AE27" s="109">
        <f>IFERROR((AA27/V27)^(1/(AA$4-V$4))-1,"N/A")</f>
        <v>-0.2317367923126007</v>
      </c>
    </row>
    <row r="28" ht="15.75" customHeight="1" spans="1:31" x14ac:dyDescent="0.25">
      <c r="A28" s="9"/>
      <c r="B28" s="8"/>
      <c r="C28" s="110" t="s">
        <v>106</v>
      </c>
      <c r="D28" s="8"/>
      <c r="E28" s="8"/>
      <c r="F28" s="8"/>
      <c r="G28" s="111">
        <f t="shared" ref="G28:R28" si="16">G27/G$8</f>
        <v>0.069958153784438</v>
      </c>
      <c r="H28" s="111">
        <f t="shared" si="16"/>
        <v>0.07367794364384622</v>
      </c>
      <c r="I28" s="111">
        <f t="shared" si="16"/>
        <v>0.12605505293922237</v>
      </c>
      <c r="J28" s="112">
        <f t="shared" si="16"/>
        <v>0.07855300960654107</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0.05723158876444964</v>
      </c>
      <c r="U28" s="111">
        <f t="shared" si="17"/>
        <v>0.10512598633446915</v>
      </c>
      <c r="V28" s="112">
        <f t="shared" si="17"/>
        <v>0.08822685673269814</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-0.755110063783833</v>
      </c>
      <c r="L29" s="111">
        <f t="shared" si="18"/>
        <v>-0.7532912641939016</v>
      </c>
      <c r="M29" s="111">
        <f t="shared" si="18"/>
        <v>-0.7594859999762261</v>
      </c>
      <c r="N29" s="113">
        <f t="shared" si="18"/>
        <v>-0.7643164208054046</v>
      </c>
      <c r="O29" s="111">
        <f t="shared" si="18"/>
        <v>0.05430422626983722</v>
      </c>
      <c r="P29" s="111">
        <f t="shared" si="18"/>
        <v>0.10317355741734846</v>
      </c>
      <c r="Q29" s="111">
        <f t="shared" si="18"/>
        <v>0.22754343568394675</v>
      </c>
      <c r="R29" s="111">
        <f t="shared" si="18"/>
        <v>0.3383595786698692</v>
      </c>
      <c r="S29" s="8"/>
      <c r="T29" s="111"/>
      <c r="U29" s="111">
        <f t="shared" ref="U29:AA29" si="19">U27/T27-1</f>
        <v>1.5955710736776845</v>
      </c>
      <c r="V29" s="112">
        <f t="shared" si="19"/>
        <v>-0.1361199992400991</v>
      </c>
      <c r="W29" s="111">
        <f t="shared" si="19"/>
        <v>-0.7586540154689767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10920.874628370942</v>
      </c>
      <c r="L34" s="106">
        <f>Model!V120</f>
        <v>7054.601934753202</v>
      </c>
      <c r="M34" s="106">
        <f>Model!W120</f>
        <v>4564.894784312912</v>
      </c>
      <c r="N34" s="108">
        <f>Model!X120</f>
        <v>3427.7628450597585</v>
      </c>
      <c r="O34" s="106">
        <f>Model!Z120</f>
        <v>-89.42194477172279</v>
      </c>
      <c r="P34" s="106">
        <f>Model!AA120</f>
        <v>6885.286849154727</v>
      </c>
      <c r="Q34" s="106">
        <f>Model!AB120</f>
        <v>5225.775087711971</v>
      </c>
      <c r="R34" s="106">
        <f>Model!AC120</f>
        <v>4200.539289903758</v>
      </c>
      <c r="S34" s="8"/>
      <c r="T34" s="106">
        <f>Model!J120</f>
        <v>8526.363</v>
      </c>
      <c r="U34" s="106">
        <f>Model!O120</f>
        <v>12153.414</v>
      </c>
      <c r="V34" s="107">
        <f>Model!T120</f>
        <v>14043.889</v>
      </c>
      <c r="W34" s="106">
        <f>Model!Y120</f>
        <v>3427.7628450597585</v>
      </c>
      <c r="X34" s="106">
        <f>Model!AD120</f>
        <v>4200.539289903758</v>
      </c>
      <c r="Y34" s="106">
        <f>Model!AE120</f>
        <v>837.3866997945038</v>
      </c>
      <c r="Z34" s="106">
        <f>Model!AF120</f>
        <v>3766.0503294467017</v>
      </c>
      <c r="AA34" s="106">
        <f>Model!AG120</f>
        <v>5400.061900178903</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6911.988325200002</v>
      </c>
      <c r="L35" s="127">
        <f>Model!V121</f>
        <v>6955.0490944</v>
      </c>
      <c r="M35" s="127">
        <f>Model!W121</f>
        <v>7869.494710000001</v>
      </c>
      <c r="N35" s="129">
        <f>Model!X121</f>
        <v>7725.643127999997</v>
      </c>
      <c r="O35" s="127">
        <f>Model!Z121</f>
        <v>7430.752771092002</v>
      </c>
      <c r="P35" s="127">
        <f>Model!AA121</f>
        <v>7655.689093824001</v>
      </c>
      <c r="Q35" s="127">
        <f>Model!AB121</f>
        <v>8567.860089580003</v>
      </c>
      <c r="R35" s="127">
        <f>Model!AC121</f>
        <v>8336.949575999997</v>
      </c>
      <c r="S35" s="8"/>
      <c r="T35" s="127">
        <f>Model!J121</f>
        <v>4716.299</v>
      </c>
      <c r="U35" s="127">
        <f>Model!O121</f>
        <v>5824.844</v>
      </c>
      <c r="V35" s="128">
        <f>Model!T121</f>
        <v>8556.388</v>
      </c>
      <c r="W35" s="127">
        <f>Model!Y121</f>
        <v>7725.643127999997</v>
      </c>
      <c r="X35" s="127">
        <f>Model!AD121</f>
        <v>8336.949575999997</v>
      </c>
      <c r="Y35" s="127">
        <f>Model!AE121</f>
        <v>9170.69393003544</v>
      </c>
      <c r="Z35" s="127">
        <f>Model!AF121</f>
        <v>9458.095768124407</v>
      </c>
      <c r="AA35" s="127">
        <f>Model!AG121</f>
        <v>9735.131636921087</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47081.324</v>
      </c>
      <c r="K37" s="127">
        <f>Model!U123</f>
        <v>50334.69826</v>
      </c>
      <c r="L37" s="127">
        <f>Model!V123</f>
        <v>58997.556131745005</v>
      </c>
      <c r="M37" s="127">
        <f>Model!W123</f>
        <v>63208.33928136543</v>
      </c>
      <c r="N37" s="129">
        <f>Model!X123</f>
        <v>66708.66529954002</v>
      </c>
      <c r="O37" s="127">
        <f>Model!Z123</f>
        <v>67969.2140309196</v>
      </c>
      <c r="P37" s="127">
        <f>Model!AA123</f>
        <v>64201.31174558976</v>
      </c>
      <c r="Q37" s="127">
        <f>Model!AB123</f>
        <v>67282.8100263753</v>
      </c>
      <c r="R37" s="127">
        <f>Model!AC123</f>
        <v>70459.19983548866</v>
      </c>
      <c r="S37" s="8"/>
      <c r="T37" s="127">
        <f>Model!J123</f>
        <v>37552.851</v>
      </c>
      <c r="U37" s="127">
        <f>Model!O123</f>
        <v>40235.206</v>
      </c>
      <c r="V37" s="128">
        <f>Model!T123</f>
        <v>47081.324</v>
      </c>
      <c r="W37" s="127">
        <f>Model!Y123</f>
        <v>66708.66529954002</v>
      </c>
      <c r="X37" s="127">
        <f>Model!AD123</f>
        <v>70459.19983548866</v>
      </c>
      <c r="Y37" s="127">
        <f>Model!AE123</f>
        <v>77211.71555496176</v>
      </c>
      <c r="Z37" s="127">
        <f>Model!AF123</f>
        <v>78168.04811074784</v>
      </c>
      <c r="AA37" s="127">
        <f>Model!AG123</f>
        <v>80448.78917085087</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69681.601</v>
      </c>
      <c r="K38" s="131">
        <f t="shared" si="22"/>
        <v>71353.69801357095</v>
      </c>
      <c r="L38" s="131">
        <f t="shared" si="22"/>
        <v>76889.1784408982</v>
      </c>
      <c r="M38" s="131">
        <f t="shared" si="22"/>
        <v>80500.90297567834</v>
      </c>
      <c r="N38" s="133">
        <f t="shared" si="22"/>
        <v>83470.25687259977</v>
      </c>
      <c r="O38" s="131">
        <f t="shared" si="22"/>
        <v>78496.68165723988</v>
      </c>
      <c r="P38" s="131">
        <f t="shared" si="22"/>
        <v>82624.2589685685</v>
      </c>
      <c r="Q38" s="131">
        <f t="shared" si="22"/>
        <v>85934.61940366728</v>
      </c>
      <c r="R38" s="131">
        <f t="shared" si="22"/>
        <v>88604.87430139241</v>
      </c>
      <c r="S38" s="8"/>
      <c r="T38" s="131">
        <f t="shared" ref="T38:AA38" si="23">SUM(T34:T37)</f>
        <v>50795.513000000006</v>
      </c>
      <c r="U38" s="131">
        <f t="shared" si="23"/>
        <v>58213.464</v>
      </c>
      <c r="V38" s="132">
        <f t="shared" si="23"/>
        <v>69681.601</v>
      </c>
      <c r="W38" s="131">
        <f t="shared" si="23"/>
        <v>83470.25687259977</v>
      </c>
      <c r="X38" s="131">
        <f t="shared" si="23"/>
        <v>88604.87430139241</v>
      </c>
      <c r="Y38" s="131">
        <f t="shared" si="23"/>
        <v>91943.7131847917</v>
      </c>
      <c r="Z38" s="131">
        <f t="shared" si="23"/>
        <v>96044.53670831895</v>
      </c>
      <c r="AA38" s="131">
        <f t="shared" si="23"/>
        <v>100236.32520795087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Model!C125</f>
        <v>PP&amp;E, Net</v>
      </c>
      <c r="D40" s="8"/>
      <c r="E40" s="8"/>
      <c r="F40" s="8"/>
      <c r="G40" s="106">
        <f>Model!P126</f>
        <v>1217.202</v>
      </c>
      <c r="H40" s="106">
        <f>Model!Q126</f>
        <v>1235.343</v>
      </c>
      <c r="I40" s="106">
        <f>Model!R126</f>
        <v>1255</v>
      </c>
      <c r="J40" s="107">
        <f>Model!S126</f>
        <v>1246.47</v>
      </c>
      <c r="K40" s="106">
        <f>Model!U126</f>
        <v>1250.5117498500001</v>
      </c>
      <c r="L40" s="106">
        <f>Model!V126</f>
        <v>1254.4012274569875</v>
      </c>
      <c r="M40" s="106">
        <f>Model!W126</f>
        <v>1252.1224313160317</v>
      </c>
      <c r="N40" s="108">
        <f>Model!X126</f>
        <v>1250.7917529403828</v>
      </c>
      <c r="O40" s="106">
        <f>Model!Z126</f>
        <v>1251.9022827279716</v>
      </c>
      <c r="P40" s="106">
        <f>Model!AA126</f>
        <v>1251.6051204862245</v>
      </c>
      <c r="Q40" s="106">
        <f>Model!AB126</f>
        <v>1244.9303376215933</v>
      </c>
      <c r="R40" s="106">
        <f>Model!AC126</f>
        <v>1238.5755926791867</v>
      </c>
      <c r="S40" s="8"/>
      <c r="T40" s="106">
        <f>Model!J126</f>
        <v>1065.68</v>
      </c>
      <c r="U40" s="106">
        <f>Model!O126</f>
        <v>1194.72</v>
      </c>
      <c r="V40" s="107">
        <f>Model!T126</f>
        <v>1246.47</v>
      </c>
      <c r="W40" s="106">
        <f>Model!Y126</f>
        <v>1250.7917529403828</v>
      </c>
      <c r="X40" s="106">
        <f>Model!AD126</f>
        <v>1238.5755926791867</v>
      </c>
      <c r="Y40" s="106">
        <f>Model!AE126</f>
        <v>1212.2213427567674</v>
      </c>
      <c r="Z40" s="106">
        <f>Model!AF126</f>
        <v>1172.1541316468335</v>
      </c>
      <c r="AA40" s="106">
        <f>Model!AG126</f>
        <v>1117.4595968066762</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3246.706</v>
      </c>
      <c r="K43" s="127">
        <f>Model!U129</f>
        <v>3311.64012</v>
      </c>
      <c r="L43" s="127">
        <f>Model!V129</f>
        <v>3377.8729224</v>
      </c>
      <c r="M43" s="127">
        <f>Model!W129</f>
        <v>3445.430380848</v>
      </c>
      <c r="N43" s="129">
        <f>Model!X129</f>
        <v>3514.33898846496</v>
      </c>
      <c r="O43" s="127">
        <f>Model!Z129</f>
        <v>3584.6257682342593</v>
      </c>
      <c r="P43" s="127">
        <f>Model!AA129</f>
        <v>3656.3182835989446</v>
      </c>
      <c r="Q43" s="127">
        <f>Model!AB129</f>
        <v>3729.4446492709235</v>
      </c>
      <c r="R43" s="127">
        <f>Model!AC129</f>
        <v>3804.033542256342</v>
      </c>
      <c r="S43" s="8"/>
      <c r="T43" s="127">
        <f>Model!J129</f>
        <v>4196.112</v>
      </c>
      <c r="U43" s="127">
        <f>Model!O129</f>
        <v>3124.187</v>
      </c>
      <c r="V43" s="128">
        <f>Model!T129</f>
        <v>3246.706</v>
      </c>
      <c r="W43" s="127">
        <f>Model!Y129</f>
        <v>3514.33898846496</v>
      </c>
      <c r="X43" s="127">
        <f>Model!AD129</f>
        <v>3804.033542256342</v>
      </c>
      <c r="Y43" s="127">
        <f>Model!AE129</f>
        <v>4089.3360579255677</v>
      </c>
      <c r="Z43" s="127">
        <f>Model!AF129</f>
        <v>4498.269663718125</v>
      </c>
      <c r="AA43" s="127">
        <f>Model!AG129</f>
        <v>4880.622585134166</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6330.746</v>
      </c>
      <c r="K44" s="131">
        <f t="shared" si="24"/>
        <v>6399.72186985</v>
      </c>
      <c r="L44" s="131">
        <f t="shared" si="24"/>
        <v>6469.844149856987</v>
      </c>
      <c r="M44" s="131">
        <f t="shared" si="24"/>
        <v>6535.1228121640315</v>
      </c>
      <c r="N44" s="133">
        <f t="shared" si="24"/>
        <v>6602.700741405342</v>
      </c>
      <c r="O44" s="131">
        <f t="shared" si="24"/>
        <v>6674.098050962231</v>
      </c>
      <c r="P44" s="131">
        <f t="shared" si="24"/>
        <v>6745.4934040851695</v>
      </c>
      <c r="Q44" s="131">
        <f t="shared" si="24"/>
        <v>6811.944986892517</v>
      </c>
      <c r="R44" s="131">
        <f t="shared" si="24"/>
        <v>6880.179134935529</v>
      </c>
      <c r="S44" s="8"/>
      <c r="T44" s="131">
        <f t="shared" ref="T44:AA44" si="25">SUM(T40:T43)</f>
        <v>7109.648</v>
      </c>
      <c r="U44" s="131">
        <f t="shared" si="25"/>
        <v>6146.845</v>
      </c>
      <c r="V44" s="132">
        <f t="shared" si="25"/>
        <v>6330.746</v>
      </c>
      <c r="W44" s="131">
        <f t="shared" si="25"/>
        <v>6602.700741405342</v>
      </c>
      <c r="X44" s="131">
        <f t="shared" si="25"/>
        <v>6880.179134935529</v>
      </c>
      <c r="Y44" s="131">
        <f t="shared" si="25"/>
        <v>7139.127400682335</v>
      </c>
      <c r="Z44" s="131">
        <f t="shared" si="25"/>
        <v>7507.993795364959</v>
      </c>
      <c r="AA44" s="131">
        <f t="shared" si="25"/>
        <v>7835.652181940843</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76012.347</v>
      </c>
      <c r="K46" s="137">
        <f t="shared" si="26"/>
        <v>88243.88810342095</v>
      </c>
      <c r="L46" s="137">
        <f t="shared" si="26"/>
        <v>94035.50284473019</v>
      </c>
      <c r="M46" s="137">
        <f t="shared" si="26"/>
        <v>97895.44719787876</v>
      </c>
      <c r="N46" s="139">
        <f t="shared" si="26"/>
        <v>101113.21091446062</v>
      </c>
      <c r="O46" s="137">
        <f t="shared" si="26"/>
        <v>96411.04580168606</v>
      </c>
      <c r="P46" s="137">
        <f t="shared" si="26"/>
        <v>100809.07479087335</v>
      </c>
      <c r="Q46" s="137">
        <f t="shared" si="26"/>
        <v>104382.06141766525</v>
      </c>
      <c r="R46" s="137">
        <f t="shared" si="26"/>
        <v>107314.86206089603</v>
      </c>
      <c r="S46" s="140"/>
      <c r="T46" s="137">
        <f t="shared" ref="T46:AA46" si="27">SUM(T38,T44)</f>
        <v>57905.16100000001</v>
      </c>
      <c r="U46" s="137">
        <f t="shared" si="27"/>
        <v>64360.309</v>
      </c>
      <c r="V46" s="138">
        <f t="shared" si="27"/>
        <v>76012.347</v>
      </c>
      <c r="W46" s="137">
        <f t="shared" si="27"/>
        <v>101113.21091446062</v>
      </c>
      <c r="X46" s="137">
        <f t="shared" si="27"/>
        <v>107314.86206089603</v>
      </c>
      <c r="Y46" s="137">
        <f t="shared" si="27"/>
        <v>111675.08277690806</v>
      </c>
      <c r="Z46" s="137">
        <f t="shared" si="27"/>
        <v>117278.5309571681</v>
      </c>
      <c r="AA46" s="137">
        <f t="shared" si="27"/>
        <v>122824.37524538682</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1762.1180495618175</v>
      </c>
      <c r="X48" s="143">
        <f>Model!AD134</f>
        <v>1878.8771055179743</v>
      </c>
      <c r="Y48" s="143">
        <f>Model!AE134</f>
        <v>1931.6675170961284</v>
      </c>
      <c r="Z48" s="143">
        <f>Model!AF134</f>
        <v>2010.151489984345</v>
      </c>
      <c r="AA48" s="143">
        <f>Model!AG134</f>
        <v>2111.0135572290255</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7679.987028000001</v>
      </c>
      <c r="L49" s="127">
        <f>Model!V135</f>
        <v>7712.25202</v>
      </c>
      <c r="M49" s="127">
        <f>Model!W135</f>
        <v>8063.006875000001</v>
      </c>
      <c r="N49" s="129">
        <f>Model!X135</f>
        <v>8530.397620499996</v>
      </c>
      <c r="O49" s="127">
        <f>Model!Z135</f>
        <v>8256.391967880001</v>
      </c>
      <c r="P49" s="127">
        <f>Model!AA135</f>
        <v>8489.171374200001</v>
      </c>
      <c r="Q49" s="127">
        <f>Model!AB135</f>
        <v>8778.545173750003</v>
      </c>
      <c r="R49" s="127">
        <f>Model!AC135</f>
        <v>9205.381823499996</v>
      </c>
      <c r="S49" s="8"/>
      <c r="T49" s="127">
        <f>Model!J135</f>
        <v>7698.367</v>
      </c>
      <c r="U49" s="127">
        <f>Model!O135</f>
        <v>7760.342</v>
      </c>
      <c r="V49" s="128">
        <f>Model!T135</f>
        <v>12171.814</v>
      </c>
      <c r="W49" s="127">
        <f>Model!Y135</f>
        <v>8530.397620499996</v>
      </c>
      <c r="X49" s="127">
        <f>Model!AD135</f>
        <v>9205.381823499996</v>
      </c>
      <c r="Y49" s="127">
        <f>Model!AE135</f>
        <v>10143.34328625132</v>
      </c>
      <c r="Z49" s="127">
        <f>Model!AF135</f>
        <v>10767.678259095477</v>
      </c>
      <c r="AA49" s="127">
        <f>Model!AG135</f>
        <v>11157.958568471093</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2605.7098845000005</v>
      </c>
      <c r="L50" s="127">
        <f>Model!V136</f>
        <v>2580.0988576000004</v>
      </c>
      <c r="M50" s="127">
        <f>Model!W136</f>
        <v>2838.17842</v>
      </c>
      <c r="N50" s="129">
        <f>Model!X136</f>
        <v>2832.735813599999</v>
      </c>
      <c r="O50" s="127">
        <f>Model!Z136</f>
        <v>2801.2758462450006</v>
      </c>
      <c r="P50" s="127">
        <f>Model!AA136</f>
        <v>2840.013696096001</v>
      </c>
      <c r="Q50" s="127">
        <f>Model!AB136</f>
        <v>3090.047901160001</v>
      </c>
      <c r="R50" s="127">
        <f>Model!AC136</f>
        <v>3056.881511199999</v>
      </c>
      <c r="S50" s="8"/>
      <c r="T50" s="127">
        <f>Model!J136</f>
        <v>1840.518</v>
      </c>
      <c r="U50" s="127">
        <f>Model!O136</f>
        <v>2540.861</v>
      </c>
      <c r="V50" s="128">
        <f>Model!T136</f>
        <v>2540.759</v>
      </c>
      <c r="W50" s="127">
        <f>Model!Y136</f>
        <v>2832.735813599999</v>
      </c>
      <c r="X50" s="127">
        <f>Model!AD136</f>
        <v>3056.881511199999</v>
      </c>
      <c r="Y50" s="127">
        <f>Model!AE136</f>
        <v>3543.2226547864207</v>
      </c>
      <c r="Z50" s="127">
        <f>Model!AF136</f>
        <v>3783.238307249763</v>
      </c>
      <c r="AA50" s="127">
        <f>Model!AG136</f>
        <v>3894.052654768435</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30171.377610000007</v>
      </c>
      <c r="L51" s="127">
        <f>Model!V137</f>
        <v>30849.00808</v>
      </c>
      <c r="M51" s="127">
        <f>Model!W137</f>
        <v>30639.426125000005</v>
      </c>
      <c r="N51" s="129">
        <f>Model!X137</f>
        <v>28971.161729999993</v>
      </c>
      <c r="O51" s="127">
        <f>Model!Z137</f>
        <v>32435.825588100008</v>
      </c>
      <c r="P51" s="127">
        <f>Model!AA137</f>
        <v>33956.685496800004</v>
      </c>
      <c r="Q51" s="127">
        <f>Model!AB137</f>
        <v>33358.47166025001</v>
      </c>
      <c r="R51" s="127">
        <f>Model!AC137</f>
        <v>31263.56090999999</v>
      </c>
      <c r="S51" s="8"/>
      <c r="T51" s="127">
        <f>Model!J137</f>
        <v>27875.268</v>
      </c>
      <c r="U51" s="127">
        <f>Model!O137</f>
        <v>29859.988</v>
      </c>
      <c r="V51" s="128">
        <f>Model!T137</f>
        <v>32994.068</v>
      </c>
      <c r="W51" s="127">
        <f>Model!Y137</f>
        <v>28971.161729999993</v>
      </c>
      <c r="X51" s="127">
        <f>Model!AD137</f>
        <v>31263.56090999999</v>
      </c>
      <c r="Y51" s="127">
        <f>Model!AE137</f>
        <v>35154.326731802525</v>
      </c>
      <c r="Z51" s="127">
        <f>Model!AF137</f>
        <v>36668.309747190004</v>
      </c>
      <c r="AA51" s="127">
        <f>Model!AG137</f>
        <v>38341.44152387382</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40457.07452250001</v>
      </c>
      <c r="L52" s="131">
        <f t="shared" si="28"/>
        <v>41141.3589576</v>
      </c>
      <c r="M52" s="131">
        <f t="shared" si="28"/>
        <v>41540.61142000001</v>
      </c>
      <c r="N52" s="133">
        <f t="shared" si="28"/>
        <v>40334.29516409999</v>
      </c>
      <c r="O52" s="131">
        <f t="shared" si="28"/>
        <v>43493.49340222501</v>
      </c>
      <c r="P52" s="131">
        <f t="shared" si="28"/>
        <v>45285.870567096004</v>
      </c>
      <c r="Q52" s="131">
        <f t="shared" si="28"/>
        <v>45227.06473516002</v>
      </c>
      <c r="R52" s="131">
        <f t="shared" si="28"/>
        <v>43525.82424469999</v>
      </c>
      <c r="S52" s="8"/>
      <c r="T52" s="131">
        <f t="shared" ref="T52:AA52" si="29">SUM(T48:T51)</f>
        <v>38403.868</v>
      </c>
      <c r="U52" s="131">
        <f t="shared" si="29"/>
        <v>40604.351</v>
      </c>
      <c r="V52" s="132">
        <f t="shared" si="29"/>
        <v>49473.847</v>
      </c>
      <c r="W52" s="131">
        <f t="shared" si="29"/>
        <v>71375.81553366181</v>
      </c>
      <c r="X52" s="131">
        <f t="shared" si="29"/>
        <v>74684.10367021794</v>
      </c>
      <c r="Y52" s="131">
        <f t="shared" si="29"/>
        <v>75930.99693993639</v>
      </c>
      <c r="Z52" s="131">
        <f t="shared" si="29"/>
        <v>78423.60180351959</v>
      </c>
      <c r="AA52" s="131">
        <f t="shared" si="29"/>
        <v>81020.77555434238</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2269.889743639064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19415.780743639065</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81558.28914586408</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88271.70653366181</v>
      </c>
      <c r="X60" s="131">
        <f t="shared" si="31"/>
        <v>92579.99467021794</v>
      </c>
      <c r="Y60" s="131">
        <f t="shared" si="31"/>
        <v>95326.8879399364</v>
      </c>
      <c r="Z60" s="131">
        <f t="shared" si="31"/>
        <v>99319.49280351959</v>
      </c>
      <c r="AA60" s="131">
        <f t="shared" si="31"/>
        <v>103416.66655434239</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3095.5358993200916</v>
      </c>
      <c r="L62" s="106">
        <f>Model!V148</f>
        <v>3114.953322486669</v>
      </c>
      <c r="M62" s="106">
        <f>Model!W148</f>
        <v>3137.283907339054</v>
      </c>
      <c r="N62" s="108">
        <f>Model!X148</f>
        <v>3159.571670153481</v>
      </c>
      <c r="O62" s="106">
        <f>Model!Z148</f>
        <v>3098.5478906545795</v>
      </c>
      <c r="P62" s="106">
        <f>Model!AA148</f>
        <v>3160.6413925161587</v>
      </c>
      <c r="Q62" s="106">
        <f>Model!AB148</f>
        <v>3266.3936684352984</v>
      </c>
      <c r="R62" s="106">
        <f>Model!AC148</f>
        <v>3331.1649935699384</v>
      </c>
      <c r="S62" s="8"/>
      <c r="T62" s="106">
        <f>Model!J148</f>
        <v>2255.528</v>
      </c>
      <c r="U62" s="106">
        <f>Model!O148</f>
        <v>2309.758</v>
      </c>
      <c r="V62" s="107">
        <f>Model!T148</f>
        <v>2384.305</v>
      </c>
      <c r="W62" s="106">
        <f>Model!Y148</f>
        <v>3159.571670153481</v>
      </c>
      <c r="X62" s="106">
        <f>Model!AD148</f>
        <v>3331.1649935699384</v>
      </c>
      <c r="Y62" s="106">
        <f>Model!AE148</f>
        <v>3427.3708123053284</v>
      </c>
      <c r="Z62" s="106">
        <f>Model!AF148</f>
        <v>3528.1181148011947</v>
      </c>
      <c r="AA62" s="106">
        <f>Model!AG148</f>
        <v>3631.816393599281</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94590.60200522578</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101112.80491446063</v>
      </c>
      <c r="X71" s="137">
        <f t="shared" si="37"/>
        <v>107314.45606089605</v>
      </c>
      <c r="Y71" s="137">
        <f t="shared" si="37"/>
        <v>111674.67677690808</v>
      </c>
      <c r="Z71" s="137">
        <f t="shared" si="37"/>
        <v>117278.12495716811</v>
      </c>
      <c r="AA71" s="137">
        <f t="shared" si="37"/>
        <v>122823.96924538683</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0.6442000045291614</v>
      </c>
      <c r="H77" s="148">
        <f t="shared" si="40"/>
        <v>0.6552688814363864</v>
      </c>
      <c r="I77" s="148">
        <f t="shared" si="40"/>
        <v>0.7041477139459238</v>
      </c>
      <c r="J77" s="149">
        <f t="shared" si="40"/>
        <v>0.7015857847060386</v>
      </c>
      <c r="K77" s="148">
        <f t="shared" si="40"/>
        <v>0.6933496152514597</v>
      </c>
      <c r="L77" s="148">
        <f t="shared" si="40"/>
        <v>0.6809009537852214</v>
      </c>
      <c r="M77" s="148">
        <f t="shared" si="40"/>
        <v>0.7054599954995078</v>
      </c>
      <c r="N77" s="150">
        <f t="shared" si="40"/>
        <v>0.7134532911600986</v>
      </c>
      <c r="O77" s="148">
        <f t="shared" si="40"/>
        <v>0.7009940855225782</v>
      </c>
      <c r="P77" s="148">
        <f t="shared" si="40"/>
        <v>0.710190981604274</v>
      </c>
      <c r="Q77" s="148">
        <f t="shared" si="40"/>
        <v>0.7415340082449274</v>
      </c>
      <c r="R77" s="148">
        <f t="shared" si="40"/>
        <v>0.7350017354692946</v>
      </c>
      <c r="S77" s="8"/>
      <c r="T77" s="148">
        <f t="shared" ref="T77:AA77" si="41">T12</f>
        <v>0.6316567625897347</v>
      </c>
      <c r="U77" s="148">
        <f t="shared" si="41"/>
        <v>0.6690210972462471</v>
      </c>
      <c r="V77" s="149">
        <f t="shared" si="41"/>
        <v>0.6784894819015757</v>
      </c>
      <c r="W77" s="148">
        <f t="shared" si="41"/>
        <v>0.6990920701234274</v>
      </c>
      <c r="X77" s="148">
        <f t="shared" si="41"/>
        <v>0.7231798090502991</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0.069958153784438</v>
      </c>
      <c r="H78" s="148">
        <f t="shared" si="42"/>
        <v>0.07367794364384622</v>
      </c>
      <c r="I78" s="148">
        <f t="shared" si="42"/>
        <v>0.12605505293922237</v>
      </c>
      <c r="J78" s="149">
        <f t="shared" si="42"/>
        <v>0.07855300960654107</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0.05723158876444964</v>
      </c>
      <c r="U78" s="148">
        <f t="shared" si="43"/>
        <v>0.10512598633446915</v>
      </c>
      <c r="V78" s="149">
        <f t="shared" si="43"/>
        <v>0.08822685673269814</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0.06108908536822101</v>
      </c>
      <c r="H79" s="148">
        <f t="shared" si="44"/>
        <v>0.054083385618897487</v>
      </c>
      <c r="I79" s="148">
        <f t="shared" si="44"/>
        <v>0.11411698835564113</v>
      </c>
      <c r="J79" s="149">
        <f t="shared" si="44"/>
        <v>0.06799490237464116</v>
      </c>
      <c r="K79" s="148">
        <f t="shared" si="44"/>
        <v>0.10666372457673631</v>
      </c>
      <c r="L79" s="148">
        <f t="shared" si="44"/>
        <v>0.10862483177767505</v>
      </c>
      <c r="M79" s="148">
        <f t="shared" si="44"/>
        <v>0.11148965797683752</v>
      </c>
      <c r="N79" s="150">
        <f t="shared" si="44"/>
        <v>0.11057490364853373</v>
      </c>
      <c r="O79" s="148">
        <f t="shared" si="44"/>
        <v>0.10961445045529179</v>
      </c>
      <c r="P79" s="148">
        <f t="shared" si="44"/>
        <v>0.11764400876162309</v>
      </c>
      <c r="Q79" s="148">
        <f t="shared" si="44"/>
        <v>0.13840739175336508</v>
      </c>
      <c r="R79" s="148">
        <f t="shared" si="44"/>
        <v>0.1476298586201472</v>
      </c>
      <c r="S79" s="8"/>
      <c r="T79" s="148">
        <f t="shared" ref="T79:AA79" si="45">T16</f>
        <v>0.04206168748269814</v>
      </c>
      <c r="U79" s="148">
        <f t="shared" si="45"/>
        <v>0.09077382183607166</v>
      </c>
      <c r="V79" s="149">
        <f t="shared" si="45"/>
        <v>0.07560147997764531</v>
      </c>
      <c r="W79" s="148">
        <f t="shared" si="45"/>
        <v>0.10947025643842354</v>
      </c>
      <c r="X79" s="148">
        <f t="shared" si="45"/>
        <v>0.12942473128564158</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0.05534028559597312</v>
      </c>
      <c r="H80" s="148">
        <f t="shared" si="46"/>
        <v>0.036641322367062815</v>
      </c>
      <c r="I80" s="148">
        <f t="shared" si="46"/>
        <v>0.08340137168059433</v>
      </c>
      <c r="J80" s="149">
        <f t="shared" si="46"/>
        <v>0.055265421062769035</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0.02971451531839529</v>
      </c>
      <c r="U80" s="148">
        <f t="shared" si="47"/>
        <v>0.06289060014727439</v>
      </c>
      <c r="V80" s="149">
        <f t="shared" si="47"/>
        <v>0.05854904945888538</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0.001948891502715423</v>
      </c>
      <c r="H81" s="148">
        <f t="shared" si="48"/>
        <v>0.0013583195769943642</v>
      </c>
      <c r="I81" s="148">
        <f t="shared" si="48"/>
        <v>0.003498341287035704</v>
      </c>
      <c r="J81" s="149">
        <f t="shared" si="48"/>
        <v>0.002143967479388563</v>
      </c>
      <c r="K81" s="148">
        <f t="shared" si="48"/>
        <v>0.004811635464178495</v>
      </c>
      <c r="L81" s="148">
        <f t="shared" si="48"/>
        <v>0.004886087970814812</v>
      </c>
      <c r="M81" s="148">
        <f t="shared" si="48"/>
        <v>0.005687879689704617</v>
      </c>
      <c r="N81" s="150">
        <f t="shared" si="48"/>
        <v>0.005941482306131985</v>
      </c>
      <c r="O81" s="148">
        <f t="shared" si="48"/>
        <v>0.004458704636615405</v>
      </c>
      <c r="P81" s="148">
        <f t="shared" si="48"/>
        <v>0.00509208536632761</v>
      </c>
      <c r="Q81" s="148">
        <f t="shared" si="48"/>
        <v>0.0066380855138116045</v>
      </c>
      <c r="R81" s="148">
        <f t="shared" si="48"/>
        <v>0.0074233153289111784</v>
      </c>
      <c r="S81" s="8"/>
      <c r="T81" s="148">
        <f t="shared" ref="T81:AA81" si="49">T19/T46</f>
        <v>0.003818606082452656</v>
      </c>
      <c r="U81" s="148">
        <f t="shared" si="49"/>
        <v>0.010274950668742134</v>
      </c>
      <c r="V81" s="149">
        <f t="shared" si="49"/>
        <v>0.008337013985372668</v>
      </c>
      <c r="W81" s="148">
        <f t="shared" si="49"/>
        <v>0.02019165469779793</v>
      </c>
      <c r="X81" s="148">
        <f t="shared" si="49"/>
        <v>0.022669049329319638</v>
      </c>
      <c r="Y81" s="148">
        <f t="shared" si="49"/>
        <v>0.020891998059558832</v>
      </c>
      <c r="Z81" s="148">
        <f t="shared" si="49"/>
        <v>0.02067099698351653</v>
      </c>
      <c r="AA81" s="148">
        <f t="shared" si="49"/>
        <v>0.01900414781031789</v>
      </c>
      <c r="AB81" s="8"/>
      <c r="AC81" s="8"/>
      <c r="AD81" s="8"/>
      <c r="AE81" s="8"/>
    </row>
    <row r="82" ht="15.75" customHeight="1" spans="1:31" x14ac:dyDescent="0.25">
      <c r="A82" s="9"/>
      <c r="B82" s="8"/>
      <c r="C82" s="130" t="s">
        <v>114</v>
      </c>
      <c r="D82" s="8"/>
      <c r="E82" s="8"/>
      <c r="F82" s="8"/>
      <c r="G82" s="148">
        <f t="shared" ref="G82:R82" si="50">G19*4/G69</f>
        <v>0.05330858955290109</v>
      </c>
      <c r="H82" s="148">
        <f t="shared" si="50"/>
        <v>0.03521227827620701</v>
      </c>
      <c r="I82" s="148">
        <f t="shared" si="50"/>
        <v>0.09237447040304145</v>
      </c>
      <c r="J82" s="149">
        <f t="shared" si="50"/>
        <v>0.061253482948971656</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0.02255804475249528</v>
      </c>
      <c r="U82" s="148">
        <f t="shared" si="51"/>
        <v>0.06467480105353683</v>
      </c>
      <c r="V82" s="149">
        <f t="shared" si="51"/>
        <v>0.059547445204719364</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0.021848653899147173</v>
      </c>
      <c r="H83" s="148">
        <f t="shared" si="52"/>
        <v>0.014206030813307551</v>
      </c>
      <c r="I83" s="148">
        <f t="shared" si="52"/>
        <v>0.03658429879088254</v>
      </c>
      <c r="J83" s="149">
        <f t="shared" si="52"/>
        <v>0.024563632942139518</v>
      </c>
      <c r="K83" s="148">
        <f t="shared" si="52"/>
        <v>0.061160980522557334</v>
      </c>
      <c r="L83" s="148">
        <f t="shared" si="52"/>
        <v>0.06484537731997209</v>
      </c>
      <c r="M83" s="148">
        <f t="shared" si="52"/>
        <v>0.07675741547148253</v>
      </c>
      <c r="N83" s="150">
        <f t="shared" si="52"/>
        <v>0.08081011105345744</v>
      </c>
      <c r="O83" s="148">
        <f t="shared" si="52"/>
        <v>0.05299151095855617</v>
      </c>
      <c r="P83" s="148">
        <f t="shared" si="52"/>
        <v>0.0666135004578572</v>
      </c>
      <c r="Q83" s="148">
        <f t="shared" si="52"/>
        <v>0.08744493785853752</v>
      </c>
      <c r="R83" s="148">
        <f t="shared" si="52"/>
        <v>0.09765534261091478</v>
      </c>
      <c r="S83" s="148" t="e">
        <f t="shared" si="52"/>
        <v>#DIV/0!</v>
      </c>
      <c r="T83" s="148">
        <f t="shared" ref="T83:AA83" si="53">T19/(T54+T55+T69)</f>
        <v>0.011338817562503711</v>
      </c>
      <c r="U83" s="148">
        <f t="shared" si="53"/>
        <v>0.027837660855028767</v>
      </c>
      <c r="V83" s="149">
        <f t="shared" si="53"/>
        <v>0.023879484336742498</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0</v>
      </c>
      <c r="U86" s="106">
        <f>-Model!O39</f>
        <v>0</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-49.422</v>
      </c>
      <c r="I87" s="127">
        <f>Model!R196</f>
        <v>-56</v>
      </c>
      <c r="J87" s="128">
        <f>Model!S196</f>
        <v>-18</v>
      </c>
      <c r="K87" s="127">
        <f>Model!U196</f>
        <v>-41.14278765000001</v>
      </c>
      <c r="L87" s="127">
        <f>Model!V196</f>
        <v>-42.0668292</v>
      </c>
      <c r="M87" s="127">
        <f>Model!W196</f>
        <v>-48.37804125</v>
      </c>
      <c r="N87" s="129">
        <f>Model!X196</f>
        <v>-48.28526954999998</v>
      </c>
      <c r="O87" s="127">
        <f>Model!Z196</f>
        <v>-44.23067125650001</v>
      </c>
      <c r="P87" s="127">
        <f>Model!AA196</f>
        <v>-46.30457113200001</v>
      </c>
      <c r="Q87" s="127">
        <f>Model!AB196</f>
        <v>-52.67127104250001</v>
      </c>
      <c r="R87" s="127">
        <f>Model!AC196</f>
        <v>-52.105934849999976</v>
      </c>
      <c r="S87" s="8"/>
      <c r="T87" s="127">
        <f>Model!J196</f>
        <v>-91</v>
      </c>
      <c r="U87" s="127">
        <f>Model!O196</f>
        <v>-173</v>
      </c>
      <c r="V87" s="128">
        <f>Model!T196</f>
        <v>-173</v>
      </c>
      <c r="W87" s="127">
        <f>Model!Y196</f>
        <v>-179.87292764999998</v>
      </c>
      <c r="X87" s="127">
        <f>Model!AD196</f>
        <v>-195.312448281</v>
      </c>
      <c r="Y87" s="127">
        <f>Model!AE196</f>
        <v>-208.42486204626002</v>
      </c>
      <c r="Z87" s="127">
        <f>Model!AF196</f>
        <v>-218.2637484951786</v>
      </c>
      <c r="AA87" s="127">
        <f>Model!AG196</f>
        <v>-224.65688392894816</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t="str">
        <f t="shared" ref="T88:AA88" si="55">IF(ISERROR(T15/T86),"N/A",(T15/T86))</f>
        <v>N/A</v>
      </c>
      <c r="U88" s="151" t="str">
        <f t="shared" si="55"/>
        <v>N/A</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t="str">
        <f t="shared" ref="T89:AA89" si="57">IF(ISERROR(T27/T86),"N/A",(T27/T86))</f>
        <v>N/A</v>
      </c>
      <c r="U89" s="151" t="str">
        <f t="shared" si="57"/>
        <v>N/A</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t="str">
        <f t="shared" ref="T90:AA90" si="59">IF(ISERROR((T27-T87)/T86),"N/A",((T27-T87)/T86))</f>
        <v>N/A</v>
      </c>
      <c r="U90" s="151" t="str">
        <f t="shared" si="59"/>
        <v>N/A</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85.4671063660061</v>
      </c>
      <c r="H93" s="151">
        <f t="shared" si="60"/>
        <v>83.53629962563107</v>
      </c>
      <c r="I93" s="151">
        <f t="shared" si="60"/>
        <v>43.69018926300103</v>
      </c>
      <c r="J93" s="152">
        <f t="shared" si="60"/>
        <v>68.62355216522297</v>
      </c>
      <c r="K93" s="151">
        <f t="shared" si="60"/>
        <v>28.453187903659373</v>
      </c>
      <c r="L93" s="151">
        <f t="shared" si="60"/>
        <v>25.473223510825807</v>
      </c>
      <c r="M93" s="151">
        <f t="shared" si="60"/>
        <v>21.508216468137526</v>
      </c>
      <c r="N93" s="154">
        <f t="shared" si="60"/>
        <v>20.789303096980962</v>
      </c>
      <c r="O93" s="151">
        <f t="shared" si="60"/>
        <v>32.45322249528721</v>
      </c>
      <c r="P93" s="151">
        <f t="shared" si="60"/>
        <v>24.4991895666701</v>
      </c>
      <c r="Q93" s="151">
        <f t="shared" si="60"/>
        <v>18.57394162382717</v>
      </c>
      <c r="R93" s="151">
        <f t="shared" si="60"/>
        <v>16.45278211410203</v>
      </c>
      <c r="S93" s="151"/>
      <c r="T93" s="151">
        <f t="shared" ref="T93:AA93" si="61">IF(ISERROR((T54+T55)/T27),"NA",((T54+T55)/T27))</f>
        <v>22.77333158010903</v>
      </c>
      <c r="U93" s="151">
        <f t="shared" si="61"/>
        <v>12.240346768203924</v>
      </c>
      <c r="V93" s="152">
        <f t="shared" si="61"/>
        <v>16.64597529266267</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1.4898184960079306</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0.2091224863771145</v>
      </c>
      <c r="K95" s="151">
        <f t="shared" si="64"/>
        <v>0.1829689437650025</v>
      </c>
      <c r="L95" s="151">
        <f t="shared" si="64"/>
        <v>0.1743585188997459</v>
      </c>
      <c r="M95" s="151">
        <f t="shared" si="64"/>
        <v>0.17003743765890564</v>
      </c>
      <c r="N95" s="154">
        <f t="shared" si="64"/>
        <v>0.16709874849383946</v>
      </c>
      <c r="O95" s="151">
        <f t="shared" si="64"/>
        <v>0.20138543858943925</v>
      </c>
      <c r="P95" s="151">
        <f t="shared" si="64"/>
        <v>0.1725627483050258</v>
      </c>
      <c r="Q95" s="151">
        <f t="shared" si="64"/>
        <v>0.1690509917158397</v>
      </c>
      <c r="R95" s="151">
        <f t="shared" si="64"/>
        <v>0.16676060199234044</v>
      </c>
      <c r="S95" s="151"/>
      <c r="T95" s="151">
        <f t="shared" ref="T95:AA95" si="65">IF(ISERROR((T54+T55)/T46),"NA",((T54+T55)/T46))</f>
        <v>0.16749374032480455</v>
      </c>
      <c r="U95" s="151">
        <f t="shared" si="65"/>
        <v>0.21023151085244168</v>
      </c>
      <c r="V95" s="152">
        <f t="shared" si="65"/>
        <v>0.2091224863771145</v>
      </c>
      <c r="W95" s="151">
        <f t="shared" si="65"/>
        <v>0.16709874849383946</v>
      </c>
      <c r="X95" s="151">
        <f t="shared" si="65"/>
        <v>0.16676060199234044</v>
      </c>
      <c r="Y95" s="151">
        <f t="shared" si="65"/>
        <v>0.1736814562183664</v>
      </c>
      <c r="Z95" s="151">
        <f t="shared" si="65"/>
        <v>0.1781731987044713</v>
      </c>
      <c r="AA95" s="151">
        <f t="shared" si="65"/>
        <v>0.18234076872164812</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0.03521650605390507</v>
      </c>
      <c r="H98" s="151">
        <f t="shared" si="66"/>
        <v>0.03707070294535463</v>
      </c>
      <c r="I98" s="151">
        <f t="shared" si="66"/>
        <v>0.041945848330090366</v>
      </c>
      <c r="J98" s="152">
        <f t="shared" si="66"/>
        <v>0.03879401329365608</v>
      </c>
      <c r="K98" s="151">
        <f t="shared" si="66"/>
        <v>0.04541042553908789</v>
      </c>
      <c r="L98" s="151">
        <f t="shared" si="66"/>
        <v>0.04646932432759235</v>
      </c>
      <c r="M98" s="151">
        <f t="shared" si="66"/>
        <v>0.05328396671457289</v>
      </c>
      <c r="N98" s="153">
        <f t="shared" si="66"/>
        <v>0.054945955328231454</v>
      </c>
      <c r="O98" s="155">
        <f t="shared" si="66"/>
        <v>0.04369884572942078</v>
      </c>
      <c r="P98" s="155">
        <f t="shared" si="66"/>
        <v>0.04614944059799258</v>
      </c>
      <c r="Q98" s="155">
        <f t="shared" si="66"/>
        <v>0.052714738478701686</v>
      </c>
      <c r="R98" s="155">
        <f t="shared" si="66"/>
        <v>0.054144159330911996</v>
      </c>
      <c r="S98" s="8"/>
      <c r="T98" s="155">
        <f t="shared" ref="T98:AA98" si="67">T8/T46</f>
        <v>0.12850978861797827</v>
      </c>
      <c r="U98" s="155">
        <f t="shared" si="67"/>
        <v>0.16337816215270193</v>
      </c>
      <c r="V98" s="156">
        <f t="shared" si="67"/>
        <v>0.1423936692811235</v>
      </c>
      <c r="W98" s="155">
        <f t="shared" si="67"/>
        <v>0.18938156880607404</v>
      </c>
      <c r="X98" s="155">
        <f t="shared" si="67"/>
        <v>0.1880287548051806</v>
      </c>
      <c r="Y98" s="155">
        <f t="shared" si="67"/>
        <v>0.18851511258908313</v>
      </c>
      <c r="Z98" s="155">
        <f t="shared" si="67"/>
        <v>0.18510094208353842</v>
      </c>
      <c r="AA98" s="155">
        <f t="shared" si="67"/>
        <v>0.1802132154227633</v>
      </c>
      <c r="AB98" s="8"/>
      <c r="AC98" s="8"/>
      <c r="AD98" s="8"/>
      <c r="AE98" s="8"/>
    </row>
    <row r="99" ht="15.75" customHeight="1" spans="1:31" x14ac:dyDescent="0.25">
      <c r="A99" s="9"/>
      <c r="B99" s="8"/>
      <c r="C99" s="130" t="str">
        <f>Model!C184</f>
        <v>Accounts Receivables as a % of Sales</v>
      </c>
      <c r="D99" s="8"/>
      <c r="E99" s="8"/>
      <c r="F99" s="8"/>
      <c r="G99" s="157">
        <f>Model!P184</f>
        <v>0.6776816274570698</v>
      </c>
      <c r="H99" s="157">
        <f>Model!Q184</f>
        <v>0.6239377344080439</v>
      </c>
      <c r="I99" s="157">
        <f>Model!R184</f>
        <v>0.5698403603705229</v>
      </c>
      <c r="J99" s="158">
        <f>Model!S184</f>
        <v>0.7254068062386908</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0.6337935974241337</v>
      </c>
      <c r="U99" s="144">
        <f>Model!O184</f>
        <v>0.5539520472951722</v>
      </c>
      <c r="V99" s="160">
        <f>Model!T184</f>
        <v>0.7905250683293673</v>
      </c>
      <c r="W99" s="144">
        <f>Model!Y184</f>
        <v>0.6442584130586366</v>
      </c>
      <c r="X99" s="144">
        <f>Model!AD184</f>
        <v>0.6402778969832064</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0.8004524027033516</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0.7202311870976139</v>
      </c>
      <c r="W101" s="144">
        <f>Model!Y186</f>
        <v>0.7557196741642367</v>
      </c>
      <c r="X101" s="144">
        <f>Model!AD186</f>
        <v>0.761062906586607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-0.17113430124964502</v>
      </c>
      <c r="H102" s="157">
        <f t="shared" si="68"/>
        <v>-0.10064027509006401</v>
      </c>
      <c r="I102" s="157">
        <f t="shared" si="68"/>
        <v>-0.21805301858730775</v>
      </c>
      <c r="J102" s="158">
        <f t="shared" si="68"/>
        <v>-0.0750386938619324</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-0.1468799916651925</v>
      </c>
      <c r="U102" s="157">
        <f t="shared" si="69"/>
        <v>-0.18927991781954223</v>
      </c>
      <c r="V102" s="158">
        <f t="shared" si="69"/>
        <v>0.0702938812317534</v>
      </c>
      <c r="W102" s="157">
        <f t="shared" si="69"/>
        <v>-0.05939904687663544</v>
      </c>
      <c r="X102" s="157">
        <f t="shared" si="69"/>
        <v>-0.06996657651290228</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1.460626854864923</v>
      </c>
      <c r="K105" s="151">
        <f t="shared" si="70"/>
        <v>1.2072139874252485</v>
      </c>
      <c r="L105" s="151">
        <f t="shared" si="70"/>
        <v>1.1994354972208277</v>
      </c>
      <c r="M105" s="151">
        <f t="shared" si="70"/>
        <v>1.1981904281488631</v>
      </c>
      <c r="N105" s="153">
        <f t="shared" si="70"/>
        <v>1.1990493234706385</v>
      </c>
      <c r="O105" s="155">
        <f t="shared" si="70"/>
        <v>1.2631720810038836</v>
      </c>
      <c r="P105" s="155">
        <f t="shared" si="70"/>
        <v>1.210629893850901</v>
      </c>
      <c r="Q105" s="155">
        <f t="shared" si="70"/>
        <v>1.2125352393393891</v>
      </c>
      <c r="R105" s="155">
        <f t="shared" si="70"/>
        <v>1.2170125481671532</v>
      </c>
      <c r="S105" s="8"/>
      <c r="T105" s="155">
        <f t="shared" ref="T105:AA105" si="71">IF(ISERROR(T38/T52),"NA",(T38/T52))</f>
        <v>1.322666586605287</v>
      </c>
      <c r="U105" s="155">
        <f t="shared" si="71"/>
        <v>1.433675519158033</v>
      </c>
      <c r="V105" s="156">
        <f t="shared" si="71"/>
        <v>1.4084532581426303</v>
      </c>
      <c r="W105" s="155">
        <f t="shared" si="71"/>
        <v>1.1694473295823018</v>
      </c>
      <c r="X105" s="155">
        <f t="shared" si="71"/>
        <v>1.1863953632307662</v>
      </c>
      <c r="Y105" s="155">
        <f t="shared" si="71"/>
        <v>1.2108851047685023</v>
      </c>
      <c r="Z105" s="155">
        <f t="shared" si="71"/>
        <v>1.2246891815673855</v>
      </c>
      <c r="AA105" s="155">
        <f t="shared" si="71"/>
        <v>1.2371681772006762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0.35561479237379773</v>
      </c>
      <c r="L106" s="151">
        <f t="shared" si="72"/>
        <v>0.2791010040114006</v>
      </c>
      <c r="M106" s="151">
        <f t="shared" si="72"/>
        <v>0.25738573768471046</v>
      </c>
      <c r="N106" s="153">
        <f t="shared" si="72"/>
        <v>0.2407800789045599</v>
      </c>
      <c r="O106" s="155">
        <f t="shared" si="72"/>
        <v>0.1694084757277571</v>
      </c>
      <c r="P106" s="155">
        <f t="shared" si="72"/>
        <v>0.2699373152558019</v>
      </c>
      <c r="Q106" s="155">
        <f t="shared" si="72"/>
        <v>0.26317654403252344</v>
      </c>
      <c r="R106" s="155">
        <f t="shared" si="72"/>
        <v>0.24923587662732152</v>
      </c>
      <c r="S106" s="8"/>
      <c r="T106" s="155">
        <f t="shared" ref="T106:AA106" si="73">IF(ISERROR((T34+T35)/T52),"NA",((T34+T35)/T52))</f>
        <v>0.3448262555219698</v>
      </c>
      <c r="U106" s="155">
        <f t="shared" si="73"/>
        <v>0.44276678624908944</v>
      </c>
      <c r="V106" s="156">
        <f t="shared" si="73"/>
        <v>0.4568126064666045</v>
      </c>
      <c r="W106" s="155">
        <f t="shared" si="73"/>
        <v>0.23483572758835602</v>
      </c>
      <c r="X106" s="155">
        <f t="shared" si="73"/>
        <v>0.24296568579077382</v>
      </c>
      <c r="Y106" s="155">
        <f t="shared" si="73"/>
        <v>0.1940182300185441</v>
      </c>
      <c r="Z106" s="155">
        <f t="shared" si="73"/>
        <v>0.22794781400576816</v>
      </c>
      <c r="AA106" s="155">
        <f t="shared" si="73"/>
        <v>0.24422792674735708</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0.1847673347466791</v>
      </c>
      <c r="L107" s="151">
        <f t="shared" si="74"/>
        <v>0.1100485159405076</v>
      </c>
      <c r="M107" s="151">
        <f t="shared" si="74"/>
        <v>0.06794474389589057</v>
      </c>
      <c r="N107" s="153">
        <f t="shared" si="74"/>
        <v>0.04923977563241303</v>
      </c>
      <c r="O107" s="155">
        <f t="shared" si="74"/>
        <v>-0.0014389818993615173</v>
      </c>
      <c r="P107" s="155">
        <f t="shared" si="74"/>
        <v>0.1008848271849089</v>
      </c>
      <c r="Q107" s="155">
        <f t="shared" si="74"/>
        <v>0.07373555024370355</v>
      </c>
      <c r="R107" s="155">
        <f t="shared" si="74"/>
        <v>0.05769557335517467</v>
      </c>
      <c r="S107" s="8"/>
      <c r="T107" s="155">
        <f t="shared" ref="T107:AA107" si="75">IF(ISERROR(T34/T52),"NA",(T34/T52))</f>
        <v>0.22201833940268723</v>
      </c>
      <c r="U107" s="155">
        <f t="shared" si="75"/>
        <v>0.29931309578128706</v>
      </c>
      <c r="V107" s="156">
        <f t="shared" si="75"/>
        <v>0.28386490745302256</v>
      </c>
      <c r="W107" s="155">
        <f t="shared" si="75"/>
        <v>0.048024149628709725</v>
      </c>
      <c r="X107" s="155">
        <f t="shared" si="75"/>
        <v>0.05624408787781733</v>
      </c>
      <c r="Y107" s="155">
        <f t="shared" si="75"/>
        <v>0.011028258992265054</v>
      </c>
      <c r="Z107" s="155">
        <f t="shared" si="75"/>
        <v>0.04802189956643491</v>
      </c>
      <c r="AA107" s="155">
        <f t="shared" si="75"/>
        <v>0.0666503358333933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15177.211803414293</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15177.211803414293</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68.13685454919187</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0.7916606507807484</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16987.416794144043</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16987.416794144043</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76.26362221608488</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1.005354252329342</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7441.38</v>
      </c>
      <c r="E21" s="106">
        <f>Summary!U8</f>
        <v>10515.069000000001</v>
      </c>
      <c r="F21" s="107">
        <f>Summary!V8</f>
        <v>10823.677</v>
      </c>
      <c r="G21" s="106">
        <f>Summary!W8</f>
        <v>11991.52851</v>
      </c>
      <c r="H21" s="106">
        <f>Summary!X8</f>
        <v>13020.829885400002</v>
      </c>
      <c r="I21" s="106">
        <f>Summary!Y8</f>
        <v>13894.990803084002</v>
      </c>
      <c r="J21" s="106">
        <f>Summary!Z8</f>
        <v>14550.91656634524</v>
      </c>
      <c r="K21" s="107">
        <f>Summary!AA8</f>
        <v>14977.125595263211</v>
      </c>
      <c r="L21" s="106"/>
      <c r="M21" s="203">
        <f>Summary!AC8</f>
        <v>0.20603710750453108</v>
      </c>
      <c r="N21" s="204"/>
      <c r="O21" s="203">
        <f>Summary!AE8</f>
        <v>0.06711378367453325</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0.4130536271498031</v>
      </c>
      <c r="F22" s="112">
        <f>Summary!V9</f>
        <v>0.029349117918294088</v>
      </c>
      <c r="G22" s="111">
        <f>Summary!W9</f>
        <v>0.10789785301242816</v>
      </c>
      <c r="H22" s="111">
        <f>Summary!X9</f>
        <v>0.08583571098060139</v>
      </c>
      <c r="I22" s="111">
        <f>Summary!Y9</f>
        <v>0.06713557625571775</v>
      </c>
      <c r="J22" s="111">
        <f>Summary!Z9</f>
        <v>0.04720591561065701</v>
      </c>
      <c r="K22" s="112">
        <f>Summary!AA9</f>
        <v>0.02929087160761723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4700.398</v>
      </c>
      <c r="E24" s="106">
        <f>Summary!U11</f>
        <v>7034.803</v>
      </c>
      <c r="F24" s="107">
        <f>Summary!V11</f>
        <v>7343.751</v>
      </c>
      <c r="G24" s="106">
        <f>Summary!W11</f>
        <v>8383.18249</v>
      </c>
      <c r="H24" s="106">
        <f>Summary!X11</f>
        <v>9416.401270200002</v>
      </c>
      <c r="I24" s="106">
        <f>Summary!Y11</f>
        <v>17136.803693084003</v>
      </c>
      <c r="J24" s="106">
        <f>Summary!Z11</f>
        <v>17477.72945634524</v>
      </c>
      <c r="K24" s="107">
        <f>Summary!AA11</f>
        <v>17588.938485263214</v>
      </c>
      <c r="L24" s="106"/>
      <c r="M24" s="109">
        <f>Summary!AC11</f>
        <v>0.24994716293195918</v>
      </c>
      <c r="N24" s="204"/>
      <c r="O24" s="109">
        <f>Summary!AE11</f>
        <v>-0.004400787736185574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0.6690210972462471</v>
      </c>
      <c r="F25" s="112">
        <f>Summary!V12</f>
        <v>0.6784894819015757</v>
      </c>
      <c r="G25" s="111">
        <f>Summary!W12</f>
        <v>0.6990920701234274</v>
      </c>
      <c r="H25" s="111">
        <f>Summary!X12</f>
        <v>0.7231798090502991</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0.4966398590076839</v>
      </c>
      <c r="F26" s="112">
        <f>Summary!V13</f>
        <v>0.04391707912787335</v>
      </c>
      <c r="G26" s="111">
        <f>Summary!W13</f>
        <v>0.14153958787546017</v>
      </c>
      <c r="H26" s="111">
        <f>Summary!X13</f>
        <v>0.12324899063482064</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6.5021806533405</v>
      </c>
      <c r="U27" s="209">
        <f t="shared" si="0"/>
        <v>6.5021806533405</v>
      </c>
      <c r="W27" s="8"/>
      <c r="X27" s="8"/>
      <c r="Y27" s="8"/>
      <c r="Z27" s="8"/>
      <c r="AA27" s="8"/>
      <c r="AB27" s="8"/>
      <c r="AC27" s="8"/>
      <c r="AD27" s="8"/>
    </row>
    <row r="28" ht="15.75" customHeight="1" spans="1:30" x14ac:dyDescent="0.25">
      <c r="A28" s="4"/>
      <c r="B28" s="8" t="str">
        <f>Summary!C27</f>
        <v>EBITDA</v>
      </c>
      <c r="C28" s="8"/>
      <c r="D28" s="202">
        <f>Summary!T27</f>
        <v>425.8820000000003</v>
      </c>
      <c r="E28" s="106">
        <f>Summary!U27</f>
        <v>1105.4070000000004</v>
      </c>
      <c r="F28" s="107">
        <f>Summary!V27</f>
        <v>954.9390000000001</v>
      </c>
      <c r="G28" s="106">
        <f>Summary!W27</f>
        <v>2797.7586766687496</v>
      </c>
      <c r="H28" s="106">
        <f>Summary!X27</f>
        <v>3346.0765420537496</v>
      </c>
      <c r="I28" s="106">
        <f>Summary!Y27</f>
        <v>3157.2840886564286</v>
      </c>
      <c r="J28" s="106">
        <f>Summary!Z27</f>
        <v>3253.92495359443</v>
      </c>
      <c r="K28" s="107">
        <f>Summary!AA27</f>
        <v>3102.5611491263267</v>
      </c>
      <c r="L28" s="106"/>
      <c r="M28" s="109">
        <f>Summary!AC15</f>
        <v>0.6168974383394126</v>
      </c>
      <c r="N28" s="204"/>
      <c r="O28" s="109">
        <f>Summary!AE15</f>
        <v>-0.2294331852555942</v>
      </c>
      <c r="P28" s="4"/>
      <c r="Q28" s="4"/>
      <c r="R28" s="74" t="s">
        <v>146</v>
      </c>
      <c r="S28" s="209">
        <f>Valuation!K83</f>
        <v>7.750307425026151</v>
      </c>
      <c r="T28" s="209">
        <f>Valuation!R76/Summary!AA19</f>
        <v>6.335084577984838</v>
      </c>
      <c r="U28" s="209">
        <f t="shared" si="0"/>
        <v>6.335084577984838</v>
      </c>
      <c r="W28" s="8"/>
      <c r="X28" s="8"/>
      <c r="Y28" s="8"/>
      <c r="Z28" s="8"/>
      <c r="AA28" s="8"/>
      <c r="AB28" s="8"/>
      <c r="AC28" s="8"/>
      <c r="AD28" s="8"/>
    </row>
    <row r="29" ht="15.75" customHeight="1" spans="1:30" x14ac:dyDescent="0.25">
      <c r="A29" s="4"/>
      <c r="B29" s="110" t="str">
        <f>Summary!C28</f>
        <v>Margin</v>
      </c>
      <c r="C29" s="8"/>
      <c r="D29" s="202"/>
      <c r="E29" s="111">
        <f>Summary!U28</f>
        <v>0.10512598633446915</v>
      </c>
      <c r="F29" s="112">
        <f>Summary!V28</f>
        <v>0.08822685673269814</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2.04952763125525</v>
      </c>
      <c r="F30" s="112">
        <f>Summary!V17</f>
        <v>-0.142700889372683</v>
      </c>
      <c r="G30" s="111">
        <f>Summary!W17</f>
        <v>0.6042260298702005</v>
      </c>
      <c r="H30" s="111">
        <f>Summary!X17</f>
        <v>0.28376419025808697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221.11700000000033</v>
      </c>
      <c r="E32" s="106">
        <f>Summary!U19</f>
        <v>661.2990000000004</v>
      </c>
      <c r="F32" s="107">
        <f>Summary!V19</f>
        <v>633.7160000000001</v>
      </c>
      <c r="G32" s="106">
        <f>Summary!W19</f>
        <v>2041.643040170402</v>
      </c>
      <c r="H32" s="106">
        <f>Summary!X19</f>
        <v>2432.7259018275845</v>
      </c>
      <c r="I32" s="106">
        <f>Summary!Y19</f>
        <v>2333.1156126762353</v>
      </c>
      <c r="J32" s="106">
        <f>Summary!Z19</f>
        <v>2424.2641596468716</v>
      </c>
      <c r="K32" s="107">
        <f>Summary!AA19</f>
        <v>2334.172581873281</v>
      </c>
      <c r="L32" s="106"/>
      <c r="M32" s="109">
        <f>Summary!AC19</f>
        <v>0.6929193516804895</v>
      </c>
      <c r="N32" s="204"/>
      <c r="O32" s="109">
        <f>Summary!AE19</f>
        <v>-0.27015036741743625</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0.06289060014727439</v>
      </c>
      <c r="F33" s="112">
        <f>Summary!V20</f>
        <v>0.05854904945888538</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1.9907198451498505</v>
      </c>
      <c r="F34" s="112">
        <f>Summary!V21</f>
        <v>-0.04171033072785579</v>
      </c>
      <c r="G34" s="111">
        <f>Summary!W21</f>
        <v>-0.8188602275475703</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0.9414303904923612</v>
      </c>
      <c r="E36" s="106">
        <f>Summary!U23</f>
        <v>2.7800044702726887</v>
      </c>
      <c r="F36" s="107">
        <f>Summary!V23</f>
        <v>2.5987147760298313</v>
      </c>
      <c r="G36" s="106">
        <f>Summary!W23</f>
        <v>8.610147449493557</v>
      </c>
      <c r="H36" s="106">
        <f>Summary!X23</f>
        <v>12.353374001914634</v>
      </c>
      <c r="I36" s="106">
        <f>Summary!Y23</f>
        <v>13.270804213395955</v>
      </c>
      <c r="J36" s="106">
        <f>Summary!Z23</f>
        <v>14.142716532614152</v>
      </c>
      <c r="K36" s="107">
        <f>Summary!AA23</f>
        <v>13.927517584792493</v>
      </c>
      <c r="L36" s="106"/>
      <c r="M36" s="109">
        <f>Summary!AC23</f>
        <v>0.6614420616648586</v>
      </c>
      <c r="N36" s="204"/>
      <c r="O36" s="109">
        <f>Summary!AE23</f>
        <v>-0.22685961067894211</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1.9529580714074535</v>
      </c>
      <c r="F37" s="112">
        <f>Summary!V24</f>
        <v>-0.06521201536955623</v>
      </c>
      <c r="G37" s="111">
        <f>Summary!W24</f>
        <v>-0.8292232746357159</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-235.61099999999976</v>
      </c>
      <c r="E39" s="106">
        <f>Model!O112</f>
        <v>-367.94500000000016</v>
      </c>
      <c r="F39" s="107">
        <f>Model!T112</f>
        <v>2332.925</v>
      </c>
      <c r="G39" s="106">
        <f>Model!Y112</f>
        <v>-651.1921613749261</v>
      </c>
      <c r="H39" s="106">
        <f>Model!AD112</f>
        <v>2033.0568115634173</v>
      </c>
      <c r="I39" s="106">
        <f>Model!AE112</f>
        <v>1891.9183375910752</v>
      </c>
      <c r="J39" s="106">
        <f>Model!AF112</f>
        <v>2457.148055174949</v>
      </c>
      <c r="K39" s="107">
        <f>Model!AG112</f>
        <v>2060.8545985613164</v>
      </c>
      <c r="L39" s="4"/>
      <c r="M39" s="109" t="str">
        <f>IFERROR((F39/D39)^(1/2)-1,"N/A")</f>
        <v>N/A</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0.56166308024668</v>
      </c>
      <c r="F40" s="112">
        <f t="shared" si="1"/>
        <v>-7.340417725475272</v>
      </c>
      <c r="G40" s="111">
        <f t="shared" si="1"/>
        <v>-1.050206403180229</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22.77333158010903</v>
      </c>
      <c r="E45" s="151">
        <f>Summary!U93</f>
        <v>12.240346768203924</v>
      </c>
      <c r="F45" s="152">
        <f>Summary!V93</f>
        <v>16.64597529266267</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17.219884546991874</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0.2091224863771145</v>
      </c>
      <c r="G47" s="151">
        <f>Summary!W95</f>
        <v>0.16709874849383946</v>
      </c>
      <c r="H47" s="151">
        <f>Summary!X95</f>
        <v>0.16676060199234044</v>
      </c>
      <c r="I47" s="151">
        <f>Summary!Y95</f>
        <v>0.1736814562183664</v>
      </c>
      <c r="J47" s="151">
        <f>Summary!Z95</f>
        <v>0.1781731987044713</v>
      </c>
      <c r="K47" s="152">
        <f>Summary!AA95</f>
        <v>0.18234076872164812</v>
      </c>
      <c r="L47" s="4"/>
      <c r="M47" s="215">
        <f t="shared" si="3"/>
        <v>0.19561591251812024</v>
      </c>
      <c r="N47" s="204"/>
      <c r="O47" s="215">
        <f t="shared" si="4"/>
        <v>0.17361095482613315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1.4084532581426303</v>
      </c>
      <c r="G50" s="151">
        <f>Summary!W105</f>
        <v>1.1694473295823018</v>
      </c>
      <c r="H50" s="151">
        <f>Summary!X105</f>
        <v>1.1863953632307662</v>
      </c>
      <c r="I50" s="151">
        <f>Summary!Y105</f>
        <v>1.2108851047685023</v>
      </c>
      <c r="J50" s="151">
        <f>Summary!Z105</f>
        <v>1.2246891815673855</v>
      </c>
      <c r="K50" s="152">
        <f>Summary!AA105</f>
        <v>1.2371681772006762</v>
      </c>
      <c r="L50" s="4"/>
      <c r="M50" s="215">
        <f t="shared" ref="M50:M52" si="5">AVERAGE(D50:F50)</f>
        <v>1.3882651213019834</v>
      </c>
      <c r="N50" s="204"/>
      <c r="O50" s="215">
        <f t="shared" ref="O50:O52" si="6">AVERAGE(G50:K50)</f>
        <v>1.2057170312699266</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0.23483572758835602</v>
      </c>
      <c r="H51" s="151">
        <f>Summary!X106</f>
        <v>0.24296568579077382</v>
      </c>
      <c r="I51" s="151">
        <f>Summary!Y106</f>
        <v>0.1940182300185441</v>
      </c>
      <c r="J51" s="151">
        <f>Summary!Z106</f>
        <v>0.22794781400576816</v>
      </c>
      <c r="K51" s="152">
        <f>Summary!AA106</f>
        <v>0.24422792674735708</v>
      </c>
      <c r="L51" s="4"/>
      <c r="M51" s="215">
        <f t="shared" si="5"/>
        <v>0.4148018827458879</v>
      </c>
      <c r="N51" s="204"/>
      <c r="O51" s="215">
        <f t="shared" si="6"/>
        <v>0.22879907683015985</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0.048024149628709725</v>
      </c>
      <c r="H52" s="151">
        <f>Summary!X107</f>
        <v>0.05624408787781733</v>
      </c>
      <c r="I52" s="151">
        <f>Summary!Y107</f>
        <v>0.011028258992265054</v>
      </c>
      <c r="J52" s="151">
        <f>Summary!Z107</f>
        <v>0.04802189956643491</v>
      </c>
      <c r="K52" s="152">
        <f>Summary!AA107</f>
        <v>0.0666503358333933</v>
      </c>
      <c r="L52" s="4"/>
      <c r="M52" s="215">
        <f t="shared" si="5"/>
        <v>0.26839878087899893</v>
      </c>
      <c r="N52" s="204"/>
      <c r="O52" s="215">
        <f t="shared" si="6"/>
        <v>0.04599374637972407</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0.003818606082452656</v>
      </c>
      <c r="E55" s="148">
        <f>Summary!U81</f>
        <v>0.010274950668742134</v>
      </c>
      <c r="F55" s="149">
        <f>Summary!V81</f>
        <v>0.008337013985372668</v>
      </c>
      <c r="G55" s="148">
        <f>Summary!W81</f>
        <v>0.02019165469779793</v>
      </c>
      <c r="H55" s="148">
        <f>Summary!X81</f>
        <v>0.022669049329319638</v>
      </c>
      <c r="I55" s="148">
        <f>Summary!Y81</f>
        <v>0.020891998059558832</v>
      </c>
      <c r="J55" s="148">
        <f>Summary!Z81</f>
        <v>0.02067099698351653</v>
      </c>
      <c r="K55" s="149">
        <f>Summary!AA81</f>
        <v>0.01900414781031789</v>
      </c>
      <c r="L55" s="4"/>
      <c r="M55" s="109">
        <f t="shared" ref="M55:M57" si="7">AVERAGE(D55:F55)</f>
        <v>0.007476856912189152</v>
      </c>
      <c r="N55" s="204"/>
      <c r="O55" s="109">
        <f t="shared" ref="O55:O57" si="8">AVERAGE(G55:K55)</f>
        <v>0.020685569376102168</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0.02255804475249528</v>
      </c>
      <c r="E56" s="148">
        <f>Summary!U82</f>
        <v>0.06467480105353683</v>
      </c>
      <c r="F56" s="149">
        <f>Summary!V82</f>
        <v>0.059547445204719364</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0.048926763670250485</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0.011338817562503711</v>
      </c>
      <c r="E57" s="148">
        <f>Summary!U83</f>
        <v>0.027837660855028767</v>
      </c>
      <c r="F57" s="149">
        <f>Summary!V83</f>
        <v>0.023879484336742498</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0.021018654251424993</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0</v>
      </c>
      <c r="E60" s="106">
        <f>Summary!U86</f>
        <v>0</v>
      </c>
      <c r="F60" s="107">
        <f>Summary!V86</f>
        <v>0</v>
      </c>
      <c r="G60" s="106">
        <f>Summary!W86</f>
        <v>0</v>
      </c>
      <c r="H60" s="106">
        <f>Summary!X86</f>
        <v>0</v>
      </c>
      <c r="I60" s="106">
        <f>Summary!Y86</f>
        <v>0</v>
      </c>
      <c r="J60" s="106">
        <f>Summary!Z86</f>
        <v>0</v>
      </c>
      <c r="K60" s="107">
        <f>Summary!AA86</f>
        <v>0</v>
      </c>
      <c r="L60" s="4"/>
      <c r="M60" s="216">
        <f t="shared" ref="M60:M64" si="9">AVERAGE(D60:F60)</f>
        <v>0</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-179.87292764999998</v>
      </c>
      <c r="H61" s="127">
        <f>Summary!X87</f>
        <v>-195.312448281</v>
      </c>
      <c r="I61" s="127">
        <f>Summary!Y87</f>
        <v>-208.42486204626002</v>
      </c>
      <c r="J61" s="127">
        <f>Summary!Z87</f>
        <v>-218.2637484951786</v>
      </c>
      <c r="K61" s="128">
        <f>Summary!AA87</f>
        <v>-224.65688392894816</v>
      </c>
      <c r="L61" s="4"/>
      <c r="M61" s="217">
        <f t="shared" si="9"/>
        <v>-145.66666666666666</v>
      </c>
      <c r="N61" s="127"/>
      <c r="O61" s="217">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t="str">
        <f>Summary!T88</f>
        <v>N/A</v>
      </c>
      <c r="E62" s="151" t="str">
        <f>Summary!U88</f>
        <v>N/A</v>
      </c>
      <c r="F62" s="152" t="str">
        <f>Summary!V88</f>
        <v>N/A</v>
      </c>
      <c r="G62" s="151" t="str">
        <f>Summary!W88</f>
        <v>N/A</v>
      </c>
      <c r="H62" s="151" t="str">
        <f>Summary!X88</f>
        <v>N/A</v>
      </c>
      <c r="I62" s="151" t="str">
        <f>Summary!Y88</f>
        <v>N/A</v>
      </c>
      <c r="J62" s="151" t="str">
        <f>Summary!Z88</f>
        <v>N/A</v>
      </c>
      <c r="K62" s="152" t="str">
        <f>Summary!AA88</f>
        <v>N/A</v>
      </c>
      <c r="L62" s="4"/>
      <c r="M62" s="215" t="e">
        <f t="shared" si="9"/>
        <v>#DIV/0!</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t="str">
        <f>Summary!T89</f>
        <v>N/A</v>
      </c>
      <c r="E63" s="151" t="str">
        <f>Summary!U89</f>
        <v>N/A</v>
      </c>
      <c r="F63" s="152" t="str">
        <f>Summary!V89</f>
        <v>N/A</v>
      </c>
      <c r="G63" s="151" t="str">
        <f>Summary!W89</f>
        <v>N/A</v>
      </c>
      <c r="H63" s="151" t="str">
        <f>Summary!X89</f>
        <v>N/A</v>
      </c>
      <c r="I63" s="151" t="str">
        <f>Summary!Y89</f>
        <v>N/A</v>
      </c>
      <c r="J63" s="151" t="str">
        <f>Summary!Z89</f>
        <v>N/A</v>
      </c>
      <c r="K63" s="152" t="str">
        <f>Summary!AA89</f>
        <v>N/A</v>
      </c>
      <c r="L63" s="4"/>
      <c r="M63" s="215" t="e">
        <f t="shared" si="9"/>
        <v>#DIV/0!</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t="str">
        <f>Summary!T90</f>
        <v>N/A</v>
      </c>
      <c r="E64" s="151" t="str">
        <f>Summary!U90</f>
        <v>N/A</v>
      </c>
      <c r="F64" s="152" t="str">
        <f>Summary!V90</f>
        <v>N/A</v>
      </c>
      <c r="G64" s="151" t="str">
        <f>Summary!W90</f>
        <v>N/A</v>
      </c>
      <c r="H64" s="151" t="str">
        <f>Summary!X90</f>
        <v>N/A</v>
      </c>
      <c r="I64" s="151" t="str">
        <f>Summary!Y90</f>
        <v>N/A</v>
      </c>
      <c r="J64" s="151" t="str">
        <f>Summary!Z90</f>
        <v>N/A</v>
      </c>
      <c r="K64" s="152" t="str">
        <f>Summary!AA90</f>
        <v>N/A</v>
      </c>
      <c r="L64" s="4"/>
      <c r="M64" s="215" t="e">
        <f t="shared" si="9"/>
        <v>#DIV/0!</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0.12850978861797827</v>
      </c>
      <c r="E67" s="155">
        <f>Summary!U98</f>
        <v>0.16337816215270193</v>
      </c>
      <c r="F67" s="156">
        <f>Summary!V98</f>
        <v>0.1423936692811235</v>
      </c>
      <c r="G67" s="155">
        <f>Summary!W98</f>
        <v>0.18938156880607404</v>
      </c>
      <c r="H67" s="155">
        <f>Summary!X98</f>
        <v>0.1880287548051806</v>
      </c>
      <c r="I67" s="155">
        <f>Summary!Y98</f>
        <v>0.18851511258908313</v>
      </c>
      <c r="J67" s="155">
        <f>Summary!Z98</f>
        <v>0.18510094208353842</v>
      </c>
      <c r="K67" s="156">
        <f>Summary!AA98</f>
        <v>0.1802132154227633</v>
      </c>
      <c r="L67" s="4"/>
      <c r="M67" s="215">
        <f t="shared" ref="M67:M71" si="11">AVERAGE(D67:F67)</f>
        <v>0.1447605400172679</v>
      </c>
      <c r="N67" s="155"/>
      <c r="O67" s="215">
        <f t="shared" ref="O67:O71" si="12">AVERAGE(G67:K67)</f>
        <v>0.1862479187413279</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0.6337935974241337</v>
      </c>
      <c r="E68" s="157">
        <f>Summary!U99</f>
        <v>0.5539520472951722</v>
      </c>
      <c r="F68" s="158">
        <f>Summary!V99</f>
        <v>0.7905250683293673</v>
      </c>
      <c r="G68" s="157">
        <f>Summary!W99</f>
        <v>0.6442584130586366</v>
      </c>
      <c r="H68" s="157">
        <f>Summary!X99</f>
        <v>0.6402778969832064</v>
      </c>
      <c r="I68" s="157">
        <f>Summary!Y99</f>
        <v>0.66</v>
      </c>
      <c r="J68" s="157">
        <f>Summary!Z99</f>
        <v>0.65</v>
      </c>
      <c r="K68" s="158">
        <f>Summary!AA99</f>
        <v>0.65</v>
      </c>
      <c r="L68" s="4"/>
      <c r="M68" s="218">
        <f t="shared" si="11"/>
        <v>0.6594235710162244</v>
      </c>
      <c r="N68" s="157"/>
      <c r="O68" s="218">
        <f t="shared" si="12"/>
        <v>0.6489072620083686</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0.7202311870976139</v>
      </c>
      <c r="G70" s="157">
        <f>Summary!W101</f>
        <v>0.7557196741642367</v>
      </c>
      <c r="H70" s="157">
        <f>Summary!X101</f>
        <v>0.761062906586607</v>
      </c>
      <c r="I70" s="157">
        <f>Summary!Y101</f>
        <v>0.834</v>
      </c>
      <c r="J70" s="157">
        <f>Summary!Z101</f>
        <v>0.82</v>
      </c>
      <c r="K70" s="158">
        <f>Summary!AA101</f>
        <v>0.81</v>
      </c>
      <c r="L70" s="4"/>
      <c r="M70" s="218">
        <f t="shared" si="11"/>
        <v>0.7480508937903623</v>
      </c>
      <c r="N70" s="157"/>
      <c r="O70" s="218">
        <f t="shared" si="12"/>
        <v>0.7961565161501687</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-0.1468799916651925</v>
      </c>
      <c r="E71" s="157">
        <f>Summary!U102</f>
        <v>-0.18927991781954223</v>
      </c>
      <c r="F71" s="158">
        <f>Summary!V102</f>
        <v>0.0702938812317534</v>
      </c>
      <c r="G71" s="157">
        <f>Summary!W102</f>
        <v>-0.05939904687663544</v>
      </c>
      <c r="H71" s="157">
        <f>Summary!X102</f>
        <v>-0.06996657651290228</v>
      </c>
      <c r="I71" s="157">
        <f>Summary!Y102</f>
        <v>-0.17399999999999993</v>
      </c>
      <c r="J71" s="157">
        <f>Summary!Z102</f>
        <v>-0.16999999999999993</v>
      </c>
      <c r="K71" s="158">
        <f>Summary!AA102</f>
        <v>-0.16000000000000003</v>
      </c>
      <c r="L71" s="4"/>
      <c r="M71" s="219">
        <f t="shared" si="11"/>
        <v>-0.08862200941766045</v>
      </c>
      <c r="N71" s="157"/>
      <c r="O71" s="219">
        <f t="shared" si="12"/>
        <v>-0.12667312467790753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6.0% - 7.0%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6.0% - 7.0%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0.0065630835932582315</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1780.56</v>
      </c>
      <c r="G30" s="280">
        <f>'Segment Analysis'!G7</f>
        <v>1651.242</v>
      </c>
      <c r="H30" s="280">
        <f>'Segment Analysis'!H7</f>
        <v>2040.8880000000001</v>
      </c>
      <c r="I30" s="280">
        <f>'Segment Analysis'!I7</f>
        <v>1968.6900000000005</v>
      </c>
      <c r="J30" s="281">
        <f>'Segment Analysis'!J7</f>
        <v>7441.38</v>
      </c>
      <c r="K30" s="280">
        <f>'Segment Analysis'!K7</f>
        <v>2551.9</v>
      </c>
      <c r="L30" s="280">
        <f>'Segment Analysis'!L7</f>
        <v>2516.23</v>
      </c>
      <c r="M30" s="280">
        <f>'Segment Analysis'!M7</f>
        <v>2595.48</v>
      </c>
      <c r="N30" s="280">
        <f>'Segment Analysis'!N7</f>
        <v>2851.4590000000003</v>
      </c>
      <c r="O30" s="281">
        <f>'Segment Analysis'!O7</f>
        <v>10515.069000000001</v>
      </c>
      <c r="P30" s="280">
        <f>'Segment Analysis'!P7</f>
        <v>2472.8640000000005</v>
      </c>
      <c r="Q30" s="280">
        <f>'Segment Analysis'!Q7</f>
        <v>2494.315</v>
      </c>
      <c r="R30" s="280">
        <f>'Segment Analysis'!R7</f>
        <v>2907.6740000000004</v>
      </c>
      <c r="S30" s="280">
        <f>'Segment Analysis'!S7</f>
        <v>2948.8239999999987</v>
      </c>
      <c r="T30" s="281">
        <f>'Segment Analysis'!T7</f>
        <v>10823.677</v>
      </c>
      <c r="U30" s="282">
        <f t="shared" ref="U30:X30" si="0">SUM(U32,U35,U38,U41,U44,U47,)</f>
        <v>2742.8525100000006</v>
      </c>
      <c r="V30" s="282">
        <f t="shared" si="0"/>
        <v>2804.45528</v>
      </c>
      <c r="W30" s="282">
        <f t="shared" si="0"/>
        <v>3225.2027500000004</v>
      </c>
      <c r="X30" s="282">
        <f t="shared" si="0"/>
        <v>3219.017969999999</v>
      </c>
      <c r="Y30" s="283">
        <f>SUM(U30:X30)</f>
        <v>11991.52851</v>
      </c>
      <c r="Z30" s="282">
        <f t="shared" ref="Z30:AC30" si="1">SUM(Z32,Z35,Z38,Z41,Z44,Z47,)</f>
        <v>2948.7114171000007</v>
      </c>
      <c r="AA30" s="282">
        <f t="shared" si="1"/>
        <v>3086.9714088000005</v>
      </c>
      <c r="AB30" s="282">
        <f t="shared" si="1"/>
        <v>3511.418069500001</v>
      </c>
      <c r="AC30" s="282">
        <f t="shared" si="1"/>
        <v>3473.7289899999987</v>
      </c>
      <c r="AD30" s="283">
        <f>SUM(Z30:AC30)</f>
        <v>13020.829885400002</v>
      </c>
      <c r="AE30" s="283">
        <f t="shared" ref="AE30:AG30" si="2">SUM(AE32,AE35,AE38,AE41,AE44,AE47,)</f>
        <v>13894.990803084002</v>
      </c>
      <c r="AF30" s="283">
        <f t="shared" si="2"/>
        <v>14550.91656634524</v>
      </c>
      <c r="AG30" s="283">
        <f t="shared" si="2"/>
        <v>14977.125595263211</v>
      </c>
      <c r="AH30" s="8"/>
      <c r="AI30" s="284">
        <f>IFERROR((T30/J30)^(1/3)-1,"--")</f>
        <v>0.133027489812378</v>
      </c>
      <c r="AJ30" s="285">
        <f>IFERROR((AG30/T30)^(1/5)-1,"--")</f>
        <v>0.06711378367453325</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0.4332007907624569</v>
      </c>
      <c r="L31" s="290">
        <f>IF($C$25="Annual",'Segment Analysis'!L172,'Segment Analysis'!L192)</f>
        <v>0.5238408422266392</v>
      </c>
      <c r="M31" s="290">
        <f>IF($C$25="Annual",'Segment Analysis'!M172,'Segment Analysis'!M192)</f>
        <v>0.2717405364723591</v>
      </c>
      <c r="N31" s="290">
        <f>IF($C$25="Annual",'Segment Analysis'!N172,'Segment Analysis'!N192)</f>
        <v>0.44840426882851014</v>
      </c>
      <c r="O31" s="291">
        <f>IF($C$25="Annual",'Segment Analysis'!O172,'Segment Analysis'!O192)</f>
        <v>0.4130536271498031</v>
      </c>
      <c r="P31" s="290">
        <f>IF($C$25="Annual",'Segment Analysis'!P172,'Segment Analysis'!P192)</f>
        <v>-0.030971433049884256</v>
      </c>
      <c r="Q31" s="290">
        <f>IF($C$25="Annual",'Segment Analysis'!Q172,'Segment Analysis'!Q192)</f>
        <v>-0.008709458197382558</v>
      </c>
      <c r="R31" s="290">
        <f>IF($C$25="Annual",'Segment Analysis'!R172,'Segment Analysis'!R192)</f>
        <v>0.1202837240125143</v>
      </c>
      <c r="S31" s="290">
        <f>IF($C$25="Annual",'Segment Analysis'!S172,'Segment Analysis'!S192)</f>
        <v>0.034145677703939725</v>
      </c>
      <c r="T31" s="291">
        <f>IF($C$25="Annual",'Segment Analysis'!T172,'Segment Analysis'!T192)</f>
        <v>0.029349117918294088</v>
      </c>
      <c r="U31" s="292">
        <f>IFERROR(U30/S30-1,"--")</f>
        <v>-0.06984868883324269</v>
      </c>
      <c r="V31" s="292">
        <f t="shared" ref="V31" si="3">IFERROR(V30/U30-1,"--")</f>
        <v>0.022459381164464887</v>
      </c>
      <c r="W31" s="292">
        <f t="shared" ref="W31" si="4">IFERROR(W30/V30-1,"--")</f>
        <v>0.15002823293370549</v>
      </c>
      <c r="X31" s="292">
        <f t="shared" ref="X31" si="5">IFERROR(X30/W30-1,"--")</f>
        <v>-0.0019176406816598934</v>
      </c>
      <c r="Y31" s="293">
        <f>IFERROR(Y30/T30-1,"--")</f>
        <v>0.10789785301242816</v>
      </c>
      <c r="Z31" s="292">
        <f>IFERROR(Z30/X30-1,"--")</f>
        <v>-0.08397174399743979</v>
      </c>
      <c r="AA31" s="292">
        <f t="shared" ref="AA31:AC31" si="6">IFERROR(AA30/Z30-1,"--")</f>
        <v>0.046888274959092424</v>
      </c>
      <c r="AB31" s="292">
        <f t="shared" si="6"/>
        <v>0.13749614249423692</v>
      </c>
      <c r="AC31" s="292">
        <f t="shared" si="6"/>
        <v>-0.010733293146540368</v>
      </c>
      <c r="AD31" s="293">
        <f>IFERROR(AD30/Y30-1,"--")</f>
        <v>0.08583571098060139</v>
      </c>
      <c r="AE31" s="293">
        <f t="shared" ref="AE31:AG31" si="7">IFERROR(AE30/AD30-1,"--")</f>
        <v>0.06713557625571775</v>
      </c>
      <c r="AF31" s="293">
        <f t="shared" si="7"/>
        <v>0.04720591561065701</v>
      </c>
      <c r="AG31" s="293">
        <f t="shared" si="7"/>
        <v>0.02929087160761723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0.9798490362582558</v>
      </c>
      <c r="G34" s="290">
        <f>'Segment Analysis'!G16</f>
        <v>1.0182710953330887</v>
      </c>
      <c r="H34" s="290">
        <f>'Segment Analysis'!H16</f>
        <v>1.0168612878315715</v>
      </c>
      <c r="I34" s="290">
        <f>'Segment Analysis'!I16</f>
        <v>0.942544534690581</v>
      </c>
      <c r="J34" s="291">
        <f>'Segment Analysis'!J16</f>
        <v>0.9886566738965085</v>
      </c>
      <c r="K34" s="290">
        <f>'Segment Analysis'!K16</f>
        <v>0.9345193777185626</v>
      </c>
      <c r="L34" s="290">
        <f>'Segment Analysis'!L16</f>
        <v>0.9165577073637943</v>
      </c>
      <c r="M34" s="290">
        <f>'Segment Analysis'!M16</f>
        <v>0.9474278360842696</v>
      </c>
      <c r="N34" s="290">
        <f>'Segment Analysis'!N16</f>
        <v>0.9134863941582186</v>
      </c>
      <c r="O34" s="291">
        <f>'Segment Analysis'!O16</f>
        <v>0.92770375543898</v>
      </c>
      <c r="P34" s="290">
        <f>'Segment Analysis'!P16</f>
        <v>0.9180492740401412</v>
      </c>
      <c r="Q34" s="290">
        <f>'Segment Analysis'!Q16</f>
        <v>0.9457642679453077</v>
      </c>
      <c r="R34" s="290">
        <f>'Segment Analysis'!R16</f>
        <v>0.9447971127437257</v>
      </c>
      <c r="S34" s="290">
        <f>'Segment Analysis'!S16</f>
        <v>0.9355977162421358</v>
      </c>
      <c r="T34" s="291">
        <f>'Segment Analysis'!T16</f>
        <v>0.9364026661179929</v>
      </c>
      <c r="U34" s="292">
        <f t="shared" ref="U34:X34" si="13">U32/U$30</f>
        <v>0.9187275658507791</v>
      </c>
      <c r="V34" s="292">
        <f t="shared" si="13"/>
        <v>0.9421145342706267</v>
      </c>
      <c r="W34" s="292">
        <f t="shared" si="13"/>
        <v>0.9497342856972326</v>
      </c>
      <c r="X34" s="292">
        <f t="shared" si="13"/>
        <v>0.9427733328248552</v>
      </c>
      <c r="Y34" s="293">
        <f t="shared" ref="Y34:AG34" si="14">Y32/Y$30</f>
        <v>0.9389914063590882</v>
      </c>
      <c r="Z34" s="292">
        <f t="shared" si="14"/>
        <v>0.948592987729847</v>
      </c>
      <c r="AA34" s="292">
        <f t="shared" si="14"/>
        <v>0.9500415392379841</v>
      </c>
      <c r="AB34" s="292">
        <f t="shared" si="14"/>
        <v>0.9508304823342825</v>
      </c>
      <c r="AC34" s="292">
        <f t="shared" si="14"/>
        <v>0.952272528030461</v>
      </c>
      <c r="AD34" s="293">
        <f t="shared" si="14"/>
        <v>0.9505214471373757</v>
      </c>
      <c r="AE34" s="293">
        <f t="shared" si="14"/>
        <v>0.9619800761495468</v>
      </c>
      <c r="AF34" s="293">
        <f t="shared" si="14"/>
        <v>0.9691398465276619</v>
      </c>
      <c r="AG34" s="293">
        <f t="shared" si="14"/>
        <v>0.9745153375250305</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0.020150963741744167</v>
      </c>
      <c r="G37" s="290">
        <f>'Segment Analysis'!G17</f>
        <v>-0.01827109533308867</v>
      </c>
      <c r="H37" s="290">
        <f>'Segment Analysis'!H17</f>
        <v>-0.016861287831571356</v>
      </c>
      <c r="I37" s="290">
        <f>'Segment Analysis'!I17</f>
        <v>0.057455465309418946</v>
      </c>
      <c r="J37" s="291">
        <f>'Segment Analysis'!J17</f>
        <v>0.011343326103491556</v>
      </c>
      <c r="K37" s="290">
        <f>'Segment Analysis'!K17</f>
        <v>0.06548062228143736</v>
      </c>
      <c r="L37" s="290">
        <f>'Segment Analysis'!L17</f>
        <v>0.08344229263620574</v>
      </c>
      <c r="M37" s="290">
        <f>'Segment Analysis'!M17</f>
        <v>0.05257216391573042</v>
      </c>
      <c r="N37" s="290">
        <f>'Segment Analysis'!N17</f>
        <v>0.08651360584178136</v>
      </c>
      <c r="O37" s="291">
        <f>'Segment Analysis'!O17</f>
        <v>0.07229624456101999</v>
      </c>
      <c r="P37" s="290">
        <f>'Segment Analysis'!P17</f>
        <v>0.08195072595985868</v>
      </c>
      <c r="Q37" s="290">
        <f>'Segment Analysis'!Q17</f>
        <v>0.05423573205469237</v>
      </c>
      <c r="R37" s="290">
        <f>'Segment Analysis'!R17</f>
        <v>0.05520288725627425</v>
      </c>
      <c r="S37" s="290">
        <f>'Segment Analysis'!S17</f>
        <v>0.06440228375786416</v>
      </c>
      <c r="T37" s="291">
        <f>'Segment Analysis'!T17</f>
        <v>0.06359733388200701</v>
      </c>
      <c r="U37" s="292">
        <f t="shared" ref="U37:X37" si="20">U35/U$30</f>
        <v>0.0812724341492208</v>
      </c>
      <c r="V37" s="292">
        <f t="shared" si="20"/>
        <v>0.057885465729373295</v>
      </c>
      <c r="W37" s="292">
        <f t="shared" si="20"/>
        <v>0.050265714302767474</v>
      </c>
      <c r="X37" s="292">
        <f t="shared" si="20"/>
        <v>0.05722666717514473</v>
      </c>
      <c r="Y37" s="293">
        <f t="shared" ref="Y37:AG37" si="21">Y35/Y$30</f>
        <v>0.06100859364091193</v>
      </c>
      <c r="Z37" s="292">
        <f t="shared" si="21"/>
        <v>0.05140701227015301</v>
      </c>
      <c r="AA37" s="292">
        <f t="shared" si="21"/>
        <v>0.049958460762015974</v>
      </c>
      <c r="AB37" s="292">
        <f t="shared" si="21"/>
        <v>0.04916951766571752</v>
      </c>
      <c r="AC37" s="292">
        <f t="shared" si="21"/>
        <v>0.047727471969539</v>
      </c>
      <c r="AD37" s="293">
        <f t="shared" si="21"/>
        <v>0.04947855286262413</v>
      </c>
      <c r="AE37" s="293">
        <f t="shared" si="21"/>
        <v>0.038019923850453115</v>
      </c>
      <c r="AF37" s="293">
        <f t="shared" si="21"/>
        <v>0.030860153472338028</v>
      </c>
      <c r="AG37" s="293">
        <f t="shared" si="21"/>
        <v>0.02548466247496953</v>
      </c>
      <c r="AH37" s="287"/>
      <c r="AI37" s="294"/>
      <c r="AJ37" s="295"/>
    </row>
    <row r="38" ht="12.75" customHeight="1" hidden="1" spans="1:36" x14ac:dyDescent="0.25" outlineLevel="1" collapsed="1">
      <c r="A38" s="8"/>
      <c r="B38" s="8"/>
      <c r="C38" s="8" t="str">
        <f>'Segment Analysis'!C10</f>
        <v> Revenue</v>
      </c>
      <c r="D38" s="8"/>
      <c r="E38" s="8"/>
      <c r="F38" s="280">
        <f>'Segment Analysis'!F10</f>
        <v>0</v>
      </c>
      <c r="G38" s="280">
        <f>'Segment Analysis'!G10</f>
        <v>0</v>
      </c>
      <c r="H38" s="280">
        <f>'Segment Analysis'!H10</f>
        <v>0</v>
      </c>
      <c r="I38" s="280">
        <f>'Segment Analysis'!I10</f>
        <v>0</v>
      </c>
      <c r="J38" s="281">
        <f>'Segment Analysis'!J10</f>
        <v>0</v>
      </c>
      <c r="K38" s="280">
        <f>'Segment Analysis'!K10</f>
        <v>0</v>
      </c>
      <c r="L38" s="280">
        <f>'Segment Analysis'!L10</f>
        <v>0</v>
      </c>
      <c r="M38" s="280">
        <f>'Segment Analysis'!M10</f>
        <v>0</v>
      </c>
      <c r="N38" s="280">
        <f>'Segment Analysis'!N10</f>
        <v>0</v>
      </c>
      <c r="O38" s="281">
        <f>'Segment Analysis'!O10</f>
        <v>0</v>
      </c>
      <c r="P38" s="280">
        <f>'Segment Analysis'!P10</f>
        <v>0</v>
      </c>
      <c r="Q38" s="280">
        <f>'Segment Analysis'!Q10</f>
        <v>0</v>
      </c>
      <c r="R38" s="280">
        <f>'Segment Analysis'!R10</f>
        <v>0</v>
      </c>
      <c r="S38" s="280">
        <f>'Segment Analysis'!S10</f>
        <v>0</v>
      </c>
      <c r="T38" s="281">
        <f>'Segment Analysis'!T10</f>
        <v>0</v>
      </c>
      <c r="U38" s="282">
        <f>IF(Segment3_Rev_Methodology="Segment",U65,IF(Segment3_Rev_Methodology="Activity-Based",U115,IF(Segment3_Rev_Methodology="Backlog",U189,"--")))</f>
        <v>0</v>
      </c>
      <c r="V38" s="282">
        <f>IF(Segment3_Rev_Methodology="Segment",V65,IF(Segment3_Rev_Methodology="Activity-Based",V115,IF(Segment3_Rev_Methodology="Backlog",V189,"--")))</f>
        <v>0</v>
      </c>
      <c r="W38" s="282">
        <f>IF(Segment3_Rev_Methodology="Segment",W65,IF(Segment3_Rev_Methodology="Activity-Based",W115,IF(Segment3_Rev_Methodology="Backlog",W189,"--")))</f>
        <v>0</v>
      </c>
      <c r="X38" s="282">
        <f>IF(Segment3_Rev_Methodology="Segment",X65,IF(Segment3_Rev_Methodology="Activity-Based",X115,IF(Segment3_Rev_Methodology="Backlog",X189,"--")))</f>
        <v>0</v>
      </c>
      <c r="Y38" s="283">
        <f>SUM(U38:X38)</f>
        <v>0</v>
      </c>
      <c r="Z38" s="282">
        <f>IF(Segment3_Rev_Methodology="Segment",Z65,IF(Segment3_Rev_Methodology="Activity-Based",Z115,IF(Segment3_Rev_Methodology="Backlog",Z189,"--")))</f>
        <v>0</v>
      </c>
      <c r="AA38" s="282">
        <f>IF(Segment3_Rev_Methodology="Segment",AA65,IF(Segment3_Rev_Methodology="Activity-Based",AA115,IF(Segment3_Rev_Methodology="Backlog",AA189,"--")))</f>
        <v>0</v>
      </c>
      <c r="AB38" s="282">
        <f>IF(Segment3_Rev_Methodology="Segment",AB65,IF(Segment3_Rev_Methodology="Activity-Based",AB115,IF(Segment3_Rev_Methodology="Backlog",AB189,"--")))</f>
        <v>0</v>
      </c>
      <c r="AC38" s="282">
        <f>IF(Segment3_Rev_Methodology="Segment",AC65,IF(Segment3_Rev_Methodology="Activity-Based",AC115,IF(Segment3_Rev_Methodology="Backlog",AC189,"--")))</f>
        <v>0</v>
      </c>
      <c r="AD38" s="283">
        <f>SUM(Z38:AC38)</f>
        <v>0</v>
      </c>
      <c r="AE38" s="283">
        <f>IF(Segment3_Rev_Methodology="Segment",AE65,IF(Segment3_Rev_Methodology="Activity-Based",AE115,IF(Segment3_Rev_Methodology="Backlog",AE189,"--")))</f>
        <v>0</v>
      </c>
      <c r="AF38" s="283">
        <f>IF(Segment3_Rev_Methodology="Segment",AF65,IF(Segment3_Rev_Methodology="Activity-Based",AF115,IF(Segment3_Rev_Methodology="Backlog",AF189,"--")))</f>
        <v>0</v>
      </c>
      <c r="AG38" s="283">
        <f>IF(Segment3_Rev_Methodology="Segment",AG65,IF(Segment3_Rev_Methodology="Activity-Based",AG115,IF(Segment3_Rev_Methodology="Backlog",AG189,"--")))</f>
        <v>0</v>
      </c>
      <c r="AH38" s="8"/>
      <c r="AI38" s="284" t="str">
        <f>IFERROR((T38/J38)^(1/3)-1,"--")</f>
        <v>--</v>
      </c>
      <c r="AJ38" s="285" t="str">
        <f>IFERROR((AG38/T38)^(1/5)-1,"--")</f>
        <v>--</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t="str">
        <f>IF($C$25="Annual",'Segment Analysis'!K175,'Segment Analysis'!K195)</f>
        <v>N/A</v>
      </c>
      <c r="L39" s="290" t="str">
        <f>IF($C$25="Annual",'Segment Analysis'!L175,'Segment Analysis'!L195)</f>
        <v>N/A</v>
      </c>
      <c r="M39" s="290" t="str">
        <f>IF($C$25="Annual",'Segment Analysis'!M175,'Segment Analysis'!M195)</f>
        <v>N/A</v>
      </c>
      <c r="N39" s="290" t="str">
        <f>IF($C$25="Annual",'Segment Analysis'!N175,'Segment Analysis'!N195)</f>
        <v>N/A</v>
      </c>
      <c r="O39" s="291" t="str">
        <f>IF($C$25="Annual",'Segment Analysis'!O175,'Segment Analysis'!O195)</f>
        <v>N/A</v>
      </c>
      <c r="P39" s="290" t="str">
        <f>IF($C$25="Annual",'Segment Analysis'!P175,'Segment Analysis'!P195)</f>
        <v>N/A</v>
      </c>
      <c r="Q39" s="290" t="str">
        <f>IF($C$25="Annual",'Segment Analysis'!Q175,'Segment Analysis'!Q195)</f>
        <v>N/A</v>
      </c>
      <c r="R39" s="290" t="str">
        <f>IF($C$25="Annual",'Segment Analysis'!R175,'Segment Analysis'!R195)</f>
        <v>N/A</v>
      </c>
      <c r="S39" s="290" t="str">
        <f>IF($C$25="Annual",'Segment Analysis'!S175,'Segment Analysis'!S195)</f>
        <v>N/A</v>
      </c>
      <c r="T39" s="291" t="str">
        <f>IF($C$25="Annual",'Segment Analysis'!T175,'Segment Analysis'!T195)</f>
        <v>N/A</v>
      </c>
      <c r="U39" s="292" t="str">
        <f>IFERROR(U38/S38-1,"--")</f>
        <v>--</v>
      </c>
      <c r="V39" s="292" t="str">
        <f t="shared" ref="V39" si="22">IFERROR(V38/U38-1,"--")</f>
        <v>--</v>
      </c>
      <c r="W39" s="292" t="str">
        <f t="shared" ref="W39" si="23">IFERROR(W38/V38-1,"--")</f>
        <v>--</v>
      </c>
      <c r="X39" s="292" t="str">
        <f t="shared" ref="X39" si="24">IFERROR(X38/W38-1,"--")</f>
        <v>--</v>
      </c>
      <c r="Y39" s="293" t="str">
        <f>IFERROR(Y38/T38-1,"--")</f>
        <v>--</v>
      </c>
      <c r="Z39" s="292" t="str">
        <f>IFERROR(Z38/X38-1,"--")</f>
        <v>--</v>
      </c>
      <c r="AA39" s="292" t="str">
        <f t="shared" ref="AA39:AC39" si="25">IFERROR(AA38/Z38-1,"--")</f>
        <v>--</v>
      </c>
      <c r="AB39" s="292" t="str">
        <f t="shared" si="25"/>
        <v>--</v>
      </c>
      <c r="AC39" s="292" t="str">
        <f t="shared" si="25"/>
        <v>--</v>
      </c>
      <c r="AD39" s="293" t="str">
        <f>IFERROR(AD38/Y38-1,"--")</f>
        <v>--</v>
      </c>
      <c r="AE39" s="293" t="str">
        <f t="shared" ref="AE39:AG39" si="26">IFERROR(AE38/AD38-1,"--")</f>
        <v>--</v>
      </c>
      <c r="AF39" s="293" t="str">
        <f t="shared" si="26"/>
        <v>--</v>
      </c>
      <c r="AG39" s="293" t="str">
        <f t="shared" si="26"/>
        <v>--</v>
      </c>
      <c r="AH39" s="287"/>
      <c r="AI39" s="294"/>
      <c r="AJ39" s="295"/>
    </row>
    <row r="40" ht="12.75" customHeight="1" hidden="1" spans="1:36" x14ac:dyDescent="0.25" outlineLevel="1" collapsed="1">
      <c r="A40" s="286"/>
      <c r="B40" s="287"/>
      <c r="C40" s="110" t="s">
        <v>236</v>
      </c>
      <c r="D40" s="287"/>
      <c r="E40" s="287"/>
      <c r="F40" s="290">
        <f>'Segment Analysis'!F18</f>
        <v>0</v>
      </c>
      <c r="G40" s="290">
        <f>'Segment Analysis'!G18</f>
        <v>0</v>
      </c>
      <c r="H40" s="290">
        <f>'Segment Analysis'!H18</f>
        <v>0</v>
      </c>
      <c r="I40" s="290">
        <f>'Segment Analysis'!I18</f>
        <v>0</v>
      </c>
      <c r="J40" s="291">
        <f>'Segment Analysis'!J18</f>
        <v>0</v>
      </c>
      <c r="K40" s="290">
        <f>'Segment Analysis'!K18</f>
        <v>0</v>
      </c>
      <c r="L40" s="290">
        <f>'Segment Analysis'!L18</f>
        <v>0</v>
      </c>
      <c r="M40" s="290">
        <f>'Segment Analysis'!M18</f>
        <v>0</v>
      </c>
      <c r="N40" s="290">
        <f>'Segment Analysis'!N18</f>
        <v>0</v>
      </c>
      <c r="O40" s="291">
        <f>'Segment Analysis'!O18</f>
        <v>0</v>
      </c>
      <c r="P40" s="290">
        <f>'Segment Analysis'!P18</f>
        <v>0</v>
      </c>
      <c r="Q40" s="290">
        <f>'Segment Analysis'!Q18</f>
        <v>0</v>
      </c>
      <c r="R40" s="290">
        <f>'Segment Analysis'!R18</f>
        <v>0</v>
      </c>
      <c r="S40" s="290">
        <f>'Segment Analysis'!S18</f>
        <v>0</v>
      </c>
      <c r="T40" s="291">
        <f>'Segment Analysis'!T18</f>
        <v>0</v>
      </c>
      <c r="U40" s="292">
        <f t="shared" ref="U40:X40" si="27">U38/U$30</f>
        <v>0</v>
      </c>
      <c r="V40" s="292">
        <f t="shared" si="27"/>
        <v>0</v>
      </c>
      <c r="W40" s="292">
        <f t="shared" si="27"/>
        <v>0</v>
      </c>
      <c r="X40" s="292">
        <f t="shared" si="27"/>
        <v>0</v>
      </c>
      <c r="Y40" s="293">
        <f t="shared" ref="Y40:AG40" si="28">Y38/Y$30</f>
        <v>0</v>
      </c>
      <c r="Z40" s="292">
        <f t="shared" si="28"/>
        <v>0</v>
      </c>
      <c r="AA40" s="292">
        <f t="shared" si="28"/>
        <v>0</v>
      </c>
      <c r="AB40" s="292">
        <f t="shared" si="28"/>
        <v>0</v>
      </c>
      <c r="AC40" s="292">
        <f t="shared" si="28"/>
        <v>0</v>
      </c>
      <c r="AD40" s="293">
        <f t="shared" si="28"/>
        <v>0</v>
      </c>
      <c r="AE40" s="293">
        <f t="shared" si="28"/>
        <v>0</v>
      </c>
      <c r="AF40" s="293">
        <f t="shared" si="28"/>
        <v>0</v>
      </c>
      <c r="AG40" s="293">
        <f t="shared" si="28"/>
        <v>0</v>
      </c>
      <c r="AH40" s="287"/>
      <c r="AI40" s="294"/>
      <c r="AJ40" s="295"/>
    </row>
    <row r="41" ht="12.75" customHeight="1" hidden="1" spans="1:36" x14ac:dyDescent="0.25" outlineLevel="1" collapsed="1">
      <c r="A41" s="8"/>
      <c r="B41" s="8"/>
      <c r="C41" s="8" t="str">
        <f>'Segment Analysis'!C11</f>
        <v> Revenue</v>
      </c>
      <c r="D41" s="8"/>
      <c r="E41" s="8"/>
      <c r="F41" s="280">
        <f>'Segment Analysis'!F11</f>
        <v>0</v>
      </c>
      <c r="G41" s="280">
        <f>'Segment Analysis'!G11</f>
        <v>0</v>
      </c>
      <c r="H41" s="280">
        <f>'Segment Analysis'!H11</f>
        <v>0</v>
      </c>
      <c r="I41" s="280">
        <f>'Segment Analysis'!I11</f>
        <v>0</v>
      </c>
      <c r="J41" s="281">
        <f>'Segment Analysis'!J11</f>
        <v>0</v>
      </c>
      <c r="K41" s="280">
        <f>'Segment Analysis'!K11</f>
        <v>0</v>
      </c>
      <c r="L41" s="280">
        <f>'Segment Analysis'!L11</f>
        <v>0</v>
      </c>
      <c r="M41" s="280">
        <f>'Segment Analysis'!M11</f>
        <v>0</v>
      </c>
      <c r="N41" s="280">
        <f>'Segment Analysis'!N11</f>
        <v>0</v>
      </c>
      <c r="O41" s="281">
        <f>'Segment Analysis'!O11</f>
        <v>0</v>
      </c>
      <c r="P41" s="280">
        <f>'Segment Analysis'!P11</f>
        <v>0</v>
      </c>
      <c r="Q41" s="280">
        <f>'Segment Analysis'!Q11</f>
        <v>0</v>
      </c>
      <c r="R41" s="280">
        <f>'Segment Analysis'!R11</f>
        <v>0</v>
      </c>
      <c r="S41" s="280">
        <f>'Segment Analysis'!S11</f>
        <v>0</v>
      </c>
      <c r="T41" s="281">
        <f>'Segment Analysis'!T11</f>
        <v>0</v>
      </c>
      <c r="U41" s="282">
        <f>IF(Segment4_Rev_Methodology="Segment",U71,IF(Segment4_Rev_Methodology="Activity-Based",U127,IF(Segment4_Rev_Methodology="Backlog",U201,"--")))</f>
        <v>0</v>
      </c>
      <c r="V41" s="282">
        <f>IF(Segment4_Rev_Methodology="Segment",V71,IF(Segment4_Rev_Methodology="Activity-Based",V127,IF(Segment4_Rev_Methodology="Backlog",V201,"--")))</f>
        <v>0</v>
      </c>
      <c r="W41" s="282">
        <f>IF(Segment4_Rev_Methodology="Segment",W71,IF(Segment4_Rev_Methodology="Activity-Based",W127,IF(Segment4_Rev_Methodology="Backlog",W201,"--")))</f>
        <v>0</v>
      </c>
      <c r="X41" s="282">
        <f>IF(Segment4_Rev_Methodology="Segment",X71,IF(Segment4_Rev_Methodology="Activity-Based",X127,IF(Segment4_Rev_Methodology="Backlog",X201,"--")))</f>
        <v>0</v>
      </c>
      <c r="Y41" s="283">
        <f>SUM(U41:X41)</f>
        <v>0</v>
      </c>
      <c r="Z41" s="282">
        <f>IF(Segment4_Rev_Methodology="Segment",Z71,IF(Segment4_Rev_Methodology="Activity-Based",Z127,IF(Segment4_Rev_Methodology="Backlog",Z201,"--")))</f>
        <v>0</v>
      </c>
      <c r="AA41" s="282">
        <f>IF(Segment4_Rev_Methodology="Segment",AA71,IF(Segment4_Rev_Methodology="Activity-Based",AA127,IF(Segment4_Rev_Methodology="Backlog",AA201,"--")))</f>
        <v>0</v>
      </c>
      <c r="AB41" s="282">
        <f>IF(Segment4_Rev_Methodology="Segment",AB71,IF(Segment4_Rev_Methodology="Activity-Based",AB127,IF(Segment4_Rev_Methodology="Backlog",AB201,"--")))</f>
        <v>0</v>
      </c>
      <c r="AC41" s="282">
        <f>IF(Segment4_Rev_Methodology="Segment",AC71,IF(Segment4_Rev_Methodology="Activity-Based",AC127,IF(Segment4_Rev_Methodology="Backlog",AC201,"--")))</f>
        <v>0</v>
      </c>
      <c r="AD41" s="283">
        <f>SUM(Z41:AC41)</f>
        <v>0</v>
      </c>
      <c r="AE41" s="283">
        <f>IF(Segment4_Rev_Methodology="Segment",AE71,IF(Segment4_Rev_Methodology="Activity-Based",AE127,IF(Segment4_Rev_Methodology="Backlog",AE201,"--")))</f>
        <v>0</v>
      </c>
      <c r="AF41" s="283">
        <f>IF(Segment4_Rev_Methodology="Segment",AF71,IF(Segment4_Rev_Methodology="Activity-Based",AF127,IF(Segment4_Rev_Methodology="Backlog",AF201,"--")))</f>
        <v>0</v>
      </c>
      <c r="AG41" s="283">
        <f>IF(Segment4_Rev_Methodology="Segment",AG71,IF(Segment4_Rev_Methodology="Activity-Based",AG127,IF(Segment4_Rev_Methodology="Backlog",AG201,"--")))</f>
        <v>0</v>
      </c>
      <c r="AH41" s="8"/>
      <c r="AI41" s="284" t="str">
        <f>IFERROR((T41/J41)^(1/3)-1,"--")</f>
        <v>--</v>
      </c>
      <c r="AJ41" s="285" t="str">
        <f>IFERROR((AG41/T41)^(1/5)-1,"--")</f>
        <v>--</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t="str">
        <f>IF($C$25="Annual",'Segment Analysis'!K176,'Segment Analysis'!K196)</f>
        <v>N/A</v>
      </c>
      <c r="L42" s="290" t="str">
        <f>IF($C$25="Annual",'Segment Analysis'!L176,'Segment Analysis'!L196)</f>
        <v>N/A</v>
      </c>
      <c r="M42" s="290" t="str">
        <f>IF($C$25="Annual",'Segment Analysis'!M176,'Segment Analysis'!M196)</f>
        <v>N/A</v>
      </c>
      <c r="N42" s="290" t="str">
        <f>IF($C$25="Annual",'Segment Analysis'!N176,'Segment Analysis'!N196)</f>
        <v>N/A</v>
      </c>
      <c r="O42" s="291" t="str">
        <f>IF($C$25="Annual",'Segment Analysis'!O176,'Segment Analysis'!O196)</f>
        <v>N/A</v>
      </c>
      <c r="P42" s="290" t="str">
        <f>IF($C$25="Annual",'Segment Analysis'!P176,'Segment Analysis'!P196)</f>
        <v>N/A</v>
      </c>
      <c r="Q42" s="290" t="str">
        <f>IF($C$25="Annual",'Segment Analysis'!Q176,'Segment Analysis'!Q196)</f>
        <v>N/A</v>
      </c>
      <c r="R42" s="290" t="str">
        <f>IF($C$25="Annual",'Segment Analysis'!R176,'Segment Analysis'!R196)</f>
        <v>N/A</v>
      </c>
      <c r="S42" s="290" t="str">
        <f>IF($C$25="Annual",'Segment Analysis'!S176,'Segment Analysis'!S196)</f>
        <v>N/A</v>
      </c>
      <c r="T42" s="291" t="str">
        <f>IF($C$25="Annual",'Segment Analysis'!T176,'Segment Analysis'!T196)</f>
        <v>N/A</v>
      </c>
      <c r="U42" s="292" t="str">
        <f>IFERROR(U41/S41-1,"--")</f>
        <v>--</v>
      </c>
      <c r="V42" s="292" t="str">
        <f t="shared" ref="V42" si="29">IFERROR(V41/U41-1,"--")</f>
        <v>--</v>
      </c>
      <c r="W42" s="292" t="str">
        <f t="shared" ref="W42" si="30">IFERROR(W41/V41-1,"--")</f>
        <v>--</v>
      </c>
      <c r="X42" s="292" t="str">
        <f t="shared" ref="X42" si="31">IFERROR(X41/W41-1,"--")</f>
        <v>--</v>
      </c>
      <c r="Y42" s="293" t="str">
        <f>IFERROR(Y41/T41-1,"--")</f>
        <v>--</v>
      </c>
      <c r="Z42" s="292" t="str">
        <f>IFERROR(Z41/X41-1,"--")</f>
        <v>--</v>
      </c>
      <c r="AA42" s="292" t="str">
        <f t="shared" ref="AA42:AC42" si="32">IFERROR(AA41/Z41-1,"--")</f>
        <v>--</v>
      </c>
      <c r="AB42" s="292" t="str">
        <f t="shared" si="32"/>
        <v>--</v>
      </c>
      <c r="AC42" s="292" t="str">
        <f t="shared" si="32"/>
        <v>--</v>
      </c>
      <c r="AD42" s="293" t="str">
        <f>IFERROR(AD41/Y41-1,"--")</f>
        <v>--</v>
      </c>
      <c r="AE42" s="293" t="str">
        <f t="shared" ref="AE42:AG42" si="33">IFERROR(AE41/AD41-1,"--")</f>
        <v>--</v>
      </c>
      <c r="AF42" s="293" t="str">
        <f t="shared" si="33"/>
        <v>--</v>
      </c>
      <c r="AG42" s="293" t="str">
        <f t="shared" si="33"/>
        <v>--</v>
      </c>
      <c r="AH42" s="287"/>
      <c r="AI42" s="294"/>
      <c r="AJ42" s="295"/>
    </row>
    <row r="43" ht="12.75" customHeight="1" hidden="1" spans="1:36" x14ac:dyDescent="0.25" outlineLevel="1" collapsed="1">
      <c r="A43" s="286"/>
      <c r="B43" s="287"/>
      <c r="C43" s="110" t="s">
        <v>236</v>
      </c>
      <c r="D43" s="287"/>
      <c r="E43" s="287"/>
      <c r="F43" s="290">
        <f>'Segment Analysis'!F19</f>
        <v>0</v>
      </c>
      <c r="G43" s="290">
        <f>'Segment Analysis'!G19</f>
        <v>0</v>
      </c>
      <c r="H43" s="290">
        <f>'Segment Analysis'!H19</f>
        <v>0</v>
      </c>
      <c r="I43" s="290">
        <f>'Segment Analysis'!I19</f>
        <v>0</v>
      </c>
      <c r="J43" s="291">
        <f>'Segment Analysis'!J19</f>
        <v>0</v>
      </c>
      <c r="K43" s="290">
        <f>'Segment Analysis'!K19</f>
        <v>0</v>
      </c>
      <c r="L43" s="290">
        <f>'Segment Analysis'!L19</f>
        <v>0</v>
      </c>
      <c r="M43" s="290">
        <f>'Segment Analysis'!M19</f>
        <v>0</v>
      </c>
      <c r="N43" s="290">
        <f>'Segment Analysis'!N19</f>
        <v>0</v>
      </c>
      <c r="O43" s="291">
        <f>'Segment Analysis'!O19</f>
        <v>0</v>
      </c>
      <c r="P43" s="290">
        <f>'Segment Analysis'!P19</f>
        <v>0</v>
      </c>
      <c r="Q43" s="290">
        <f>'Segment Analysis'!Q19</f>
        <v>0</v>
      </c>
      <c r="R43" s="290">
        <f>'Segment Analysis'!R19</f>
        <v>0</v>
      </c>
      <c r="S43" s="290">
        <f>'Segment Analysis'!S19</f>
        <v>0</v>
      </c>
      <c r="T43" s="291">
        <f>'Segment Analysis'!T19</f>
        <v>0</v>
      </c>
      <c r="U43" s="292">
        <f t="shared" ref="U43:X43" si="34">U41/U$30</f>
        <v>0</v>
      </c>
      <c r="V43" s="292">
        <f t="shared" si="34"/>
        <v>0</v>
      </c>
      <c r="W43" s="292">
        <f t="shared" si="34"/>
        <v>0</v>
      </c>
      <c r="X43" s="292">
        <f t="shared" si="34"/>
        <v>0</v>
      </c>
      <c r="Y43" s="293">
        <f t="shared" ref="Y43:AG43" si="35">Y41/Y$30</f>
        <v>0</v>
      </c>
      <c r="Z43" s="292">
        <f t="shared" si="35"/>
        <v>0</v>
      </c>
      <c r="AA43" s="292">
        <f t="shared" si="35"/>
        <v>0</v>
      </c>
      <c r="AB43" s="292">
        <f t="shared" si="35"/>
        <v>0</v>
      </c>
      <c r="AC43" s="292">
        <f t="shared" si="35"/>
        <v>0</v>
      </c>
      <c r="AD43" s="293">
        <f t="shared" si="35"/>
        <v>0</v>
      </c>
      <c r="AE43" s="293">
        <f t="shared" si="35"/>
        <v>0</v>
      </c>
      <c r="AF43" s="293">
        <f t="shared" si="35"/>
        <v>0</v>
      </c>
      <c r="AG43" s="293">
        <f t="shared" si="35"/>
        <v>0</v>
      </c>
      <c r="AH43" s="287"/>
      <c r="AI43" s="294"/>
      <c r="AJ43" s="295"/>
    </row>
    <row r="44" ht="12.75" customHeight="1" hidden="1" spans="1:36" x14ac:dyDescent="0.25" outlineLevel="1" collapsed="1">
      <c r="A44" s="8"/>
      <c r="B44" s="8"/>
      <c r="C44" s="8" t="str">
        <f>'Segment Analysis'!C12</f>
        <v> Revenue</v>
      </c>
      <c r="D44" s="8"/>
      <c r="E44" s="8"/>
      <c r="F44" s="280">
        <f>'Segment Analysis'!F12</f>
        <v>0</v>
      </c>
      <c r="G44" s="280">
        <f>'Segment Analysis'!G12</f>
        <v>0</v>
      </c>
      <c r="H44" s="280">
        <f>'Segment Analysis'!H12</f>
        <v>0</v>
      </c>
      <c r="I44" s="280">
        <f>'Segment Analysis'!I12</f>
        <v>0</v>
      </c>
      <c r="J44" s="281">
        <f>'Segment Analysis'!J12</f>
        <v>0</v>
      </c>
      <c r="K44" s="280">
        <f>'Segment Analysis'!K12</f>
        <v>0</v>
      </c>
      <c r="L44" s="280">
        <f>'Segment Analysis'!L12</f>
        <v>0</v>
      </c>
      <c r="M44" s="280">
        <f>'Segment Analysis'!M12</f>
        <v>0</v>
      </c>
      <c r="N44" s="280">
        <f>'Segment Analysis'!N12</f>
        <v>0</v>
      </c>
      <c r="O44" s="281">
        <f>'Segment Analysis'!O12</f>
        <v>0</v>
      </c>
      <c r="P44" s="280">
        <f>'Segment Analysis'!P12</f>
        <v>0</v>
      </c>
      <c r="Q44" s="280">
        <f>'Segment Analysis'!Q12</f>
        <v>0</v>
      </c>
      <c r="R44" s="280">
        <f>'Segment Analysis'!R12</f>
        <v>0</v>
      </c>
      <c r="S44" s="280">
        <f>'Segment Analysis'!S12</f>
        <v>0</v>
      </c>
      <c r="T44" s="281">
        <f>'Segment Analysis'!T12</f>
        <v>0</v>
      </c>
      <c r="U44" s="282">
        <f>IF(Segment5_Rev_Methodology="Segment",U77,IF(Segment5_Rev_Methodology="Activity-Based",U139,IF(Segment5_Rev_Methodology="Backlog",U213,"--")))</f>
        <v>0</v>
      </c>
      <c r="V44" s="282">
        <f>IF(Segment5_Rev_Methodology="Segment",V77,IF(Segment5_Rev_Methodology="Activity-Based",V139,IF(Segment5_Rev_Methodology="Backlog",V213,"--")))</f>
        <v>0</v>
      </c>
      <c r="W44" s="282">
        <f>IF(Segment5_Rev_Methodology="Segment",W77,IF(Segment5_Rev_Methodology="Activity-Based",W139,IF(Segment5_Rev_Methodology="Backlog",W213,"--")))</f>
        <v>0</v>
      </c>
      <c r="X44" s="282">
        <f>IF(Segment5_Rev_Methodology="Segment",X77,IF(Segment5_Rev_Methodology="Activity-Based",X139,IF(Segment5_Rev_Methodology="Backlog",X213,"--")))</f>
        <v>0</v>
      </c>
      <c r="Y44" s="283">
        <f>SUM(U44:X44)</f>
        <v>0</v>
      </c>
      <c r="Z44" s="282">
        <f>IF(Segment5_Rev_Methodology="Segment",Z77,IF(Segment5_Rev_Methodology="Activity-Based",Z139,IF(Segment5_Rev_Methodology="Backlog",Z213,"--")))</f>
        <v>0</v>
      </c>
      <c r="AA44" s="282">
        <f>IF(Segment5_Rev_Methodology="Segment",AA77,IF(Segment5_Rev_Methodology="Activity-Based",AA139,IF(Segment5_Rev_Methodology="Backlog",AA213,"--")))</f>
        <v>0</v>
      </c>
      <c r="AB44" s="282">
        <f>IF(Segment5_Rev_Methodology="Segment",AB77,IF(Segment5_Rev_Methodology="Activity-Based",AB139,IF(Segment5_Rev_Methodology="Backlog",AB213,"--")))</f>
        <v>0</v>
      </c>
      <c r="AC44" s="282">
        <f>IF(Segment5_Rev_Methodology="Segment",AC77,IF(Segment5_Rev_Methodology="Activity-Based",AC139,IF(Segment5_Rev_Methodology="Backlog",AC213,"--")))</f>
        <v>0</v>
      </c>
      <c r="AD44" s="283">
        <f>SUM(Z44:AC44)</f>
        <v>0</v>
      </c>
      <c r="AE44" s="283">
        <f>IF(Segment5_Rev_Methodology="Segment",AE77,IF(Segment5_Rev_Methodology="Activity-Based",AE139,IF(Segment5_Rev_Methodology="Backlog",AE213,"--")))</f>
        <v>0</v>
      </c>
      <c r="AF44" s="283">
        <f>IF(Segment5_Rev_Methodology="Segment",AF77,IF(Segment5_Rev_Methodology="Activity-Based",AF139,IF(Segment5_Rev_Methodology="Backlog",AF213,"--")))</f>
        <v>0</v>
      </c>
      <c r="AG44" s="283">
        <f>IF(Segment5_Rev_Methodology="Segment",AG77,IF(Segment5_Rev_Methodology="Activity-Based",AG139,IF(Segment5_Rev_Methodology="Backlog",AG213,"--")))</f>
        <v>0</v>
      </c>
      <c r="AH44" s="8"/>
      <c r="AI44" s="284" t="str">
        <f>IFERROR((T44/J44)^(1/3)-1,"--")</f>
        <v>--</v>
      </c>
      <c r="AJ44" s="285" t="str">
        <f>IFERROR((AG44/T44)^(1/5)-1,"--")</f>
        <v>--</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t="str">
        <f>IF($C$25="Annual",'Segment Analysis'!K177,'Segment Analysis'!K197)</f>
        <v>N/A</v>
      </c>
      <c r="L45" s="290" t="str">
        <f>IF($C$25="Annual",'Segment Analysis'!L177,'Segment Analysis'!L197)</f>
        <v>N/A</v>
      </c>
      <c r="M45" s="290" t="str">
        <f>IF($C$25="Annual",'Segment Analysis'!M177,'Segment Analysis'!M197)</f>
        <v>N/A</v>
      </c>
      <c r="N45" s="290" t="str">
        <f>IF($C$25="Annual",'Segment Analysis'!N177,'Segment Analysis'!N197)</f>
        <v>N/A</v>
      </c>
      <c r="O45" s="291" t="str">
        <f>IF($C$25="Annual",'Segment Analysis'!O177,'Segment Analysis'!O197)</f>
        <v>N/A</v>
      </c>
      <c r="P45" s="290" t="str">
        <f>IF($C$25="Annual",'Segment Analysis'!P177,'Segment Analysis'!P197)</f>
        <v>N/A</v>
      </c>
      <c r="Q45" s="290" t="str">
        <f>IF($C$25="Annual",'Segment Analysis'!Q177,'Segment Analysis'!Q197)</f>
        <v>N/A</v>
      </c>
      <c r="R45" s="290" t="str">
        <f>IF($C$25="Annual",'Segment Analysis'!R177,'Segment Analysis'!R197)</f>
        <v>N/A</v>
      </c>
      <c r="S45" s="290" t="str">
        <f>IF($C$25="Annual",'Segment Analysis'!S177,'Segment Analysis'!S197)</f>
        <v>N/A</v>
      </c>
      <c r="T45" s="291" t="str">
        <f>IF($C$25="Annual",'Segment Analysis'!T177,'Segment Analysis'!T197)</f>
        <v>N/A</v>
      </c>
      <c r="U45" s="292" t="str">
        <f>IFERROR(U44/S44-1,"--")</f>
        <v>--</v>
      </c>
      <c r="V45" s="292" t="str">
        <f t="shared" ref="V45" si="36">IFERROR(V44/U44-1,"--")</f>
        <v>--</v>
      </c>
      <c r="W45" s="292" t="str">
        <f t="shared" ref="W45" si="37">IFERROR(W44/V44-1,"--")</f>
        <v>--</v>
      </c>
      <c r="X45" s="292" t="str">
        <f t="shared" ref="X45" si="38">IFERROR(X44/W44-1,"--")</f>
        <v>--</v>
      </c>
      <c r="Y45" s="293" t="str">
        <f>IFERROR(Y44/T44-1,"--")</f>
        <v>--</v>
      </c>
      <c r="Z45" s="292" t="str">
        <f>IFERROR(Z44/X44-1,"--")</f>
        <v>--</v>
      </c>
      <c r="AA45" s="292" t="str">
        <f t="shared" ref="AA45:AC45" si="39">IFERROR(AA44/Z44-1,"--")</f>
        <v>--</v>
      </c>
      <c r="AB45" s="292" t="str">
        <f t="shared" si="39"/>
        <v>--</v>
      </c>
      <c r="AC45" s="292" t="str">
        <f t="shared" si="39"/>
        <v>--</v>
      </c>
      <c r="AD45" s="293" t="str">
        <f>IFERROR(AD44/Y44-1,"--")</f>
        <v>--</v>
      </c>
      <c r="AE45" s="293" t="str">
        <f t="shared" ref="AE45:AG45" si="40">IFERROR(AE44/AD44-1,"--")</f>
        <v>--</v>
      </c>
      <c r="AF45" s="293" t="str">
        <f t="shared" si="40"/>
        <v>--</v>
      </c>
      <c r="AG45" s="293" t="str">
        <f t="shared" si="40"/>
        <v>--</v>
      </c>
      <c r="AH45" s="287"/>
      <c r="AI45" s="294"/>
      <c r="AJ45" s="295"/>
    </row>
    <row r="46" ht="12.75" customHeight="1" hidden="1" spans="1:36" x14ac:dyDescent="0.25" outlineLevel="1" collapsed="1">
      <c r="A46" s="286"/>
      <c r="B46" s="287"/>
      <c r="C46" s="110" t="s">
        <v>236</v>
      </c>
      <c r="D46" s="287"/>
      <c r="E46" s="287"/>
      <c r="F46" s="290">
        <f>'Segment Analysis'!F20</f>
        <v>0</v>
      </c>
      <c r="G46" s="290">
        <f>'Segment Analysis'!G20</f>
        <v>0</v>
      </c>
      <c r="H46" s="290">
        <f>'Segment Analysis'!H20</f>
        <v>0</v>
      </c>
      <c r="I46" s="290">
        <f>'Segment Analysis'!I20</f>
        <v>0</v>
      </c>
      <c r="J46" s="291">
        <f>'Segment Analysis'!J20</f>
        <v>0</v>
      </c>
      <c r="K46" s="290">
        <f>'Segment Analysis'!K20</f>
        <v>0</v>
      </c>
      <c r="L46" s="290">
        <f>'Segment Analysis'!L20</f>
        <v>0</v>
      </c>
      <c r="M46" s="290">
        <f>'Segment Analysis'!M20</f>
        <v>0</v>
      </c>
      <c r="N46" s="290">
        <f>'Segment Analysis'!N20</f>
        <v>0</v>
      </c>
      <c r="O46" s="291">
        <f>'Segment Analysis'!O20</f>
        <v>0</v>
      </c>
      <c r="P46" s="290">
        <f>'Segment Analysis'!P20</f>
        <v>0</v>
      </c>
      <c r="Q46" s="290">
        <f>'Segment Analysis'!Q20</f>
        <v>0</v>
      </c>
      <c r="R46" s="290">
        <f>'Segment Analysis'!R20</f>
        <v>0</v>
      </c>
      <c r="S46" s="290">
        <f>'Segment Analysis'!S20</f>
        <v>0</v>
      </c>
      <c r="T46" s="291">
        <f>'Segment Analysis'!T20</f>
        <v>0</v>
      </c>
      <c r="U46" s="292">
        <f t="shared" ref="U46:X46" si="41">U44/U$30</f>
        <v>0</v>
      </c>
      <c r="V46" s="292">
        <f t="shared" si="41"/>
        <v>0</v>
      </c>
      <c r="W46" s="292">
        <f t="shared" si="41"/>
        <v>0</v>
      </c>
      <c r="X46" s="292">
        <f t="shared" si="41"/>
        <v>0</v>
      </c>
      <c r="Y46" s="293">
        <f t="shared" ref="Y46:AG46" si="42">Y44/Y$30</f>
        <v>0</v>
      </c>
      <c r="Z46" s="292">
        <f t="shared" si="42"/>
        <v>0</v>
      </c>
      <c r="AA46" s="292">
        <f t="shared" si="42"/>
        <v>0</v>
      </c>
      <c r="AB46" s="292">
        <f t="shared" si="42"/>
        <v>0</v>
      </c>
      <c r="AC46" s="292">
        <f t="shared" si="42"/>
        <v>0</v>
      </c>
      <c r="AD46" s="293">
        <f t="shared" si="42"/>
        <v>0</v>
      </c>
      <c r="AE46" s="293">
        <f t="shared" si="42"/>
        <v>0</v>
      </c>
      <c r="AF46" s="293">
        <f t="shared" si="42"/>
        <v>0</v>
      </c>
      <c r="AG46" s="293">
        <f t="shared" si="42"/>
        <v>0</v>
      </c>
      <c r="AH46" s="287"/>
      <c r="AI46" s="294"/>
      <c r="AJ46" s="295"/>
    </row>
    <row r="47" ht="12.75" customHeight="1" hidden="1" spans="1:36" x14ac:dyDescent="0.25" outlineLevel="1" collapsed="1">
      <c r="A47" s="8"/>
      <c r="B47" s="8"/>
      <c r="C47" s="8" t="str">
        <f>'Segment Analysis'!C13</f>
        <v> Revenue</v>
      </c>
      <c r="D47" s="8"/>
      <c r="E47" s="8"/>
      <c r="F47" s="280">
        <f>'Segment Analysis'!F13</f>
        <v>0</v>
      </c>
      <c r="G47" s="280">
        <f>'Segment Analysis'!G13</f>
        <v>0</v>
      </c>
      <c r="H47" s="280">
        <f>'Segment Analysis'!H13</f>
        <v>0</v>
      </c>
      <c r="I47" s="280">
        <f>'Segment Analysis'!I13</f>
        <v>0</v>
      </c>
      <c r="J47" s="281">
        <f>'Segment Analysis'!J13</f>
        <v>0</v>
      </c>
      <c r="K47" s="280">
        <f>'Segment Analysis'!K13</f>
        <v>0</v>
      </c>
      <c r="L47" s="280">
        <f>'Segment Analysis'!L13</f>
        <v>0</v>
      </c>
      <c r="M47" s="280">
        <f>'Segment Analysis'!M13</f>
        <v>0</v>
      </c>
      <c r="N47" s="280">
        <f>'Segment Analysis'!N13</f>
        <v>0</v>
      </c>
      <c r="O47" s="281">
        <f>'Segment Analysis'!O13</f>
        <v>0</v>
      </c>
      <c r="P47" s="280">
        <f>'Segment Analysis'!P13</f>
        <v>0</v>
      </c>
      <c r="Q47" s="280">
        <f>'Segment Analysis'!Q13</f>
        <v>0</v>
      </c>
      <c r="R47" s="280">
        <f>'Segment Analysis'!R13</f>
        <v>0</v>
      </c>
      <c r="S47" s="280">
        <f>'Segment Analysis'!S13</f>
        <v>0</v>
      </c>
      <c r="T47" s="281">
        <f>'Segment Analysis'!T13</f>
        <v>0</v>
      </c>
      <c r="U47" s="282">
        <f>IF(Segment6_Rev_Methodology="Segment",U83,IF(Segment6_Rev_Methodology="Activity-Based",U151,IF(Segment6_Rev_Methodology="Backlog",U225,"--")))</f>
        <v>0</v>
      </c>
      <c r="V47" s="282">
        <f>IF(Segment6_Rev_Methodology="Segment",V83,IF(Segment6_Rev_Methodology="Activity-Based",V151,IF(Segment6_Rev_Methodology="Backlog",V225,"--")))</f>
        <v>0</v>
      </c>
      <c r="W47" s="282">
        <f>IF(Segment6_Rev_Methodology="Segment",W83,IF(Segment6_Rev_Methodology="Activity-Based",W151,IF(Segment6_Rev_Methodology="Backlog",W225,"--")))</f>
        <v>0</v>
      </c>
      <c r="X47" s="282">
        <f>IF(Segment6_Rev_Methodology="Segment",X83,IF(Segment6_Rev_Methodology="Activity-Based",X151,IF(Segment6_Rev_Methodology="Backlog",X225,"--")))</f>
        <v>0</v>
      </c>
      <c r="Y47" s="283">
        <f>SUM(U47:X47)</f>
        <v>0</v>
      </c>
      <c r="Z47" s="282">
        <f>IF(Segment6_Rev_Methodology="Segment",Z83,IF(Segment6_Rev_Methodology="Activity-Based",Z151,IF(Segment6_Rev_Methodology="Backlog",Z225,"--")))</f>
        <v>0</v>
      </c>
      <c r="AA47" s="282">
        <f>IF(Segment6_Rev_Methodology="Segment",AA83,IF(Segment6_Rev_Methodology="Activity-Based",AA151,IF(Segment6_Rev_Methodology="Backlog",AA225,"--")))</f>
        <v>0</v>
      </c>
      <c r="AB47" s="282">
        <f>IF(Segment6_Rev_Methodology="Segment",AB83,IF(Segment6_Rev_Methodology="Activity-Based",AB151,IF(Segment6_Rev_Methodology="Backlog",AB225,"--")))</f>
        <v>0</v>
      </c>
      <c r="AC47" s="282">
        <f>IF(Segment6_Rev_Methodology="Segment",AC83,IF(Segment6_Rev_Methodology="Activity-Based",AC151,IF(Segment6_Rev_Methodology="Backlog",AC225,"--")))</f>
        <v>0</v>
      </c>
      <c r="AD47" s="283">
        <f>SUM(Z47:AC47)</f>
        <v>0</v>
      </c>
      <c r="AE47" s="283">
        <f>IF(Segment6_Rev_Methodology="Segment",AE83,IF(Segment6_Rev_Methodology="Activity-Based",AE151,IF(Segment6_Rev_Methodology="Backlog",AE225,"--")))</f>
        <v>0</v>
      </c>
      <c r="AF47" s="283">
        <f>IF(Segment6_Rev_Methodology="Segment",AF83,IF(Segment6_Rev_Methodology="Activity-Based",AF151,IF(Segment6_Rev_Methodology="Backlog",AF225,"--")))</f>
        <v>0</v>
      </c>
      <c r="AG47" s="283">
        <f>IF(Segment6_Rev_Methodology="Segment",AG83,IF(Segment6_Rev_Methodology="Activity-Based",AG151,IF(Segment6_Rev_Methodology="Backlog",AG225,"--")))</f>
        <v>0</v>
      </c>
      <c r="AH47" s="8"/>
      <c r="AI47" s="284" t="str">
        <f>IFERROR((T47/J47)^(1/3)-1,"--")</f>
        <v>--</v>
      </c>
      <c r="AJ47" s="285" t="str">
        <f>IFERROR((AG47/T47)^(1/5)-1,"--")</f>
        <v>--</v>
      </c>
    </row>
    <row r="48" ht="12.75" customHeight="1" hidden="1" spans="1:36" x14ac:dyDescent="0.25" outlineLevel="1" collapsed="1">
      <c r="A48" s="298"/>
      <c r="B48" s="299"/>
      <c r="C48" s="110" t="s">
        <v>237</v>
      </c>
      <c r="D48" s="299"/>
      <c r="E48" s="299"/>
      <c r="F48" s="300"/>
      <c r="G48" s="290" t="str">
        <f>IF($C$25="Annual",'Segment Analysis'!G198,'Segment Analysis'!G198)</f>
        <v>N/A</v>
      </c>
      <c r="H48" s="290" t="str">
        <f>IF($C$25="Annual",'Segment Analysis'!H198,'Segment Analysis'!H198)</f>
        <v>N/A</v>
      </c>
      <c r="I48" s="290" t="str">
        <f>IF($C$25="Annual",'Segment Analysis'!I198,'Segment Analysis'!I198)</f>
        <v>N/A</v>
      </c>
      <c r="J48" s="291"/>
      <c r="K48" s="290" t="str">
        <f>IF($C$25="Annual",'Segment Analysis'!K198,'Segment Analysis'!K198)</f>
        <v>N/A</v>
      </c>
      <c r="L48" s="290" t="str">
        <f>IF($C$25="Annual",'Segment Analysis'!L198,'Segment Analysis'!L198)</f>
        <v>N/A</v>
      </c>
      <c r="M48" s="290" t="str">
        <f>IF($C$25="Annual",'Segment Analysis'!M198,'Segment Analysis'!M198)</f>
        <v>N/A</v>
      </c>
      <c r="N48" s="290" t="str">
        <f>IF($C$25="Annual",'Segment Analysis'!N198,'Segment Analysis'!N198)</f>
        <v>N/A</v>
      </c>
      <c r="O48" s="291">
        <f>IF($C$25="Annual",'Segment Analysis'!O198,'Segment Analysis'!O198)</f>
        <v>0</v>
      </c>
      <c r="P48" s="290" t="str">
        <f>IF($C$25="Annual",'Segment Analysis'!P198,'Segment Analysis'!P198)</f>
        <v>N/A</v>
      </c>
      <c r="Q48" s="290" t="str">
        <f>IF($C$25="Annual",'Segment Analysis'!Q198,'Segment Analysis'!Q198)</f>
        <v>N/A</v>
      </c>
      <c r="R48" s="290" t="str">
        <f>IF($C$25="Annual",'Segment Analysis'!R198,'Segment Analysis'!R198)</f>
        <v>N/A</v>
      </c>
      <c r="S48" s="290" t="str">
        <f>IF($C$25="Annual",'Segment Analysis'!S198,'Segment Analysis'!S198)</f>
        <v>N/A</v>
      </c>
      <c r="T48" s="291">
        <f>IF($C$25="Annual",'Segment Analysis'!T198,'Segment Analysis'!T198)</f>
        <v>0</v>
      </c>
      <c r="U48" s="292" t="str">
        <f>IFERROR(U47/S47-1,"--")</f>
        <v>--</v>
      </c>
      <c r="V48" s="292" t="str">
        <f t="shared" ref="V48" si="43">IFERROR(V47/U47-1,"--")</f>
        <v>--</v>
      </c>
      <c r="W48" s="292" t="str">
        <f t="shared" ref="W48" si="44">IFERROR(W47/V47-1,"--")</f>
        <v>--</v>
      </c>
      <c r="X48" s="292" t="str">
        <f t="shared" ref="X48" si="45">IFERROR(X47/W47-1,"--")</f>
        <v>--</v>
      </c>
      <c r="Y48" s="293" t="str">
        <f>IFERROR(Y47/T47-1,"--")</f>
        <v>--</v>
      </c>
      <c r="Z48" s="292" t="str">
        <f>IFERROR(Z47/X47-1,"--")</f>
        <v>--</v>
      </c>
      <c r="AA48" s="292" t="str">
        <f t="shared" ref="AA48:AC48" si="46">IFERROR(AA47/Z47-1,"--")</f>
        <v>--</v>
      </c>
      <c r="AB48" s="292" t="str">
        <f t="shared" si="46"/>
        <v>--</v>
      </c>
      <c r="AC48" s="292" t="str">
        <f t="shared" si="46"/>
        <v>--</v>
      </c>
      <c r="AD48" s="293" t="str">
        <f>IFERROR(AD47/Y47-1,"--")</f>
        <v>--</v>
      </c>
      <c r="AE48" s="293" t="str">
        <f t="shared" ref="AE48:AG48" si="47">IFERROR(AE47/AD47-1,"--")</f>
        <v>--</v>
      </c>
      <c r="AF48" s="293" t="str">
        <f t="shared" si="47"/>
        <v>--</v>
      </c>
      <c r="AG48" s="293" t="str">
        <f t="shared" si="47"/>
        <v>--</v>
      </c>
      <c r="AH48" s="299"/>
      <c r="AI48" s="301"/>
      <c r="AJ48" s="302"/>
    </row>
    <row r="49" ht="12.75" customHeight="1" hidden="1" spans="1:36" x14ac:dyDescent="0.25" outlineLevel="1" collapsed="1">
      <c r="A49" s="298"/>
      <c r="B49" s="299"/>
      <c r="C49" s="110" t="s">
        <v>236</v>
      </c>
      <c r="D49" s="299"/>
      <c r="E49" s="299"/>
      <c r="F49" s="303">
        <f>'Segment Analysis'!F21</f>
        <v>0</v>
      </c>
      <c r="G49" s="303">
        <f>'Segment Analysis'!G21</f>
        <v>0</v>
      </c>
      <c r="H49" s="303">
        <f>'Segment Analysis'!H21</f>
        <v>0</v>
      </c>
      <c r="I49" s="303">
        <f>'Segment Analysis'!I21</f>
        <v>0</v>
      </c>
      <c r="J49" s="291">
        <f>'Segment Analysis'!J21</f>
        <v>0</v>
      </c>
      <c r="K49" s="290">
        <f>'Segment Analysis'!K21</f>
        <v>0</v>
      </c>
      <c r="L49" s="290">
        <f>'Segment Analysis'!L21</f>
        <v>0</v>
      </c>
      <c r="M49" s="290">
        <f>'Segment Analysis'!M21</f>
        <v>0</v>
      </c>
      <c r="N49" s="290">
        <f>'Segment Analysis'!N21</f>
        <v>0</v>
      </c>
      <c r="O49" s="291">
        <f>'Segment Analysis'!O21</f>
        <v>0</v>
      </c>
      <c r="P49" s="290">
        <f>'Segment Analysis'!P21</f>
        <v>0</v>
      </c>
      <c r="Q49" s="290">
        <f>'Segment Analysis'!Q21</f>
        <v>0</v>
      </c>
      <c r="R49" s="290">
        <f>'Segment Analysis'!R21</f>
        <v>0</v>
      </c>
      <c r="S49" s="290">
        <f>'Segment Analysis'!S21</f>
        <v>0</v>
      </c>
      <c r="T49" s="291">
        <f>'Segment Analysis'!T21</f>
        <v>0</v>
      </c>
      <c r="U49" s="292">
        <f t="shared" ref="U49:X49" si="48">U47/U$30</f>
        <v>0</v>
      </c>
      <c r="V49" s="292">
        <f t="shared" si="48"/>
        <v>0</v>
      </c>
      <c r="W49" s="292">
        <f t="shared" si="48"/>
        <v>0</v>
      </c>
      <c r="X49" s="292">
        <f t="shared" si="48"/>
        <v>0</v>
      </c>
      <c r="Y49" s="293">
        <f t="shared" ref="Y49:AG49" si="49">Y47/Y$30</f>
        <v>0</v>
      </c>
      <c r="Z49" s="292">
        <f t="shared" si="49"/>
        <v>0</v>
      </c>
      <c r="AA49" s="292">
        <f t="shared" si="49"/>
        <v>0</v>
      </c>
      <c r="AB49" s="292">
        <f t="shared" si="49"/>
        <v>0</v>
      </c>
      <c r="AC49" s="292">
        <f t="shared" si="49"/>
        <v>0</v>
      </c>
      <c r="AD49" s="293">
        <f t="shared" si="49"/>
        <v>0</v>
      </c>
      <c r="AE49" s="293">
        <f t="shared" si="49"/>
        <v>0</v>
      </c>
      <c r="AF49" s="293">
        <f t="shared" si="49"/>
        <v>0</v>
      </c>
      <c r="AG49" s="293">
        <f t="shared" si="49"/>
        <v>0</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0</v>
      </c>
      <c r="G65" s="310">
        <f t="shared" si="80"/>
        <v>0</v>
      </c>
      <c r="H65" s="310">
        <f t="shared" si="80"/>
        <v>0</v>
      </c>
      <c r="I65" s="310">
        <f t="shared" si="80"/>
        <v>0</v>
      </c>
      <c r="J65" s="283">
        <f t="shared" si="80"/>
        <v>0</v>
      </c>
      <c r="K65" s="310">
        <f t="shared" si="80"/>
        <v>0</v>
      </c>
      <c r="L65" s="310">
        <f t="shared" si="80"/>
        <v>0</v>
      </c>
      <c r="M65" s="310">
        <f t="shared" si="80"/>
        <v>0</v>
      </c>
      <c r="N65" s="310">
        <f t="shared" si="80"/>
        <v>0</v>
      </c>
      <c r="O65" s="283">
        <f t="shared" si="80"/>
        <v>0</v>
      </c>
      <c r="P65" s="310">
        <f t="shared" si="80"/>
        <v>0</v>
      </c>
      <c r="Q65" s="310">
        <f t="shared" si="80"/>
        <v>0</v>
      </c>
      <c r="R65" s="310">
        <f t="shared" si="80"/>
        <v>0</v>
      </c>
      <c r="S65" s="310">
        <f t="shared" si="80"/>
        <v>0</v>
      </c>
      <c r="T65" s="283">
        <f t="shared" si="80"/>
        <v>0</v>
      </c>
      <c r="U65" s="282">
        <f>IF($C$25="Quarterly",S65*(1+U66),P65*(1+U66))</f>
        <v>0</v>
      </c>
      <c r="V65" s="282">
        <f t="shared" ref="V65" si="81">IF($C$25="Quarterly",U65*(1+V66),Q65*(1+V66))</f>
        <v>0</v>
      </c>
      <c r="W65" s="282">
        <f t="shared" ref="W65" si="82">IF($C$25="Quarterly",V65*(1+W66),R65*(1+W66))</f>
        <v>0</v>
      </c>
      <c r="X65" s="282">
        <f t="shared" ref="X65" si="83">IF($C$25="Quarterly",W65*(1+X66),S65*(1+X66))</f>
        <v>0</v>
      </c>
      <c r="Y65" s="283">
        <f>SUM(U65:X65)</f>
        <v>0</v>
      </c>
      <c r="Z65" s="282">
        <f>IF($C$25="Quarterly",X65*(1+Z66),U65*(1+Z66))</f>
        <v>0</v>
      </c>
      <c r="AA65" s="282">
        <f t="shared" ref="AA65:AC65" si="84">IF($C$25="Quarterly",Z65*(1+AA66),V65*(1+AA66))</f>
        <v>0</v>
      </c>
      <c r="AB65" s="282">
        <f t="shared" si="84"/>
        <v>0</v>
      </c>
      <c r="AC65" s="282">
        <f t="shared" si="84"/>
        <v>0</v>
      </c>
      <c r="AD65" s="283">
        <f>SUM(Z65:AC65)</f>
        <v>0</v>
      </c>
      <c r="AE65" s="283">
        <f t="shared" ref="AE65:AG65" si="85">AD65*(1+AE66)</f>
        <v>0</v>
      </c>
      <c r="AF65" s="283">
        <f t="shared" si="85"/>
        <v>0</v>
      </c>
      <c r="AG65" s="283">
        <f t="shared" si="85"/>
        <v>0</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t="str">
        <f t="shared" si="86"/>
        <v>N/A</v>
      </c>
      <c r="L66" s="311" t="str">
        <f t="shared" si="86"/>
        <v>N/A</v>
      </c>
      <c r="M66" s="311" t="str">
        <f t="shared" si="86"/>
        <v>N/A</v>
      </c>
      <c r="N66" s="311" t="str">
        <f t="shared" si="86"/>
        <v>N/A</v>
      </c>
      <c r="O66" s="312" t="str">
        <f t="shared" si="86"/>
        <v>N/A</v>
      </c>
      <c r="P66" s="311" t="str">
        <f t="shared" si="86"/>
        <v>N/A</v>
      </c>
      <c r="Q66" s="311" t="str">
        <f t="shared" si="86"/>
        <v>N/A</v>
      </c>
      <c r="R66" s="311" t="str">
        <f t="shared" si="86"/>
        <v>N/A</v>
      </c>
      <c r="S66" s="311" t="str">
        <f t="shared" si="86"/>
        <v>N/A</v>
      </c>
      <c r="T66" s="312" t="str">
        <f t="shared" si="86"/>
        <v>N/A</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0</v>
      </c>
      <c r="G71" s="310">
        <f t="shared" si="87"/>
        <v>0</v>
      </c>
      <c r="H71" s="310">
        <f t="shared" si="87"/>
        <v>0</v>
      </c>
      <c r="I71" s="310">
        <f t="shared" si="87"/>
        <v>0</v>
      </c>
      <c r="J71" s="283">
        <f t="shared" si="87"/>
        <v>0</v>
      </c>
      <c r="K71" s="310">
        <f t="shared" si="87"/>
        <v>0</v>
      </c>
      <c r="L71" s="310">
        <f t="shared" si="87"/>
        <v>0</v>
      </c>
      <c r="M71" s="310">
        <f t="shared" si="87"/>
        <v>0</v>
      </c>
      <c r="N71" s="310">
        <f t="shared" si="87"/>
        <v>0</v>
      </c>
      <c r="O71" s="283">
        <f t="shared" si="87"/>
        <v>0</v>
      </c>
      <c r="P71" s="310">
        <f t="shared" si="87"/>
        <v>0</v>
      </c>
      <c r="Q71" s="310">
        <f t="shared" si="87"/>
        <v>0</v>
      </c>
      <c r="R71" s="310">
        <f t="shared" si="87"/>
        <v>0</v>
      </c>
      <c r="S71" s="310">
        <f t="shared" si="87"/>
        <v>0</v>
      </c>
      <c r="T71" s="283">
        <f t="shared" si="87"/>
        <v>0</v>
      </c>
      <c r="U71" s="282">
        <f>IF($C$25="Quarterly",S71*(1+U72),P71*(1+U72))</f>
        <v>0</v>
      </c>
      <c r="V71" s="282">
        <f t="shared" ref="V71" si="88">IF($C$25="Quarterly",U71*(1+V72),Q71*(1+V72))</f>
        <v>0</v>
      </c>
      <c r="W71" s="282">
        <f t="shared" ref="W71" si="89">IF($C$25="Quarterly",V71*(1+W72),R71*(1+W72))</f>
        <v>0</v>
      </c>
      <c r="X71" s="282">
        <f t="shared" ref="X71" si="90">IF($C$25="Quarterly",W71*(1+X72),S71*(1+X72))</f>
        <v>0</v>
      </c>
      <c r="Y71" s="283">
        <f>SUM(U71:X71)</f>
        <v>0</v>
      </c>
      <c r="Z71" s="282">
        <f>IF($C$25="Quarterly",X71*(1+Z72),U71*(1+Z72))</f>
        <v>0</v>
      </c>
      <c r="AA71" s="282">
        <f t="shared" ref="AA71:AC71" si="91">IF($C$25="Quarterly",Z71*(1+AA72),V71*(1+AA72))</f>
        <v>0</v>
      </c>
      <c r="AB71" s="282">
        <f t="shared" si="91"/>
        <v>0</v>
      </c>
      <c r="AC71" s="282">
        <f t="shared" si="91"/>
        <v>0</v>
      </c>
      <c r="AD71" s="283">
        <f>SUM(Z71:AC71)</f>
        <v>0</v>
      </c>
      <c r="AE71" s="283">
        <f t="shared" ref="AE71:AG71" si="92">AD71*(1+AE72)</f>
        <v>0</v>
      </c>
      <c r="AF71" s="283">
        <f t="shared" si="92"/>
        <v>0</v>
      </c>
      <c r="AG71" s="283">
        <f t="shared" si="92"/>
        <v>0</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t="str">
        <f t="shared" si="93"/>
        <v>N/A</v>
      </c>
      <c r="L72" s="311" t="str">
        <f t="shared" si="93"/>
        <v>N/A</v>
      </c>
      <c r="M72" s="311" t="str">
        <f t="shared" si="93"/>
        <v>N/A</v>
      </c>
      <c r="N72" s="311" t="str">
        <f t="shared" si="93"/>
        <v>N/A</v>
      </c>
      <c r="O72" s="312" t="str">
        <f t="shared" si="93"/>
        <v>N/A</v>
      </c>
      <c r="P72" s="311" t="str">
        <f t="shared" si="93"/>
        <v>N/A</v>
      </c>
      <c r="Q72" s="311" t="str">
        <f t="shared" si="93"/>
        <v>N/A</v>
      </c>
      <c r="R72" s="311" t="str">
        <f t="shared" si="93"/>
        <v>N/A</v>
      </c>
      <c r="S72" s="311" t="str">
        <f t="shared" si="93"/>
        <v>N/A</v>
      </c>
      <c r="T72" s="312" t="str">
        <f t="shared" si="93"/>
        <v>N/A</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0</v>
      </c>
      <c r="G77" s="310">
        <f t="shared" si="94"/>
        <v>0</v>
      </c>
      <c r="H77" s="310">
        <f t="shared" si="94"/>
        <v>0</v>
      </c>
      <c r="I77" s="310">
        <f t="shared" si="94"/>
        <v>0</v>
      </c>
      <c r="J77" s="283">
        <f t="shared" si="94"/>
        <v>0</v>
      </c>
      <c r="K77" s="310">
        <f t="shared" si="94"/>
        <v>0</v>
      </c>
      <c r="L77" s="310">
        <f t="shared" si="94"/>
        <v>0</v>
      </c>
      <c r="M77" s="310">
        <f t="shared" si="94"/>
        <v>0</v>
      </c>
      <c r="N77" s="310">
        <f t="shared" si="94"/>
        <v>0</v>
      </c>
      <c r="O77" s="283">
        <f t="shared" si="94"/>
        <v>0</v>
      </c>
      <c r="P77" s="310">
        <f t="shared" si="94"/>
        <v>0</v>
      </c>
      <c r="Q77" s="310">
        <f t="shared" si="94"/>
        <v>0</v>
      </c>
      <c r="R77" s="310">
        <f t="shared" si="94"/>
        <v>0</v>
      </c>
      <c r="S77" s="310">
        <f t="shared" si="94"/>
        <v>0</v>
      </c>
      <c r="T77" s="283">
        <f t="shared" si="94"/>
        <v>0</v>
      </c>
      <c r="U77" s="282">
        <f>IF($C$25="Quarterly",S77*(1+U78),P77*(1+U78))</f>
        <v>0</v>
      </c>
      <c r="V77" s="282">
        <f t="shared" ref="V77" si="95">IF($C$25="Quarterly",U77*(1+V78),Q77*(1+V78))</f>
        <v>0</v>
      </c>
      <c r="W77" s="282">
        <f t="shared" ref="W77" si="96">IF($C$25="Quarterly",V77*(1+W78),R77*(1+W78))</f>
        <v>0</v>
      </c>
      <c r="X77" s="282">
        <f t="shared" ref="X77" si="97">IF($C$25="Quarterly",W77*(1+X78),S77*(1+X78))</f>
        <v>0</v>
      </c>
      <c r="Y77" s="283">
        <f>SUM(U77:X77)</f>
        <v>0</v>
      </c>
      <c r="Z77" s="282">
        <f>IF($C$25="Quarterly",X77*(1+Z78),U77*(1+Z78))</f>
        <v>0</v>
      </c>
      <c r="AA77" s="282">
        <f t="shared" ref="AA77:AC77" si="98">IF($C$25="Quarterly",Z77*(1+AA78),V77*(1+AA78))</f>
        <v>0</v>
      </c>
      <c r="AB77" s="282">
        <f t="shared" si="98"/>
        <v>0</v>
      </c>
      <c r="AC77" s="282">
        <f t="shared" si="98"/>
        <v>0</v>
      </c>
      <c r="AD77" s="283">
        <f>SUM(Z77:AC77)</f>
        <v>0</v>
      </c>
      <c r="AE77" s="283">
        <f t="shared" ref="AE77:AG77" si="99">AD77*(1+AE78)</f>
        <v>0</v>
      </c>
      <c r="AF77" s="283">
        <f t="shared" si="99"/>
        <v>0</v>
      </c>
      <c r="AG77" s="283">
        <f t="shared" si="99"/>
        <v>0</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t="str">
        <f t="shared" si="100"/>
        <v>N/A</v>
      </c>
      <c r="L78" s="311" t="str">
        <f t="shared" si="100"/>
        <v>N/A</v>
      </c>
      <c r="M78" s="311" t="str">
        <f t="shared" si="100"/>
        <v>N/A</v>
      </c>
      <c r="N78" s="311" t="str">
        <f t="shared" si="100"/>
        <v>N/A</v>
      </c>
      <c r="O78" s="312" t="str">
        <f t="shared" si="100"/>
        <v>N/A</v>
      </c>
      <c r="P78" s="311" t="str">
        <f t="shared" si="100"/>
        <v>N/A</v>
      </c>
      <c r="Q78" s="311" t="str">
        <f t="shared" si="100"/>
        <v>N/A</v>
      </c>
      <c r="R78" s="311" t="str">
        <f t="shared" si="100"/>
        <v>N/A</v>
      </c>
      <c r="S78" s="311" t="str">
        <f t="shared" si="100"/>
        <v>N/A</v>
      </c>
      <c r="T78" s="312" t="str">
        <f t="shared" si="100"/>
        <v>N/A</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0</v>
      </c>
      <c r="G83" s="310">
        <f t="shared" si="101"/>
        <v>0</v>
      </c>
      <c r="H83" s="310">
        <f t="shared" si="101"/>
        <v>0</v>
      </c>
      <c r="I83" s="310">
        <f t="shared" si="101"/>
        <v>0</v>
      </c>
      <c r="J83" s="283">
        <f t="shared" si="101"/>
        <v>0</v>
      </c>
      <c r="K83" s="310">
        <f t="shared" si="101"/>
        <v>0</v>
      </c>
      <c r="L83" s="310">
        <f t="shared" si="101"/>
        <v>0</v>
      </c>
      <c r="M83" s="310">
        <f t="shared" si="101"/>
        <v>0</v>
      </c>
      <c r="N83" s="310">
        <f t="shared" si="101"/>
        <v>0</v>
      </c>
      <c r="O83" s="283">
        <f t="shared" si="101"/>
        <v>0</v>
      </c>
      <c r="P83" s="310">
        <f t="shared" si="101"/>
        <v>0</v>
      </c>
      <c r="Q83" s="310">
        <f t="shared" si="101"/>
        <v>0</v>
      </c>
      <c r="R83" s="310">
        <f t="shared" si="101"/>
        <v>0</v>
      </c>
      <c r="S83" s="310">
        <f t="shared" si="101"/>
        <v>0</v>
      </c>
      <c r="T83" s="283">
        <f t="shared" si="101"/>
        <v>0</v>
      </c>
      <c r="U83" s="282">
        <f>IF($C$25="Quarterly",S83*(1+U84),P83*(1+U84))</f>
        <v>0</v>
      </c>
      <c r="V83" s="282">
        <f t="shared" ref="V83" si="102">IF($C$25="Quarterly",U83*(1+V84),Q83*(1+V84))</f>
        <v>0</v>
      </c>
      <c r="W83" s="282">
        <f t="shared" ref="W83" si="103">IF($C$25="Quarterly",V83*(1+W84),R83*(1+W84))</f>
        <v>0</v>
      </c>
      <c r="X83" s="282">
        <f t="shared" ref="X83" si="104">IF($C$25="Quarterly",W83*(1+X84),S83*(1+X84))</f>
        <v>0</v>
      </c>
      <c r="Y83" s="283">
        <f>SUM(U83:X83)</f>
        <v>0</v>
      </c>
      <c r="Z83" s="282">
        <f>IF($C$25="Quarterly",X83*(1+Z84),U83*(1+Z84))</f>
        <v>0</v>
      </c>
      <c r="AA83" s="282">
        <f t="shared" ref="AA83:AC83" si="105">IF($C$25="Quarterly",Z83*(1+AA84),V83*(1+AA84))</f>
        <v>0</v>
      </c>
      <c r="AB83" s="282">
        <f t="shared" si="105"/>
        <v>0</v>
      </c>
      <c r="AC83" s="282">
        <f t="shared" si="105"/>
        <v>0</v>
      </c>
      <c r="AD83" s="283">
        <f>SUM(Z83:AC83)</f>
        <v>0</v>
      </c>
      <c r="AE83" s="283">
        <f t="shared" ref="AE83:AG83" si="106">AD83*(1+AE84)</f>
        <v>0</v>
      </c>
      <c r="AF83" s="283">
        <f t="shared" si="106"/>
        <v>0</v>
      </c>
      <c r="AG83" s="283">
        <f t="shared" si="106"/>
        <v>0</v>
      </c>
      <c r="AH83" s="8"/>
      <c r="AI83" s="8"/>
      <c r="AJ83" s="8"/>
    </row>
    <row r="84" ht="12.75" customHeight="1" hidden="1" spans="1:36" x14ac:dyDescent="0.25" outlineLevel="1" collapsed="1">
      <c r="A84" s="8"/>
      <c r="B84" s="8"/>
      <c r="C84" s="110" t="str">
        <f>IF($C$25="Quarterly","% Growth QoQ","% Growth YoY")</f>
        <v>% Growth YoY</v>
      </c>
      <c r="D84" s="8"/>
      <c r="E84" s="8"/>
      <c r="F84" s="314"/>
      <c r="G84" s="311" t="str">
        <f t="shared" ref="G84:T84" si="107">G48</f>
        <v>N/A</v>
      </c>
      <c r="H84" s="311" t="str">
        <f t="shared" si="107"/>
        <v>N/A</v>
      </c>
      <c r="I84" s="311" t="str">
        <f t="shared" si="107"/>
        <v>N/A</v>
      </c>
      <c r="J84" s="312">
        <f t="shared" si="107"/>
        <v>0</v>
      </c>
      <c r="K84" s="311" t="str">
        <f t="shared" si="107"/>
        <v>N/A</v>
      </c>
      <c r="L84" s="311" t="str">
        <f t="shared" si="107"/>
        <v>N/A</v>
      </c>
      <c r="M84" s="311" t="str">
        <f t="shared" si="107"/>
        <v>N/A</v>
      </c>
      <c r="N84" s="311" t="str">
        <f t="shared" si="107"/>
        <v>N/A</v>
      </c>
      <c r="O84" s="312">
        <f t="shared" si="107"/>
        <v>0</v>
      </c>
      <c r="P84" s="311" t="str">
        <f t="shared" si="107"/>
        <v>N/A</v>
      </c>
      <c r="Q84" s="311" t="str">
        <f t="shared" si="107"/>
        <v>N/A</v>
      </c>
      <c r="R84" s="311" t="str">
        <f t="shared" si="107"/>
        <v>N/A</v>
      </c>
      <c r="S84" s="311" t="str">
        <f t="shared" si="107"/>
        <v>N/A</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0</v>
      </c>
      <c r="G115" s="310">
        <f t="shared" si="166"/>
        <v>0</v>
      </c>
      <c r="H115" s="310">
        <f t="shared" si="166"/>
        <v>0</v>
      </c>
      <c r="I115" s="310">
        <f t="shared" si="166"/>
        <v>0</v>
      </c>
      <c r="J115" s="283">
        <f t="shared" si="166"/>
        <v>0</v>
      </c>
      <c r="K115" s="310">
        <f t="shared" si="166"/>
        <v>0</v>
      </c>
      <c r="L115" s="310">
        <f t="shared" si="166"/>
        <v>0</v>
      </c>
      <c r="M115" s="310">
        <f t="shared" si="166"/>
        <v>0</v>
      </c>
      <c r="N115" s="310">
        <f t="shared" si="166"/>
        <v>0</v>
      </c>
      <c r="O115" s="283">
        <f t="shared" si="166"/>
        <v>0</v>
      </c>
      <c r="P115" s="310">
        <f t="shared" si="166"/>
        <v>0</v>
      </c>
      <c r="Q115" s="310">
        <f t="shared" si="166"/>
        <v>0</v>
      </c>
      <c r="R115" s="310">
        <f t="shared" si="166"/>
        <v>0</v>
      </c>
      <c r="S115" s="310">
        <f t="shared" si="166"/>
        <v>0</v>
      </c>
      <c r="T115" s="283">
        <f t="shared" si="166"/>
        <v>0</v>
      </c>
      <c r="U115" s="282">
        <f t="shared" ref="U115:X115" si="167">U116*U121</f>
        <v>0</v>
      </c>
      <c r="V115" s="282">
        <f t="shared" si="167"/>
        <v>0</v>
      </c>
      <c r="W115" s="282">
        <f t="shared" si="167"/>
        <v>0</v>
      </c>
      <c r="X115" s="282">
        <f t="shared" si="167"/>
        <v>0</v>
      </c>
      <c r="Y115" s="283">
        <f t="shared" ref="Y115:Y116" si="168">SUM(U115:X115)</f>
        <v>0</v>
      </c>
      <c r="Z115" s="282">
        <f t="shared" ref="Z115:AC115" si="169">Z116*Z121</f>
        <v>0</v>
      </c>
      <c r="AA115" s="282">
        <f t="shared" si="169"/>
        <v>0</v>
      </c>
      <c r="AB115" s="282">
        <f t="shared" si="169"/>
        <v>0</v>
      </c>
      <c r="AC115" s="282">
        <f t="shared" si="169"/>
        <v>0</v>
      </c>
      <c r="AD115" s="283">
        <f t="shared" ref="AD115:AD116" si="170">SUM(Z115:AC115)</f>
        <v>0</v>
      </c>
      <c r="AE115" s="283">
        <f t="shared" ref="AE115:AG115" si="171">AE116*AE121</f>
        <v>0</v>
      </c>
      <c r="AF115" s="283">
        <f t="shared" si="171"/>
        <v>0</v>
      </c>
      <c r="AG115" s="283">
        <f t="shared" si="171"/>
        <v>0</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0</v>
      </c>
      <c r="G121" s="310">
        <f t="shared" si="180"/>
        <v>0</v>
      </c>
      <c r="H121" s="310">
        <f t="shared" si="180"/>
        <v>0</v>
      </c>
      <c r="I121" s="310">
        <f t="shared" si="180"/>
        <v>0</v>
      </c>
      <c r="J121" s="283">
        <f t="shared" si="180"/>
        <v>0</v>
      </c>
      <c r="K121" s="310">
        <f t="shared" si="180"/>
        <v>0</v>
      </c>
      <c r="L121" s="310">
        <f t="shared" si="180"/>
        <v>0</v>
      </c>
      <c r="M121" s="310">
        <f t="shared" si="180"/>
        <v>0</v>
      </c>
      <c r="N121" s="310">
        <f t="shared" si="180"/>
        <v>0</v>
      </c>
      <c r="O121" s="283">
        <f t="shared" si="180"/>
        <v>0</v>
      </c>
      <c r="P121" s="310">
        <f t="shared" si="180"/>
        <v>0</v>
      </c>
      <c r="Q121" s="310">
        <f t="shared" si="180"/>
        <v>0</v>
      </c>
      <c r="R121" s="310">
        <f t="shared" si="180"/>
        <v>0</v>
      </c>
      <c r="S121" s="310">
        <f t="shared" si="180"/>
        <v>0</v>
      </c>
      <c r="T121" s="283">
        <f t="shared" si="180"/>
        <v>0</v>
      </c>
      <c r="U121" s="282">
        <f>S121*(1+U122)</f>
        <v>0</v>
      </c>
      <c r="V121" s="282">
        <f t="shared" ref="V121" si="181">U121*(1+V122)</f>
        <v>0</v>
      </c>
      <c r="W121" s="282">
        <f t="shared" ref="W121" si="182">V121*(1+W122)</f>
        <v>0</v>
      </c>
      <c r="X121" s="282">
        <f t="shared" ref="X121" si="183">W121*(1+X122)</f>
        <v>0</v>
      </c>
      <c r="Y121" s="283">
        <f>Y115/Y116</f>
        <v>0</v>
      </c>
      <c r="Z121" s="282">
        <f>X121*(1+Z122)</f>
        <v>0</v>
      </c>
      <c r="AA121" s="282">
        <f t="shared" ref="AA121:AC121" si="184">Z121*(1+AA122)</f>
        <v>0</v>
      </c>
      <c r="AB121" s="282">
        <f t="shared" si="184"/>
        <v>0</v>
      </c>
      <c r="AC121" s="282">
        <f t="shared" si="184"/>
        <v>0</v>
      </c>
      <c r="AD121" s="283">
        <f>AD115/AD116</f>
        <v>0</v>
      </c>
      <c r="AE121" s="283">
        <f t="shared" ref="AE121:AG121" si="185">AD121*(1+AE122)</f>
        <v>0</v>
      </c>
      <c r="AF121" s="283">
        <f t="shared" si="185"/>
        <v>0</v>
      </c>
      <c r="AG121" s="283">
        <f t="shared" si="185"/>
        <v>0</v>
      </c>
      <c r="AH121" s="8"/>
      <c r="AI121" s="8"/>
      <c r="AJ121" s="8"/>
    </row>
    <row r="122" ht="12.75" customHeight="1" hidden="1" spans="1:36" x14ac:dyDescent="0.25" outlineLevel="1" collapsed="1">
      <c r="A122" s="8"/>
      <c r="B122" s="8"/>
      <c r="C122" s="110" t="s">
        <v>245</v>
      </c>
      <c r="D122" s="8"/>
      <c r="E122" s="165"/>
      <c r="F122" s="314"/>
      <c r="G122" s="311" t="str">
        <f t="shared" ref="G122:I122" si="186">IFERROR(G121/F121-1,"--")</f>
        <v>--</v>
      </c>
      <c r="H122" s="311" t="str">
        <f t="shared" si="186"/>
        <v>--</v>
      </c>
      <c r="I122" s="311" t="str">
        <f t="shared" si="186"/>
        <v>--</v>
      </c>
      <c r="J122" s="165"/>
      <c r="K122" s="311" t="str">
        <f>IFERROR(K121/I121-1,"--")</f>
        <v>--</v>
      </c>
      <c r="L122" s="311" t="str">
        <f t="shared" ref="L122:N122" si="187">IFERROR(L121/K121-1,"--")</f>
        <v>--</v>
      </c>
      <c r="M122" s="311" t="str">
        <f t="shared" si="187"/>
        <v>--</v>
      </c>
      <c r="N122" s="311" t="str">
        <f t="shared" si="187"/>
        <v>--</v>
      </c>
      <c r="O122" s="312" t="str">
        <f>IFERROR(O121/J121-1,"--")</f>
        <v>--</v>
      </c>
      <c r="P122" s="311" t="str">
        <f>IFERROR(P121/N121-1,"--")</f>
        <v>--</v>
      </c>
      <c r="Q122" s="311" t="str">
        <f t="shared" ref="Q122:S122" si="188">IFERROR(Q121/P121-1,"--")</f>
        <v>--</v>
      </c>
      <c r="R122" s="311" t="str">
        <f t="shared" si="188"/>
        <v>--</v>
      </c>
      <c r="S122" s="311" t="str">
        <f t="shared" si="188"/>
        <v>--</v>
      </c>
      <c r="T122" s="312" t="str">
        <f>IFERROR(T121/O121-1,"--")</f>
        <v>--</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0</v>
      </c>
      <c r="G127" s="310">
        <f t="shared" si="189"/>
        <v>0</v>
      </c>
      <c r="H127" s="310">
        <f t="shared" si="189"/>
        <v>0</v>
      </c>
      <c r="I127" s="310">
        <f t="shared" si="189"/>
        <v>0</v>
      </c>
      <c r="J127" s="283">
        <f t="shared" si="189"/>
        <v>0</v>
      </c>
      <c r="K127" s="310">
        <f t="shared" si="189"/>
        <v>0</v>
      </c>
      <c r="L127" s="310">
        <f t="shared" si="189"/>
        <v>0</v>
      </c>
      <c r="M127" s="310">
        <f t="shared" si="189"/>
        <v>0</v>
      </c>
      <c r="N127" s="310">
        <f t="shared" si="189"/>
        <v>0</v>
      </c>
      <c r="O127" s="283">
        <f t="shared" si="189"/>
        <v>0</v>
      </c>
      <c r="P127" s="310">
        <f t="shared" si="189"/>
        <v>0</v>
      </c>
      <c r="Q127" s="310">
        <f t="shared" si="189"/>
        <v>0</v>
      </c>
      <c r="R127" s="310">
        <f t="shared" si="189"/>
        <v>0</v>
      </c>
      <c r="S127" s="310">
        <f t="shared" si="189"/>
        <v>0</v>
      </c>
      <c r="T127" s="283">
        <f t="shared" si="189"/>
        <v>0</v>
      </c>
      <c r="U127" s="282">
        <f t="shared" ref="U127:X127" si="190">U128*U133</f>
        <v>0</v>
      </c>
      <c r="V127" s="282">
        <f t="shared" si="190"/>
        <v>0</v>
      </c>
      <c r="W127" s="282">
        <f t="shared" si="190"/>
        <v>0</v>
      </c>
      <c r="X127" s="282">
        <f t="shared" si="190"/>
        <v>0</v>
      </c>
      <c r="Y127" s="283">
        <f t="shared" ref="Y127:Y128" si="191">SUM(U127:X127)</f>
        <v>0</v>
      </c>
      <c r="Z127" s="282">
        <f t="shared" ref="Z127:AC127" si="192">Z128*Z133</f>
        <v>0</v>
      </c>
      <c r="AA127" s="282">
        <f t="shared" si="192"/>
        <v>0</v>
      </c>
      <c r="AB127" s="282">
        <f t="shared" si="192"/>
        <v>0</v>
      </c>
      <c r="AC127" s="282">
        <f t="shared" si="192"/>
        <v>0</v>
      </c>
      <c r="AD127" s="283">
        <f t="shared" ref="AD127:AD128" si="193">SUM(Z127:AC127)</f>
        <v>0</v>
      </c>
      <c r="AE127" s="283">
        <f t="shared" ref="AE127:AG127" si="194">AE128*AE133</f>
        <v>0</v>
      </c>
      <c r="AF127" s="283">
        <f t="shared" si="194"/>
        <v>0</v>
      </c>
      <c r="AG127" s="283">
        <f t="shared" si="194"/>
        <v>0</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0</v>
      </c>
      <c r="G133" s="310">
        <f t="shared" si="203"/>
        <v>0</v>
      </c>
      <c r="H133" s="310">
        <f t="shared" si="203"/>
        <v>0</v>
      </c>
      <c r="I133" s="310">
        <f t="shared" si="203"/>
        <v>0</v>
      </c>
      <c r="J133" s="283">
        <f t="shared" si="203"/>
        <v>0</v>
      </c>
      <c r="K133" s="310">
        <f t="shared" si="203"/>
        <v>0</v>
      </c>
      <c r="L133" s="310">
        <f t="shared" si="203"/>
        <v>0</v>
      </c>
      <c r="M133" s="310">
        <f t="shared" si="203"/>
        <v>0</v>
      </c>
      <c r="N133" s="310">
        <f t="shared" si="203"/>
        <v>0</v>
      </c>
      <c r="O133" s="283">
        <f t="shared" si="203"/>
        <v>0</v>
      </c>
      <c r="P133" s="310">
        <f t="shared" si="203"/>
        <v>0</v>
      </c>
      <c r="Q133" s="310">
        <f t="shared" si="203"/>
        <v>0</v>
      </c>
      <c r="R133" s="310">
        <f t="shared" si="203"/>
        <v>0</v>
      </c>
      <c r="S133" s="310">
        <f t="shared" si="203"/>
        <v>0</v>
      </c>
      <c r="T133" s="283">
        <f t="shared" si="203"/>
        <v>0</v>
      </c>
      <c r="U133" s="282">
        <f>S133*(1+U134)</f>
        <v>0</v>
      </c>
      <c r="V133" s="282">
        <f t="shared" ref="V133" si="204">U133*(1+V134)</f>
        <v>0</v>
      </c>
      <c r="W133" s="282">
        <f t="shared" ref="W133" si="205">V133*(1+W134)</f>
        <v>0</v>
      </c>
      <c r="X133" s="282">
        <f t="shared" ref="X133" si="206">W133*(1+X134)</f>
        <v>0</v>
      </c>
      <c r="Y133" s="283">
        <f>Y127/Y128</f>
        <v>0</v>
      </c>
      <c r="Z133" s="282">
        <f>X133*(1+Z134)</f>
        <v>0</v>
      </c>
      <c r="AA133" s="282">
        <f t="shared" ref="AA133:AC133" si="207">Z133*(1+AA134)</f>
        <v>0</v>
      </c>
      <c r="AB133" s="282">
        <f t="shared" si="207"/>
        <v>0</v>
      </c>
      <c r="AC133" s="282">
        <f t="shared" si="207"/>
        <v>0</v>
      </c>
      <c r="AD133" s="283">
        <f>AD127/AD128</f>
        <v>0</v>
      </c>
      <c r="AE133" s="283">
        <f t="shared" ref="AE133:AG133" si="208">AD133*(1+AE134)</f>
        <v>0</v>
      </c>
      <c r="AF133" s="283">
        <f t="shared" si="208"/>
        <v>0</v>
      </c>
      <c r="AG133" s="283">
        <f t="shared" si="208"/>
        <v>0</v>
      </c>
      <c r="AH133" s="8"/>
      <c r="AI133" s="8"/>
      <c r="AJ133" s="8"/>
    </row>
    <row r="134" ht="12.75" customHeight="1" hidden="1" spans="1:36" x14ac:dyDescent="0.25" outlineLevel="1" collapsed="1">
      <c r="A134" s="8"/>
      <c r="B134" s="8"/>
      <c r="C134" s="110" t="s">
        <v>245</v>
      </c>
      <c r="D134" s="8"/>
      <c r="E134" s="165"/>
      <c r="F134" s="314"/>
      <c r="G134" s="311" t="str">
        <f t="shared" ref="G134:I134" si="209">IFERROR(G133/F133-1,"--")</f>
        <v>--</v>
      </c>
      <c r="H134" s="311" t="str">
        <f t="shared" si="209"/>
        <v>--</v>
      </c>
      <c r="I134" s="311" t="str">
        <f t="shared" si="209"/>
        <v>--</v>
      </c>
      <c r="J134" s="165"/>
      <c r="K134" s="311" t="str">
        <f>IFERROR(K133/I133-1,"--")</f>
        <v>--</v>
      </c>
      <c r="L134" s="311" t="str">
        <f t="shared" ref="L134:N134" si="210">IFERROR(L133/K133-1,"--")</f>
        <v>--</v>
      </c>
      <c r="M134" s="311" t="str">
        <f t="shared" si="210"/>
        <v>--</v>
      </c>
      <c r="N134" s="311" t="str">
        <f t="shared" si="210"/>
        <v>--</v>
      </c>
      <c r="O134" s="312" t="str">
        <f>IFERROR(O133/J133-1,"--")</f>
        <v>--</v>
      </c>
      <c r="P134" s="311" t="str">
        <f>IFERROR(P133/N133-1,"--")</f>
        <v>--</v>
      </c>
      <c r="Q134" s="311" t="str">
        <f t="shared" ref="Q134:S134" si="211">IFERROR(Q133/P133-1,"--")</f>
        <v>--</v>
      </c>
      <c r="R134" s="311" t="str">
        <f t="shared" si="211"/>
        <v>--</v>
      </c>
      <c r="S134" s="311" t="str">
        <f t="shared" si="211"/>
        <v>--</v>
      </c>
      <c r="T134" s="312" t="str">
        <f>IFERROR(T133/O133-1,"--")</f>
        <v>--</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0</v>
      </c>
      <c r="G139" s="310">
        <f t="shared" si="212"/>
        <v>0</v>
      </c>
      <c r="H139" s="310">
        <f t="shared" si="212"/>
        <v>0</v>
      </c>
      <c r="I139" s="310">
        <f t="shared" si="212"/>
        <v>0</v>
      </c>
      <c r="J139" s="283">
        <f t="shared" si="212"/>
        <v>0</v>
      </c>
      <c r="K139" s="310">
        <f t="shared" si="212"/>
        <v>0</v>
      </c>
      <c r="L139" s="310">
        <f t="shared" si="212"/>
        <v>0</v>
      </c>
      <c r="M139" s="310">
        <f t="shared" si="212"/>
        <v>0</v>
      </c>
      <c r="N139" s="310">
        <f t="shared" si="212"/>
        <v>0</v>
      </c>
      <c r="O139" s="283">
        <f t="shared" si="212"/>
        <v>0</v>
      </c>
      <c r="P139" s="310">
        <f t="shared" si="212"/>
        <v>0</v>
      </c>
      <c r="Q139" s="310">
        <f t="shared" si="212"/>
        <v>0</v>
      </c>
      <c r="R139" s="310">
        <f t="shared" si="212"/>
        <v>0</v>
      </c>
      <c r="S139" s="310">
        <f t="shared" si="212"/>
        <v>0</v>
      </c>
      <c r="T139" s="283">
        <f t="shared" si="212"/>
        <v>0</v>
      </c>
      <c r="U139" s="282">
        <f t="shared" ref="U139:X139" si="213">U140*U145</f>
        <v>0</v>
      </c>
      <c r="V139" s="282">
        <f t="shared" si="213"/>
        <v>0</v>
      </c>
      <c r="W139" s="282">
        <f t="shared" si="213"/>
        <v>0</v>
      </c>
      <c r="X139" s="282">
        <f t="shared" si="213"/>
        <v>0</v>
      </c>
      <c r="Y139" s="283">
        <f t="shared" ref="Y139:Y140" si="214">SUM(U139:X139)</f>
        <v>0</v>
      </c>
      <c r="Z139" s="282">
        <f t="shared" ref="Z139:AC139" si="215">Z140*Z145</f>
        <v>0</v>
      </c>
      <c r="AA139" s="282">
        <f t="shared" si="215"/>
        <v>0</v>
      </c>
      <c r="AB139" s="282">
        <f t="shared" si="215"/>
        <v>0</v>
      </c>
      <c r="AC139" s="282">
        <f t="shared" si="215"/>
        <v>0</v>
      </c>
      <c r="AD139" s="283">
        <f t="shared" ref="AD139:AD140" si="216">SUM(Z139:AC139)</f>
        <v>0</v>
      </c>
      <c r="AE139" s="283">
        <f t="shared" ref="AE139:AG139" si="217">AE140*AE145</f>
        <v>0</v>
      </c>
      <c r="AF139" s="283">
        <f t="shared" si="217"/>
        <v>0</v>
      </c>
      <c r="AG139" s="283">
        <f t="shared" si="217"/>
        <v>0</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v>
      </c>
      <c r="G145" s="310">
        <f t="shared" si="226"/>
        <v>0</v>
      </c>
      <c r="H145" s="310">
        <f t="shared" si="226"/>
        <v>0</v>
      </c>
      <c r="I145" s="310">
        <f t="shared" si="226"/>
        <v>0</v>
      </c>
      <c r="J145" s="283">
        <f t="shared" si="226"/>
        <v>0</v>
      </c>
      <c r="K145" s="310">
        <f t="shared" si="226"/>
        <v>0</v>
      </c>
      <c r="L145" s="310">
        <f t="shared" si="226"/>
        <v>0</v>
      </c>
      <c r="M145" s="310">
        <f t="shared" si="226"/>
        <v>0</v>
      </c>
      <c r="N145" s="310">
        <f t="shared" si="226"/>
        <v>0</v>
      </c>
      <c r="O145" s="283">
        <f t="shared" si="226"/>
        <v>0</v>
      </c>
      <c r="P145" s="310">
        <f t="shared" si="226"/>
        <v>0</v>
      </c>
      <c r="Q145" s="310">
        <f t="shared" si="226"/>
        <v>0</v>
      </c>
      <c r="R145" s="310">
        <f t="shared" si="226"/>
        <v>0</v>
      </c>
      <c r="S145" s="310">
        <f t="shared" si="226"/>
        <v>0</v>
      </c>
      <c r="T145" s="283">
        <f t="shared" si="226"/>
        <v>0</v>
      </c>
      <c r="U145" s="282">
        <f>S145*(1+U146)</f>
        <v>0</v>
      </c>
      <c r="V145" s="282">
        <f t="shared" ref="V145" si="227">U145*(1+V146)</f>
        <v>0</v>
      </c>
      <c r="W145" s="282">
        <f t="shared" ref="W145" si="228">V145*(1+W146)</f>
        <v>0</v>
      </c>
      <c r="X145" s="282">
        <f t="shared" ref="X145" si="229">W145*(1+X146)</f>
        <v>0</v>
      </c>
      <c r="Y145" s="283">
        <f>Y139/Y140</f>
        <v>0</v>
      </c>
      <c r="Z145" s="282">
        <f>X145*(1+Z146)</f>
        <v>0</v>
      </c>
      <c r="AA145" s="282">
        <f t="shared" ref="AA145:AC145" si="230">Z145*(1+AA146)</f>
        <v>0</v>
      </c>
      <c r="AB145" s="282">
        <f t="shared" si="230"/>
        <v>0</v>
      </c>
      <c r="AC145" s="282">
        <f t="shared" si="230"/>
        <v>0</v>
      </c>
      <c r="AD145" s="283">
        <f>AD139/AD140</f>
        <v>0</v>
      </c>
      <c r="AE145" s="283">
        <f t="shared" ref="AE145:AG145" si="231">AD145*(1+AE146)</f>
        <v>0</v>
      </c>
      <c r="AF145" s="283">
        <f t="shared" si="231"/>
        <v>0</v>
      </c>
      <c r="AG145" s="283">
        <f t="shared" si="231"/>
        <v>0</v>
      </c>
      <c r="AH145" s="8"/>
      <c r="AI145" s="8"/>
      <c r="AJ145" s="8"/>
    </row>
    <row r="146" ht="12.75" customHeight="1" hidden="1" spans="1:36" x14ac:dyDescent="0.25" outlineLevel="1" collapsed="1">
      <c r="A146" s="8"/>
      <c r="B146" s="8"/>
      <c r="C146" s="110" t="s">
        <v>245</v>
      </c>
      <c r="D146" s="8"/>
      <c r="E146" s="165"/>
      <c r="F146" s="314"/>
      <c r="G146" s="311" t="str">
        <f t="shared" ref="G146:I146" si="232">IFERROR(G145/F145-1,"--")</f>
        <v>--</v>
      </c>
      <c r="H146" s="311" t="str">
        <f t="shared" si="232"/>
        <v>--</v>
      </c>
      <c r="I146" s="311" t="str">
        <f t="shared" si="232"/>
        <v>--</v>
      </c>
      <c r="J146" s="165"/>
      <c r="K146" s="311" t="str">
        <f>IFERROR(K145/I145-1,"--")</f>
        <v>--</v>
      </c>
      <c r="L146" s="311" t="str">
        <f t="shared" ref="L146:N146" si="233">IFERROR(L145/K145-1,"--")</f>
        <v>--</v>
      </c>
      <c r="M146" s="311" t="str">
        <f t="shared" si="233"/>
        <v>--</v>
      </c>
      <c r="N146" s="311" t="str">
        <f t="shared" si="233"/>
        <v>--</v>
      </c>
      <c r="O146" s="312" t="str">
        <f>IFERROR(O145/J145-1,"--")</f>
        <v>--</v>
      </c>
      <c r="P146" s="311" t="str">
        <f>IFERROR(P145/N145-1,"--")</f>
        <v>--</v>
      </c>
      <c r="Q146" s="311" t="str">
        <f t="shared" ref="Q146:S146" si="234">IFERROR(Q145/P145-1,"--")</f>
        <v>--</v>
      </c>
      <c r="R146" s="311" t="str">
        <f t="shared" si="234"/>
        <v>--</v>
      </c>
      <c r="S146" s="311" t="str">
        <f t="shared" si="234"/>
        <v>--</v>
      </c>
      <c r="T146" s="312" t="str">
        <f>IFERROR(T145/O145-1,"--")</f>
        <v>--</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0</v>
      </c>
      <c r="G151" s="310">
        <f t="shared" si="235"/>
        <v>0</v>
      </c>
      <c r="H151" s="310">
        <f t="shared" si="235"/>
        <v>0</v>
      </c>
      <c r="I151" s="310">
        <f t="shared" si="235"/>
        <v>0</v>
      </c>
      <c r="J151" s="283">
        <f t="shared" si="235"/>
        <v>0</v>
      </c>
      <c r="K151" s="310">
        <f t="shared" si="235"/>
        <v>0</v>
      </c>
      <c r="L151" s="310">
        <f t="shared" si="235"/>
        <v>0</v>
      </c>
      <c r="M151" s="310">
        <f t="shared" si="235"/>
        <v>0</v>
      </c>
      <c r="N151" s="310">
        <f t="shared" si="235"/>
        <v>0</v>
      </c>
      <c r="O151" s="283">
        <f t="shared" si="235"/>
        <v>0</v>
      </c>
      <c r="P151" s="310">
        <f t="shared" si="235"/>
        <v>0</v>
      </c>
      <c r="Q151" s="310">
        <f t="shared" si="235"/>
        <v>0</v>
      </c>
      <c r="R151" s="310">
        <f t="shared" si="235"/>
        <v>0</v>
      </c>
      <c r="S151" s="310">
        <f t="shared" si="235"/>
        <v>0</v>
      </c>
      <c r="T151" s="283">
        <f t="shared" si="235"/>
        <v>0</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0</v>
      </c>
      <c r="G213" s="310">
        <f t="shared" si="342"/>
        <v>0</v>
      </c>
      <c r="H213" s="310">
        <f t="shared" si="342"/>
        <v>0</v>
      </c>
      <c r="I213" s="310">
        <f t="shared" si="342"/>
        <v>0</v>
      </c>
      <c r="J213" s="283">
        <f t="shared" si="342"/>
        <v>0</v>
      </c>
      <c r="K213" s="310">
        <f t="shared" si="342"/>
        <v>0</v>
      </c>
      <c r="L213" s="310">
        <f t="shared" si="342"/>
        <v>0</v>
      </c>
      <c r="M213" s="310">
        <f t="shared" si="342"/>
        <v>0</v>
      </c>
      <c r="N213" s="310">
        <f t="shared" si="342"/>
        <v>0</v>
      </c>
      <c r="O213" s="283">
        <f t="shared" si="342"/>
        <v>0</v>
      </c>
      <c r="P213" s="310">
        <f t="shared" si="342"/>
        <v>0</v>
      </c>
      <c r="Q213" s="310">
        <f t="shared" si="342"/>
        <v>0</v>
      </c>
      <c r="R213" s="310">
        <f t="shared" si="342"/>
        <v>0</v>
      </c>
      <c r="S213" s="310">
        <f t="shared" si="342"/>
        <v>0</v>
      </c>
      <c r="T213" s="283">
        <f t="shared" si="342"/>
        <v>0</v>
      </c>
      <c r="U213" s="282">
        <f t="shared" ref="U213:X213" si="343">U215/U220</f>
        <v>645.1200000000001</v>
      </c>
      <c r="V213" s="282">
        <f t="shared" si="343"/>
        <v>677.3760000000001</v>
      </c>
      <c r="W213" s="282">
        <f t="shared" si="343"/>
        <v>711.2448000000002</v>
      </c>
      <c r="X213" s="282">
        <f t="shared" si="343"/>
        <v>746.8070400000001</v>
      </c>
      <c r="Y213" s="283">
        <f>SUM(U213:X213)</f>
        <v>2780.54784</v>
      </c>
      <c r="Z213" s="282">
        <f t="shared" ref="Z213:AC213" si="344">Z215/Z220</f>
        <v>784.1473920000002</v>
      </c>
      <c r="AA213" s="282">
        <f t="shared" si="344"/>
        <v>823.3547616000003</v>
      </c>
      <c r="AB213" s="282">
        <f t="shared" si="344"/>
        <v>864.5224996800004</v>
      </c>
      <c r="AC213" s="282">
        <f t="shared" si="344"/>
        <v>907.7486246640004</v>
      </c>
      <c r="AD213" s="283">
        <f>SUM(Z213:AC213)</f>
        <v>3379.773277944001</v>
      </c>
      <c r="AE213" s="283">
        <f t="shared" ref="AE213:AG213" si="345">AE215/AE220</f>
        <v>3548.7619418412023</v>
      </c>
      <c r="AF213" s="283">
        <f t="shared" si="345"/>
        <v>3726.200038933263</v>
      </c>
      <c r="AG213" s="283">
        <f t="shared" si="345"/>
        <v>3912.5100408799262</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17223</v>
      </c>
      <c r="P214" s="320">
        <v>20464</v>
      </c>
      <c r="Q214" s="320">
        <v>20388</v>
      </c>
      <c r="R214" s="320">
        <v>20240</v>
      </c>
      <c r="S214" s="320">
        <v>21008</v>
      </c>
      <c r="T214" s="321">
        <f>O214+T215-T213</f>
        <v>21008</v>
      </c>
      <c r="U214" s="322">
        <f>S214+U215-U213</f>
        <v>21169.280000000002</v>
      </c>
      <c r="V214" s="322">
        <f t="shared" ref="V214" si="346">U214+V215-V213</f>
        <v>21338.624000000003</v>
      </c>
      <c r="W214" s="322">
        <f t="shared" ref="W214" si="347">V214+W215-W213</f>
        <v>21516.435200000004</v>
      </c>
      <c r="X214" s="322">
        <f t="shared" ref="X214" si="348">W214+X215-X213</f>
        <v>21703.136960000003</v>
      </c>
      <c r="Y214" s="321">
        <f>T214+Y215-Y213</f>
        <v>21703.13696</v>
      </c>
      <c r="Z214" s="322">
        <f>X214+Z215-Z213</f>
        <v>21899.173808000003</v>
      </c>
      <c r="AA214" s="322">
        <f t="shared" ref="AA214:AC214" si="349">Z214+AA215-AA213</f>
        <v>22105.012498400003</v>
      </c>
      <c r="AB214" s="322">
        <f t="shared" si="349"/>
        <v>22321.143123320006</v>
      </c>
      <c r="AC214" s="322">
        <f t="shared" si="349"/>
        <v>22548.080279486006</v>
      </c>
      <c r="AD214" s="321">
        <f>Y214+AD215-AD213</f>
        <v>22548.080279486003</v>
      </c>
      <c r="AE214" s="321">
        <f t="shared" ref="AE214:AG214" si="350">AD214+AE215-AE213</f>
        <v>23435.2707649463</v>
      </c>
      <c r="AF214" s="321">
        <f t="shared" si="350"/>
        <v>24366.820774679614</v>
      </c>
      <c r="AG214" s="321">
        <f t="shared" si="350"/>
        <v>25344.948284899598</v>
      </c>
      <c r="AH214" s="8"/>
      <c r="AI214" s="8"/>
      <c r="AJ214" s="8"/>
    </row>
    <row r="215" ht="12.75" customHeight="1" hidden="1" spans="1:36" x14ac:dyDescent="0.25" outlineLevel="1" collapsed="1">
      <c r="A215" s="8"/>
      <c r="B215" s="8"/>
      <c r="C215" s="130" t="s">
        <v>247</v>
      </c>
      <c r="D215" s="8"/>
      <c r="E215" s="8"/>
      <c r="F215" s="320">
        <f>F214+F213-(0)</f>
        <v>0</v>
      </c>
      <c r="G215" s="320">
        <f t="shared" ref="G215:I215" si="351">G214+G213-F214</f>
        <v>0</v>
      </c>
      <c r="H215" s="320">
        <f t="shared" si="351"/>
        <v>0</v>
      </c>
      <c r="I215" s="320">
        <f t="shared" si="351"/>
        <v>0</v>
      </c>
      <c r="J215" s="321">
        <f>SUM(F215:I215)</f>
        <v>0</v>
      </c>
      <c r="K215" s="320">
        <f t="shared" ref="K215:L215" si="352">K214+K213-J214</f>
        <v>0</v>
      </c>
      <c r="L215" s="320">
        <f t="shared" si="352"/>
        <v>0</v>
      </c>
      <c r="M215" s="320">
        <f>M214+M213-15631</f>
        <v>620</v>
      </c>
      <c r="N215" s="320">
        <f>N214+N213-M214</f>
        <v>972</v>
      </c>
      <c r="O215" s="321">
        <f>SUM(M215:N215)</f>
        <v>1592</v>
      </c>
      <c r="P215" s="320">
        <f t="shared" ref="P215:S215" si="353">P214+P213-O214</f>
        <v>3241</v>
      </c>
      <c r="Q215" s="320">
        <f t="shared" si="353"/>
        <v>-76</v>
      </c>
      <c r="R215" s="320">
        <f t="shared" si="353"/>
        <v>-148</v>
      </c>
      <c r="S215" s="320">
        <f t="shared" si="353"/>
        <v>768</v>
      </c>
      <c r="T215" s="321">
        <f>SUM(P215:S215)</f>
        <v>3785</v>
      </c>
      <c r="U215" s="322">
        <f>S215*(1+U216)</f>
        <v>806.4000000000001</v>
      </c>
      <c r="V215" s="322">
        <f t="shared" ref="V215" si="354">U215*(1+V216)</f>
        <v>846.7200000000001</v>
      </c>
      <c r="W215" s="322">
        <f t="shared" ref="W215" si="355">V215*(1+W216)</f>
        <v>889.0560000000002</v>
      </c>
      <c r="X215" s="322">
        <f t="shared" ref="X215" si="356">W215*(1+X216)</f>
        <v>933.5088000000002</v>
      </c>
      <c r="Y215" s="321">
        <f>SUM(U215:X215)</f>
        <v>3475.6848000000005</v>
      </c>
      <c r="Z215" s="322">
        <f>X215*(1+Z216)</f>
        <v>980.1842400000003</v>
      </c>
      <c r="AA215" s="322">
        <f t="shared" ref="AA215:AC215" si="357">Z215*(1+AA216)</f>
        <v>1029.1934520000004</v>
      </c>
      <c r="AB215" s="322">
        <f t="shared" si="357"/>
        <v>1080.6531246000004</v>
      </c>
      <c r="AC215" s="322">
        <f t="shared" si="357"/>
        <v>1134.6857808300006</v>
      </c>
      <c r="AD215" s="321">
        <f>SUM(Z215:AC215)</f>
        <v>4224.716597430002</v>
      </c>
      <c r="AE215" s="321">
        <f t="shared" ref="AE215:AG215" si="358">AD215*(1+AE216)</f>
        <v>4435.952427301503</v>
      </c>
      <c r="AF215" s="321">
        <f t="shared" si="358"/>
        <v>4657.750048666579</v>
      </c>
      <c r="AG215" s="321">
        <f t="shared" si="358"/>
        <v>4890.637551099908</v>
      </c>
      <c r="AH215" s="8"/>
      <c r="AI215" s="8"/>
      <c r="AJ215" s="8"/>
    </row>
    <row r="216" ht="12.75" customHeight="1" hidden="1" spans="1:36" x14ac:dyDescent="0.25" outlineLevel="1" collapsed="1">
      <c r="A216" s="8"/>
      <c r="B216" s="8"/>
      <c r="C216" s="110" t="s">
        <v>248</v>
      </c>
      <c r="D216" s="8"/>
      <c r="E216" s="8"/>
      <c r="F216" s="314"/>
      <c r="G216" s="311" t="str">
        <f t="shared" ref="G216:I216" si="359">IFERROR(G215/F215-1,"--")</f>
        <v>--</v>
      </c>
      <c r="H216" s="311" t="str">
        <f t="shared" si="359"/>
        <v>--</v>
      </c>
      <c r="I216" s="311" t="str">
        <f t="shared" si="359"/>
        <v>--</v>
      </c>
      <c r="J216" s="165"/>
      <c r="K216" s="311" t="str">
        <f>IFERROR(K215/I215-1,"--")</f>
        <v>--</v>
      </c>
      <c r="L216" s="311" t="str">
        <f t="shared" ref="L216:N216" si="360">IFERROR(L215/K215-1,"--")</f>
        <v>--</v>
      </c>
      <c r="M216" s="311" t="str">
        <f t="shared" si="360"/>
        <v>--</v>
      </c>
      <c r="N216" s="311">
        <f t="shared" si="360"/>
        <v>0.5677419354838709</v>
      </c>
      <c r="O216" s="312" t="str">
        <f>IFERROR(O215/J215-1,"--")</f>
        <v>--</v>
      </c>
      <c r="P216" s="311">
        <f>IFERROR(P215/N215-1,"--")</f>
        <v>2.3343621399176953</v>
      </c>
      <c r="Q216" s="311">
        <f t="shared" ref="Q216:S216" si="361">IFERROR(Q215/P215-1,"--")</f>
        <v>-1.02344955260722</v>
      </c>
      <c r="R216" s="311">
        <f t="shared" si="361"/>
        <v>0.9473684210526316</v>
      </c>
      <c r="S216" s="311">
        <f t="shared" si="361"/>
        <v>-6.1891891891891895</v>
      </c>
      <c r="T216" s="312">
        <f>IFERROR(T215/O215-1,"--")</f>
        <v>1.3775125628140703</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t="e">
        <f t="shared" ref="F220:T220" si="362">F215/F213</f>
        <v>#DIV/0!</v>
      </c>
      <c r="G220" s="334" t="e">
        <f t="shared" si="362"/>
        <v>#DIV/0!</v>
      </c>
      <c r="H220" s="334" t="e">
        <f t="shared" si="362"/>
        <v>#DIV/0!</v>
      </c>
      <c r="I220" s="334" t="e">
        <f t="shared" si="362"/>
        <v>#DIV/0!</v>
      </c>
      <c r="J220" s="335" t="e">
        <f t="shared" si="362"/>
        <v>#DIV/0!</v>
      </c>
      <c r="K220" s="334" t="e">
        <f t="shared" si="362"/>
        <v>#DIV/0!</v>
      </c>
      <c r="L220" s="334" t="e">
        <f t="shared" si="362"/>
        <v>#DIV/0!</v>
      </c>
      <c r="M220" s="334" t="e">
        <f t="shared" si="362"/>
        <v>#DIV/0!</v>
      </c>
      <c r="N220" s="334" t="e">
        <f t="shared" si="362"/>
        <v>#DIV/0!</v>
      </c>
      <c r="O220" s="335" t="e">
        <f t="shared" si="362"/>
        <v>#DIV/0!</v>
      </c>
      <c r="P220" s="334" t="e">
        <f t="shared" si="362"/>
        <v>#DIV/0!</v>
      </c>
      <c r="Q220" s="334" t="e">
        <f t="shared" si="362"/>
        <v>#DIV/0!</v>
      </c>
      <c r="R220" s="334" t="e">
        <f t="shared" si="362"/>
        <v>#DIV/0!</v>
      </c>
      <c r="S220" s="334" t="e">
        <f t="shared" si="362"/>
        <v>#DIV/0!</v>
      </c>
      <c r="T220" s="335" t="e">
        <f t="shared" si="362"/>
        <v>#DIV/0!</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0</v>
      </c>
      <c r="G225" s="310">
        <f t="shared" si="363"/>
        <v>0</v>
      </c>
      <c r="H225" s="310">
        <f t="shared" si="363"/>
        <v>0</v>
      </c>
      <c r="I225" s="310">
        <f t="shared" si="363"/>
        <v>0</v>
      </c>
      <c r="J225" s="283">
        <f t="shared" si="363"/>
        <v>0</v>
      </c>
      <c r="K225" s="310">
        <f t="shared" si="363"/>
        <v>0</v>
      </c>
      <c r="L225" s="310">
        <f t="shared" si="363"/>
        <v>0</v>
      </c>
      <c r="M225" s="310">
        <f t="shared" si="363"/>
        <v>0</v>
      </c>
      <c r="N225" s="310">
        <f t="shared" si="363"/>
        <v>0</v>
      </c>
      <c r="O225" s="283">
        <f t="shared" si="363"/>
        <v>0</v>
      </c>
      <c r="P225" s="310">
        <f t="shared" si="363"/>
        <v>0</v>
      </c>
      <c r="Q225" s="310">
        <f t="shared" si="363"/>
        <v>0</v>
      </c>
      <c r="R225" s="310">
        <f t="shared" si="363"/>
        <v>0</v>
      </c>
      <c r="S225" s="310">
        <f t="shared" si="363"/>
        <v>0</v>
      </c>
      <c r="T225" s="283">
        <f t="shared" si="363"/>
        <v>0</v>
      </c>
      <c r="U225" s="282">
        <f t="shared" ref="U225:X225" si="364">U227/U232</f>
        <v>0</v>
      </c>
      <c r="V225" s="282">
        <f t="shared" si="364"/>
        <v>0</v>
      </c>
      <c r="W225" s="282">
        <f t="shared" si="364"/>
        <v>0</v>
      </c>
      <c r="X225" s="282">
        <f t="shared" si="364"/>
        <v>0</v>
      </c>
      <c r="Y225" s="283">
        <f>SUM(U225:X225)</f>
        <v>0</v>
      </c>
      <c r="Z225" s="282">
        <f t="shared" ref="Z225:AC225" si="365">Z227/Z232</f>
        <v>0</v>
      </c>
      <c r="AA225" s="282">
        <f t="shared" si="365"/>
        <v>0</v>
      </c>
      <c r="AB225" s="282">
        <f t="shared" si="365"/>
        <v>0</v>
      </c>
      <c r="AC225" s="282">
        <f t="shared" si="365"/>
        <v>0</v>
      </c>
      <c r="AD225" s="283">
        <f>SUM(Z225:AC225)</f>
        <v>0</v>
      </c>
      <c r="AE225" s="283">
        <f t="shared" ref="AE225:AG225" si="366">AE227/AE232</f>
        <v>0</v>
      </c>
      <c r="AF225" s="283">
        <f t="shared" si="366"/>
        <v>0</v>
      </c>
      <c r="AG225" s="283">
        <f t="shared" si="366"/>
        <v>0</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 t="shared" ref="V226" si="367">U226+V227-V225</f>
        <v>0</v>
      </c>
      <c r="W226" s="322">
        <f t="shared" ref="W226" si="368">V226+W227-W225</f>
        <v>0</v>
      </c>
      <c r="X226" s="322">
        <f t="shared" ref="X226" si="369">W226+X227-X225</f>
        <v>0</v>
      </c>
      <c r="Y226" s="321">
        <f>T226+Y227-Y225</f>
        <v>0</v>
      </c>
      <c r="Z226" s="322">
        <f>X226+Z227-Z225</f>
        <v>0</v>
      </c>
      <c r="AA226" s="322">
        <f t="shared" ref="AA226:AC226" si="370">Z226+AA227-AA225</f>
        <v>0</v>
      </c>
      <c r="AB226" s="322">
        <f t="shared" si="370"/>
        <v>0</v>
      </c>
      <c r="AC226" s="322">
        <f t="shared" si="370"/>
        <v>0</v>
      </c>
      <c r="AD226" s="321">
        <f>Y226+AD227-AD225</f>
        <v>0</v>
      </c>
      <c r="AE226" s="321">
        <f t="shared" ref="AE226:AG226" si="371">AD226+AE227-AE225</f>
        <v>0</v>
      </c>
      <c r="AF226" s="321">
        <f t="shared" si="371"/>
        <v>0</v>
      </c>
      <c r="AG226" s="321">
        <f t="shared" si="371"/>
        <v>0</v>
      </c>
      <c r="AH226" s="8"/>
      <c r="AI226" s="8"/>
      <c r="AJ226" s="8"/>
    </row>
    <row r="227" ht="12.75" customHeight="1" hidden="1" spans="1:36" x14ac:dyDescent="0.25" outlineLevel="1" collapsed="1">
      <c r="A227" s="8"/>
      <c r="B227" s="8"/>
      <c r="C227" s="130" t="s">
        <v>247</v>
      </c>
      <c r="D227" s="8"/>
      <c r="E227" s="8"/>
      <c r="F227" s="320">
        <f>F226+F225-(0)</f>
        <v>0</v>
      </c>
      <c r="G227" s="320">
        <f t="shared" ref="G227:I227" si="372">G226+G225-F226</f>
        <v>0</v>
      </c>
      <c r="H227" s="320">
        <f t="shared" si="372"/>
        <v>0</v>
      </c>
      <c r="I227" s="320">
        <f t="shared" si="372"/>
        <v>0</v>
      </c>
      <c r="J227" s="321">
        <f>SUM(F227:I227)</f>
        <v>0</v>
      </c>
      <c r="K227" s="320">
        <f t="shared" ref="K227:N227" si="373">K226+K225-J226</f>
        <v>0</v>
      </c>
      <c r="L227" s="320">
        <f t="shared" si="373"/>
        <v>0</v>
      </c>
      <c r="M227" s="320">
        <f t="shared" si="373"/>
        <v>0</v>
      </c>
      <c r="N227" s="320">
        <f t="shared" si="373"/>
        <v>0</v>
      </c>
      <c r="O227" s="321">
        <f>SUM(K227:N227)</f>
        <v>0</v>
      </c>
      <c r="P227" s="320">
        <f t="shared" ref="P227:S227" si="374">P226+P225-O226</f>
        <v>0</v>
      </c>
      <c r="Q227" s="320">
        <f t="shared" si="374"/>
        <v>0</v>
      </c>
      <c r="R227" s="320">
        <f t="shared" si="374"/>
        <v>0</v>
      </c>
      <c r="S227" s="320">
        <f t="shared" si="374"/>
        <v>0</v>
      </c>
      <c r="T227" s="321">
        <f>SUM(P227:S227)</f>
        <v>0</v>
      </c>
      <c r="U227" s="322">
        <f>S227*(1+U228)</f>
        <v>0</v>
      </c>
      <c r="V227" s="322">
        <f t="shared" ref="V227" si="375">U227*(1+V228)</f>
        <v>0</v>
      </c>
      <c r="W227" s="322">
        <f t="shared" ref="W227" si="376">V227*(1+W228)</f>
        <v>0</v>
      </c>
      <c r="X227" s="322">
        <f t="shared" ref="X227" si="377">W227*(1+X228)</f>
        <v>0</v>
      </c>
      <c r="Y227" s="321">
        <f>SUM(U227:X227)</f>
        <v>0</v>
      </c>
      <c r="Z227" s="322">
        <f>X227*(1+Z228)</f>
        <v>0</v>
      </c>
      <c r="AA227" s="322">
        <f t="shared" ref="AA227:AC227" si="378">Z227*(1+AA228)</f>
        <v>0</v>
      </c>
      <c r="AB227" s="322">
        <f t="shared" si="378"/>
        <v>0</v>
      </c>
      <c r="AC227" s="322">
        <f t="shared" si="378"/>
        <v>0</v>
      </c>
      <c r="AD227" s="321">
        <f>SUM(Z227:AC227)</f>
        <v>0</v>
      </c>
      <c r="AE227" s="321">
        <f t="shared" ref="AE227:AG227" si="379">AD227*(1+AE228)</f>
        <v>0</v>
      </c>
      <c r="AF227" s="321">
        <f t="shared" si="379"/>
        <v>0</v>
      </c>
      <c r="AG227" s="321">
        <f t="shared" si="379"/>
        <v>0</v>
      </c>
      <c r="AH227" s="8"/>
      <c r="AI227" s="8"/>
      <c r="AJ227" s="8"/>
    </row>
    <row r="228" ht="12.75" customHeight="1" hidden="1" spans="1:36" x14ac:dyDescent="0.25" outlineLevel="1" collapsed="1">
      <c r="A228" s="8"/>
      <c r="B228" s="8"/>
      <c r="C228" s="110" t="s">
        <v>248</v>
      </c>
      <c r="D228" s="8"/>
      <c r="E228" s="8"/>
      <c r="F228" s="314"/>
      <c r="G228" s="311" t="str">
        <f t="shared" ref="G228:I228" si="380">IFERROR(G227/F227-1,"--")</f>
        <v>--</v>
      </c>
      <c r="H228" s="311" t="str">
        <f t="shared" si="380"/>
        <v>--</v>
      </c>
      <c r="I228" s="311" t="str">
        <f t="shared" si="380"/>
        <v>--</v>
      </c>
      <c r="J228" s="165"/>
      <c r="K228" s="311" t="str">
        <f>IFERROR(K227/I227-1,"--")</f>
        <v>--</v>
      </c>
      <c r="L228" s="311" t="str">
        <f t="shared" ref="L228:N228" si="381">IFERROR(L227/K227-1,"--")</f>
        <v>--</v>
      </c>
      <c r="M228" s="311" t="str">
        <f t="shared" si="381"/>
        <v>--</v>
      </c>
      <c r="N228" s="311" t="str">
        <f t="shared" si="381"/>
        <v>--</v>
      </c>
      <c r="O228" s="312" t="str">
        <f>IFERROR(O227/J227-1,"--")</f>
        <v>--</v>
      </c>
      <c r="P228" s="311" t="str">
        <f>IFERROR(P227/N227-1,"--")</f>
        <v>--</v>
      </c>
      <c r="Q228" s="311" t="str">
        <f t="shared" ref="Q228:S228" si="382">IFERROR(Q227/P227-1,"--")</f>
        <v>--</v>
      </c>
      <c r="R228" s="311" t="str">
        <f t="shared" si="382"/>
        <v>--</v>
      </c>
      <c r="S228" s="311" t="str">
        <f t="shared" si="382"/>
        <v>--</v>
      </c>
      <c r="T228" s="312" t="str">
        <f>IFERROR(T227/O227-1,"--")</f>
        <v>--</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t="e">
        <f t="shared" ref="F232:T232" si="383">F227/F225</f>
        <v>#DIV/0!</v>
      </c>
      <c r="G232" s="334" t="e">
        <f t="shared" si="383"/>
        <v>#DIV/0!</v>
      </c>
      <c r="H232" s="334" t="e">
        <f t="shared" si="383"/>
        <v>#DIV/0!</v>
      </c>
      <c r="I232" s="334" t="e">
        <f t="shared" si="383"/>
        <v>#DIV/0!</v>
      </c>
      <c r="J232" s="335" t="e">
        <f t="shared" si="383"/>
        <v>#DIV/0!</v>
      </c>
      <c r="K232" s="334" t="e">
        <f t="shared" si="383"/>
        <v>#DIV/0!</v>
      </c>
      <c r="L232" s="334" t="e">
        <f t="shared" si="383"/>
        <v>#DIV/0!</v>
      </c>
      <c r="M232" s="334" t="e">
        <f t="shared" si="383"/>
        <v>#DIV/0!</v>
      </c>
      <c r="N232" s="334" t="e">
        <f t="shared" si="383"/>
        <v>#DIV/0!</v>
      </c>
      <c r="O232" s="335" t="e">
        <f t="shared" si="383"/>
        <v>#DIV/0!</v>
      </c>
      <c r="P232" s="334" t="e">
        <f t="shared" si="383"/>
        <v>#DIV/0!</v>
      </c>
      <c r="Q232" s="334" t="e">
        <f t="shared" si="383"/>
        <v>#DIV/0!</v>
      </c>
      <c r="R232" s="334" t="e">
        <f t="shared" si="383"/>
        <v>#DIV/0!</v>
      </c>
      <c r="S232" s="334" t="e">
        <f t="shared" si="383"/>
        <v>#DIV/0!</v>
      </c>
      <c r="T232" s="335" t="e">
        <f t="shared" si="383"/>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C289" sqref="C289"/>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1780.56</v>
      </c>
      <c r="G28" s="348">
        <f>'Segment Analysis'!G7</f>
        <v>1651.242</v>
      </c>
      <c r="H28" s="348">
        <f>'Segment Analysis'!H7</f>
        <v>2040.8880000000001</v>
      </c>
      <c r="I28" s="348">
        <f>'Segment Analysis'!I7</f>
        <v>1968.6900000000005</v>
      </c>
      <c r="J28" s="278">
        <f t="shared" ref="J28:J30" si="7">SUM(F28:I28)</f>
        <v>7441.38</v>
      </c>
      <c r="K28" s="348">
        <f>'Segment Analysis'!K7</f>
        <v>2551.9</v>
      </c>
      <c r="L28" s="348">
        <f>'Segment Analysis'!L7</f>
        <v>2516.23</v>
      </c>
      <c r="M28" s="348">
        <f>'Segment Analysis'!M7</f>
        <v>2595.48</v>
      </c>
      <c r="N28" s="348">
        <f>'Segment Analysis'!N7</f>
        <v>2851.4590000000003</v>
      </c>
      <c r="O28" s="278">
        <f t="shared" ref="O28:O30" si="8">SUM(K28:N28)</f>
        <v>10515.069000000001</v>
      </c>
      <c r="P28" s="348">
        <f>'Segment Analysis'!P7</f>
        <v>2472.8640000000005</v>
      </c>
      <c r="Q28" s="348">
        <f>'Segment Analysis'!Q7</f>
        <v>2494.315</v>
      </c>
      <c r="R28" s="348">
        <f>'Segment Analysis'!R7</f>
        <v>2907.6740000000004</v>
      </c>
      <c r="S28" s="348">
        <f>'Segment Analysis'!S7</f>
        <v>2948.8239999999987</v>
      </c>
      <c r="T28" s="278">
        <f t="shared" ref="T28:T30" si="9">SUM(P28:S28)</f>
        <v>10823.677</v>
      </c>
      <c r="U28" s="277">
        <f>'Segment Analysis'!U7</f>
        <v>2742.8525100000006</v>
      </c>
      <c r="V28" s="277">
        <f>'Segment Analysis'!V7</f>
        <v>2804.45528</v>
      </c>
      <c r="W28" s="277">
        <f>'Segment Analysis'!W7</f>
        <v>3225.2027500000004</v>
      </c>
      <c r="X28" s="277">
        <f>'Segment Analysis'!X7</f>
        <v>3219.017969999999</v>
      </c>
      <c r="Y28" s="278">
        <f t="shared" ref="Y28:Y30" si="10">SUM(U28:X28)</f>
        <v>11991.52851</v>
      </c>
      <c r="Z28" s="277">
        <f>'Segment Analysis'!Z7</f>
        <v>2948.7114171000007</v>
      </c>
      <c r="AA28" s="277">
        <f>'Segment Analysis'!AA7</f>
        <v>3086.9714088000005</v>
      </c>
      <c r="AB28" s="277">
        <f>'Segment Analysis'!AB7</f>
        <v>3511.418069500001</v>
      </c>
      <c r="AC28" s="277">
        <f>'Segment Analysis'!AC7</f>
        <v>3473.7289899999987</v>
      </c>
      <c r="AD28" s="278">
        <f t="shared" ref="AD28:AD30" si="11">SUM(Z28:AC28)</f>
        <v>13020.829885400002</v>
      </c>
      <c r="AE28" s="278">
        <f>'Segment Analysis'!AE7</f>
        <v>13894.990803084002</v>
      </c>
      <c r="AF28" s="278">
        <f>'Segment Analysis'!AF7</f>
        <v>14550.91656634524</v>
      </c>
      <c r="AG28" s="278">
        <f>'Segment Analysis'!AG7</f>
        <v>14977.125595263211</v>
      </c>
      <c r="AH28" s="8"/>
      <c r="AI28" s="8"/>
      <c r="AJ28" s="8"/>
      <c r="AK28" s="8"/>
    </row>
    <row r="29" ht="15.75" customHeight="1" spans="1:37" x14ac:dyDescent="0.25">
      <c r="A29" s="260"/>
      <c r="B29" s="8"/>
      <c r="C29" s="130" t="s">
        <v>117</v>
      </c>
      <c r="D29" s="8"/>
      <c r="E29" s="8"/>
      <c r="F29" s="349">
        <v>-823</v>
      </c>
      <c r="G29" s="349">
        <v>-840</v>
      </c>
      <c r="H29" s="349">
        <v>-806</v>
      </c>
      <c r="I29" s="349">
        <v>-713</v>
      </c>
      <c r="J29" s="350">
        <f t="shared" si="7"/>
        <v>-2740.982</v>
      </c>
      <c r="K29" s="349">
        <v>-644</v>
      </c>
      <c r="L29" s="349">
        <v>-859.851</v>
      </c>
      <c r="M29" s="349">
        <v>-912.037</v>
      </c>
      <c r="N29" s="349">
        <v>-894.639</v>
      </c>
      <c r="O29" s="350">
        <f t="shared" si="8"/>
        <v>-3480.2660000000005</v>
      </c>
      <c r="P29" s="349">
        <v>-879.845</v>
      </c>
      <c r="Q29" s="349">
        <v>-859.868</v>
      </c>
      <c r="R29" s="349">
        <v>-860.242</v>
      </c>
      <c r="S29" s="349">
        <v>-879.971</v>
      </c>
      <c r="T29" s="350">
        <f t="shared" si="9"/>
        <v>-3479.926</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1283.4879999999998</v>
      </c>
      <c r="G30" s="348">
        <f t="shared" si="15"/>
        <v>1037.67</v>
      </c>
      <c r="H30" s="348">
        <f t="shared" si="15"/>
        <v>1182.082</v>
      </c>
      <c r="I30" s="348">
        <f t="shared" si="15"/>
        <v>1197.1580000000004</v>
      </c>
      <c r="J30" s="278">
        <f t="shared" si="7"/>
        <v>4700.398</v>
      </c>
      <c r="K30" s="348">
        <f t="shared" ref="K30:N30" si="16">SUM(K28:K29)</f>
        <v>1738.161</v>
      </c>
      <c r="L30" s="348">
        <f t="shared" si="16"/>
        <v>1656.379</v>
      </c>
      <c r="M30" s="348">
        <f t="shared" si="16"/>
        <v>1683.443</v>
      </c>
      <c r="N30" s="348">
        <f t="shared" si="16"/>
        <v>1956.8200000000002</v>
      </c>
      <c r="O30" s="278">
        <f t="shared" si="8"/>
        <v>7034.803</v>
      </c>
      <c r="P30" s="348">
        <f t="shared" ref="P30:S30" si="17">SUM(P28:P29)</f>
        <v>1593.0190000000005</v>
      </c>
      <c r="Q30" s="348">
        <f t="shared" si="17"/>
        <v>1634.4470000000001</v>
      </c>
      <c r="R30" s="348">
        <f t="shared" si="17"/>
        <v>2047.4320000000005</v>
      </c>
      <c r="S30" s="348">
        <f t="shared" si="17"/>
        <v>2068.8529999999987</v>
      </c>
      <c r="T30" s="278">
        <f t="shared" si="9"/>
        <v>7343.751</v>
      </c>
      <c r="U30" s="277">
        <f>IF(Cover!$F$37="Bottom Up",(U36-SUM(U32:U33,U35)),U28+U29)</f>
        <v>1901.7557325000007</v>
      </c>
      <c r="V30" s="277">
        <f>IF(Cover!$F$37="Bottom Up",(V36-SUM(V32:V33,V35)),V28+V29)</f>
        <v>1909.5562750000001</v>
      </c>
      <c r="W30" s="277">
        <f>IF(Cover!$F$37="Bottom Up",(W36-SUM(W32:W33,W35)),W28+W29)</f>
        <v>2275.2515175000003</v>
      </c>
      <c r="X30" s="277">
        <f>IF(Cover!$F$37="Bottom Up",(X36-SUM(X32:X33,X35)),X28+X29)</f>
        <v>2296.6189649999988</v>
      </c>
      <c r="Y30" s="278">
        <f t="shared" si="10"/>
        <v>8383.18249</v>
      </c>
      <c r="Z30" s="277">
        <f>IF(Cover!$F$37="Bottom Up",(Z36-SUM(Z32:Z33,Z35)),Z28+Z29)</f>
        <v>2067.029263300001</v>
      </c>
      <c r="AA30" s="277">
        <f>IF(Cover!$F$37="Bottom Up",(AA36-SUM(AA32:AA33,AA35)),AA28+AA29)</f>
        <v>2192.339255000001</v>
      </c>
      <c r="AB30" s="277">
        <f>IF(Cover!$F$37="Bottom Up",(AB36-SUM(AB32:AB33,AB35)),AB28+AB29)</f>
        <v>2603.835915700001</v>
      </c>
      <c r="AC30" s="277">
        <f>IF(Cover!$F$37="Bottom Up",(AC36-SUM(AC32:AC33,AC35)),AC28+AC29)</f>
        <v>2553.196836199999</v>
      </c>
      <c r="AD30" s="278">
        <f t="shared" si="11"/>
        <v>9416.401270200002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-2535.272</v>
      </c>
      <c r="K32" s="354">
        <v>-926.871</v>
      </c>
      <c r="L32" s="354">
        <v>-861.993</v>
      </c>
      <c r="M32" s="354">
        <v>-889.098</v>
      </c>
      <c r="N32" s="354">
        <v>-981.626</v>
      </c>
      <c r="O32" s="157">
        <f t="shared" ref="O32:O36" si="19">SUM(K32:N32)</f>
        <v>-3659.5879999999997</v>
      </c>
      <c r="P32" s="354">
        <v>-841.127</v>
      </c>
      <c r="Q32" s="354">
        <v>-854.839</v>
      </c>
      <c r="R32" s="354">
        <v>-1083.51</v>
      </c>
      <c r="S32" s="354">
        <v>-1080.779</v>
      </c>
      <c r="T32" s="157">
        <f t="shared" ref="T32:T36" si="20">SUM(P32:S32)</f>
        <v>-3860.2549999999997</v>
      </c>
      <c r="U32" s="355">
        <f>U67*U$30</f>
        <v>-988.9129809000004</v>
      </c>
      <c r="V32" s="355">
        <f t="shared" ref="V32:X32" si="21">V67*V$30</f>
        <v>-1002.5170443750001</v>
      </c>
      <c r="W32" s="355">
        <f t="shared" si="21"/>
        <v>-1194.5070466875002</v>
      </c>
      <c r="X32" s="355">
        <f t="shared" si="21"/>
        <v>-1182.7587669749994</v>
      </c>
      <c r="Y32" s="157">
        <f t="shared" ref="Y32:Y36" si="22">SUM(U32:X32)</f>
        <v>-4368.6958389374995</v>
      </c>
      <c r="Z32" s="355">
        <f>Z67*Z$30</f>
        <v>-1069.6876437577503</v>
      </c>
      <c r="AA32" s="355">
        <f t="shared" ref="AA32:AC32" si="23">AA67*AA$30</f>
        <v>-1129.0547163250005</v>
      </c>
      <c r="AB32" s="355">
        <f t="shared" si="23"/>
        <v>-1314.9371374285004</v>
      </c>
      <c r="AC32" s="355">
        <f t="shared" si="23"/>
        <v>-1263.8324339189994</v>
      </c>
      <c r="AD32" s="157">
        <f t="shared" ref="AD32:AD36" si="24">SUM(Z32:AC32)</f>
        <v>-4777.51193143025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-1496.1039999999998</v>
      </c>
      <c r="K33" s="354">
        <v>-429.314</v>
      </c>
      <c r="L33" s="354">
        <v>-437.776</v>
      </c>
      <c r="M33" s="354">
        <v>-414.949</v>
      </c>
      <c r="N33" s="354">
        <v>-515.156</v>
      </c>
      <c r="O33" s="157">
        <f t="shared" si="19"/>
        <v>-1797.195</v>
      </c>
      <c r="P33" s="354">
        <v>-441.713</v>
      </c>
      <c r="Q33" s="354">
        <v>-479.017</v>
      </c>
      <c r="R33" s="354">
        <v>-483.903</v>
      </c>
      <c r="S33" s="354">
        <v>-597.216</v>
      </c>
      <c r="T33" s="157">
        <f t="shared" si="20"/>
        <v>-2001.8490000000002</v>
      </c>
      <c r="U33" s="355">
        <f>U68*U$30</f>
        <v>-451.66698646875017</v>
      </c>
      <c r="V33" s="355">
        <f>V68*V$30</f>
        <v>-458.29350600000004</v>
      </c>
      <c r="W33" s="355">
        <f>W68*W$30</f>
        <v>-546.0603642000001</v>
      </c>
      <c r="X33" s="355">
        <f>X68*X$30</f>
        <v>-574.1547412499997</v>
      </c>
      <c r="Y33" s="157">
        <f t="shared" si="22"/>
        <v>-2030.1755979187499</v>
      </c>
      <c r="Z33" s="355">
        <f>Z68*Z$30</f>
        <v>-496.0870231920002</v>
      </c>
      <c r="AA33" s="355">
        <f>AA68*AA$30</f>
        <v>-515.1997249250002</v>
      </c>
      <c r="AB33" s="355">
        <f>AB68*AB$30</f>
        <v>-598.8822606110002</v>
      </c>
      <c r="AC33" s="355">
        <f>AC68*AC$30</f>
        <v>-574.4692881449997</v>
      </c>
      <c r="AD33" s="157">
        <f>SUM(Z33:AC33)</f>
        <v>-2184.6382968730004</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-11123</v>
      </c>
      <c r="G34" s="354">
        <v>-11589</v>
      </c>
      <c r="H34" s="354">
        <v>-12131</v>
      </c>
      <c r="I34" s="354">
        <v>-1135</v>
      </c>
      <c r="J34" s="157">
        <f t="shared" si="18"/>
        <v>-112.201</v>
      </c>
      <c r="K34" s="354">
        <v>-11684</v>
      </c>
      <c r="L34" s="354">
        <v>-12038</v>
      </c>
      <c r="M34" s="354">
        <v>-13442</v>
      </c>
      <c r="N34" s="354">
        <v>-1811</v>
      </c>
      <c r="O34" s="157">
        <f t="shared" si="19"/>
        <v>-190.326</v>
      </c>
      <c r="P34" s="354">
        <v>-14262</v>
      </c>
      <c r="Q34" s="354">
        <v>-15227</v>
      </c>
      <c r="R34" s="354">
        <v>-16796</v>
      </c>
      <c r="S34" s="354">
        <v>-3840</v>
      </c>
      <c r="T34" s="157">
        <f t="shared" si="20"/>
        <v>-192.281</v>
      </c>
      <c r="U34" s="355">
        <f>U76</f>
        <v>-45.1845375</v>
      </c>
      <c r="V34" s="355">
        <f t="shared" ref="V34:X34" si="26">V76</f>
        <v>-45.9563068069875</v>
      </c>
      <c r="W34" s="355">
        <f t="shared" si="26"/>
        <v>-46.09924510904429</v>
      </c>
      <c r="X34" s="355">
        <f t="shared" si="26"/>
        <v>-46.95459117435119</v>
      </c>
      <c r="Y34" s="157">
        <f t="shared" si="22"/>
        <v>-184.19468059038297</v>
      </c>
      <c r="Z34" s="355">
        <f>Z76</f>
        <v>-45.341201044088876</v>
      </c>
      <c r="AA34" s="355">
        <f t="shared" ref="AA34:AC34" si="27">AA76</f>
        <v>-46.007408890252954</v>
      </c>
      <c r="AB34" s="355">
        <f t="shared" si="27"/>
        <v>-45.99648817786875</v>
      </c>
      <c r="AC34" s="355">
        <f t="shared" si="27"/>
        <v>-45.75118990759355</v>
      </c>
      <c r="AD34" s="157">
        <f t="shared" si="24"/>
        <v>-183.09628801980412</v>
      </c>
      <c r="AE34" s="157">
        <f t="shared" ref="AE34:AG34" si="28">AE76</f>
        <v>-182.07061212384048</v>
      </c>
      <c r="AF34" s="157">
        <f t="shared" si="28"/>
        <v>-178.1965373852448</v>
      </c>
      <c r="AG34" s="157">
        <f t="shared" si="28"/>
        <v>-169.96234908879086</v>
      </c>
      <c r="AH34" s="8"/>
      <c r="AI34" s="8"/>
      <c r="AJ34" s="8"/>
      <c r="AK34" s="8"/>
    </row>
    <row r="35" ht="15.75" customHeight="1" spans="1:37" x14ac:dyDescent="0.25">
      <c r="A35" s="260"/>
      <c r="B35" s="8"/>
      <c r="C35" s="130" t="s">
        <v>261</v>
      </c>
      <c r="D35" s="8"/>
      <c r="E35" s="8"/>
      <c r="F35" s="356">
        <v>-67791</v>
      </c>
      <c r="G35" s="356">
        <v>-69373</v>
      </c>
      <c r="H35" s="356">
        <v>-75022</v>
      </c>
      <c r="I35" s="356">
        <v>-92553</v>
      </c>
      <c r="J35" s="357">
        <f t="shared" si="18"/>
        <v>-243.82399999999998</v>
      </c>
      <c r="K35" s="356">
        <v>-72633</v>
      </c>
      <c r="L35" s="356">
        <v>-73785</v>
      </c>
      <c r="M35" s="356">
        <v>-80977</v>
      </c>
      <c r="N35" s="356">
        <v>-98893</v>
      </c>
      <c r="O35" s="357">
        <f t="shared" si="19"/>
        <v>-433.201</v>
      </c>
      <c r="P35" s="356">
        <v>-76976</v>
      </c>
      <c r="Q35" s="356">
        <v>-80809</v>
      </c>
      <c r="R35" s="356">
        <v>-88670</v>
      </c>
      <c r="S35" s="356">
        <v>-109959</v>
      </c>
      <c r="T35" s="350">
        <f t="shared" si="20"/>
        <v>-471.08</v>
      </c>
      <c r="U35" s="351">
        <f t="shared" ref="U35:X35" si="29">U69*U$28</f>
        <v>-123.42836295000002</v>
      </c>
      <c r="V35" s="351">
        <f t="shared" si="29"/>
        <v>-98.15593480000001</v>
      </c>
      <c r="W35" s="351">
        <f t="shared" si="29"/>
        <v>-129.00811000000002</v>
      </c>
      <c r="X35" s="351">
        <f t="shared" si="29"/>
        <v>-136.80826372499996</v>
      </c>
      <c r="Y35" s="350">
        <f t="shared" si="22"/>
        <v>-487.40067147499997</v>
      </c>
      <c r="Z35" s="351">
        <f t="shared" ref="Z35:AC35" si="30">Z69*Z$28</f>
        <v>-132.69201376950002</v>
      </c>
      <c r="AA35" s="351">
        <f t="shared" si="30"/>
        <v>-138.91371339600002</v>
      </c>
      <c r="AB35" s="351">
        <f t="shared" si="30"/>
        <v>-158.01381312750004</v>
      </c>
      <c r="AC35" s="351">
        <f t="shared" si="30"/>
        <v>-156.31780454999995</v>
      </c>
      <c r="AD35" s="350">
        <f t="shared" si="24"/>
        <v>-585.9373448430001</v>
      </c>
      <c r="AE35" s="350">
        <f t="shared" ref="AE35:AG35" si="31">AE69*AE$28</f>
        <v>-694.7495401542001</v>
      </c>
      <c r="AF35" s="350">
        <f t="shared" si="31"/>
        <v>-727.545828317262</v>
      </c>
      <c r="AG35" s="350">
        <f t="shared" si="31"/>
        <v>-748.8562797631606</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158.0139999999999</v>
      </c>
      <c r="G36" s="348">
        <f t="shared" si="32"/>
        <v>17.979000000000042</v>
      </c>
      <c r="H36" s="348">
        <f t="shared" si="32"/>
        <v>91.0440000000001</v>
      </c>
      <c r="I36" s="348">
        <f t="shared" si="32"/>
        <v>45.960000000000264</v>
      </c>
      <c r="J36" s="278">
        <f>SUM(F36:I36)</f>
        <v>312.9970000000003</v>
      </c>
      <c r="K36" s="348">
        <f t="shared" ref="K36:N36" si="33">IF($C$34="Depreciation &amp; Amortization (incl. in SG&amp;A)",K30+SUM(K32:K33,K35),K30+SUM(K32:K35))</f>
        <v>220.20000000000005</v>
      </c>
      <c r="L36" s="348">
        <f t="shared" si="33"/>
        <v>227.6880000000001</v>
      </c>
      <c r="M36" s="348">
        <f t="shared" si="33"/>
        <v>252.57799999999997</v>
      </c>
      <c r="N36" s="348">
        <f t="shared" si="33"/>
        <v>254.02700000000027</v>
      </c>
      <c r="O36" s="278">
        <f t="shared" si="19"/>
        <v>954.4930000000004</v>
      </c>
      <c r="P36" s="348">
        <f t="shared" ref="P36:S36" si="34">IF($C$34="Depreciation &amp; Amortization (incl. in SG&amp;A)",P30+SUM(P32:P33,P35),P30+SUM(P32:P35))</f>
        <v>151.0650000000005</v>
      </c>
      <c r="Q36" s="348">
        <f t="shared" si="34"/>
        <v>134.9010000000003</v>
      </c>
      <c r="R36" s="348">
        <f t="shared" si="34"/>
        <v>331.8150000000005</v>
      </c>
      <c r="S36" s="348">
        <f t="shared" si="34"/>
        <v>200.50499999999874</v>
      </c>
      <c r="T36" s="278">
        <f t="shared" si="20"/>
        <v>818.2860000000001</v>
      </c>
      <c r="U36" s="277">
        <f>IF(Cover!$F$37="Bottom Up",'Segment Analysis'!U33,IF($C$34="Depreciation &amp; Amortization (incl. in SG&amp;A)",U30+SUM(U32:U33,U35),U30+SUM(U32:U35)))</f>
        <v>292.56286468124995</v>
      </c>
      <c r="V36" s="277">
        <f>IF(Cover!$F$37="Bottom Up",'Segment Analysis'!V33,IF($C$34="Depreciation &amp; Amortization (incl. in SG&amp;A)",V30+SUM(V32:V33,V35),V30+SUM(V32:V35)))</f>
        <v>304.6334830180126</v>
      </c>
      <c r="W36" s="277">
        <f>IF(Cover!$F$37="Bottom Up",'Segment Analysis'!W33,IF($C$34="Depreciation &amp; Amortization (incl. in SG&amp;A)",W30+SUM(W32:W33,W35),W30+SUM(W32:W35)))</f>
        <v>359.57675150345585</v>
      </c>
      <c r="X36" s="277">
        <f>IF(Cover!$F$37="Bottom Up",'Segment Analysis'!X33,IF($C$34="Depreciation &amp; Amortization (incl. in SG&amp;A)",X30+SUM(X32:X33,X35),X30+SUM(X32:X35)))</f>
        <v>355.9426018756485</v>
      </c>
      <c r="Y36" s="278">
        <f t="shared" si="22"/>
        <v>1312.715701078367</v>
      </c>
      <c r="Z36" s="277">
        <f>IF(Cover!$F$37="Bottom Up",'Segment Analysis'!Z33,IF($C$34="Depreciation &amp; Amortization (incl. in SG&amp;A)",Z30+SUM(Z32:Z33,Z35),Z30+SUM(Z32:Z35)))</f>
        <v>323.2213815366613</v>
      </c>
      <c r="AA36" s="277">
        <f>IF(Cover!$F$37="Bottom Up",'Segment Analysis'!AA33,IF($C$34="Depreciation &amp; Amortization (incl. in SG&amp;A)",AA30+SUM(AA32:AA33,AA35),AA30+SUM(AA32:AA35)))</f>
        <v>363.1636914637472</v>
      </c>
      <c r="AB36" s="277">
        <f>IF(Cover!$F$37="Bottom Up",'Segment Analysis'!AB33,IF($C$34="Depreciation &amp; Amortization (incl. in SG&amp;A)",AB30+SUM(AB32:AB33,AB35),AB30+SUM(AB32:AB35)))</f>
        <v>486.0062163551315</v>
      </c>
      <c r="AC36" s="277">
        <f>IF(Cover!$F$37="Bottom Up",'Segment Analysis'!AC33,IF($C$34="Depreciation &amp; Amortization (incl. in SG&amp;A)",AC30+SUM(AC32:AC33,AC35),AC30+SUM(AC32:AC35)))</f>
        <v>512.8261196784065</v>
      </c>
      <c r="AD36" s="278">
        <f t="shared" si="24"/>
        <v>1685.2174090339465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0</v>
      </c>
      <c r="G39" s="364">
        <v>0</v>
      </c>
      <c r="H39" s="364">
        <v>0</v>
      </c>
      <c r="I39" s="364">
        <v>0</v>
      </c>
      <c r="J39" s="365">
        <f t="shared" si="35"/>
        <v>0</v>
      </c>
      <c r="K39" s="364">
        <v>0</v>
      </c>
      <c r="L39" s="364">
        <v>0</v>
      </c>
      <c r="M39" s="364">
        <v>0</v>
      </c>
      <c r="N39" s="364">
        <v>0</v>
      </c>
      <c r="O39" s="365">
        <f t="shared" si="36"/>
        <v>0</v>
      </c>
      <c r="P39" s="364">
        <v>0</v>
      </c>
      <c r="Q39" s="364">
        <v>0</v>
      </c>
      <c r="R39" s="364">
        <v>0</v>
      </c>
      <c r="S39" s="364">
        <v>0</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-443</v>
      </c>
      <c r="G41" s="349">
        <v>61</v>
      </c>
      <c r="H41" s="349">
        <v>1031</v>
      </c>
      <c r="I41" s="349">
        <v>289</v>
      </c>
      <c r="J41" s="350">
        <f t="shared" si="35"/>
        <v>0</v>
      </c>
      <c r="K41" s="349">
        <v>-2673</v>
      </c>
      <c r="L41" s="349">
        <v>-18</v>
      </c>
      <c r="M41" s="349">
        <v>-27</v>
      </c>
      <c r="N41" s="349">
        <v>468</v>
      </c>
      <c r="O41" s="350">
        <f t="shared" si="36"/>
        <v>0</v>
      </c>
      <c r="P41" s="349">
        <v>2749</v>
      </c>
      <c r="Q41" s="349">
        <v>1117</v>
      </c>
      <c r="R41" s="349">
        <v>10186</v>
      </c>
      <c r="S41" s="349">
        <v>1177</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158.0139999999999</v>
      </c>
      <c r="G42" s="348">
        <f>G36+SUM(G38:G41)</f>
        <v>17.979000000000042</v>
      </c>
      <c r="H42" s="348">
        <f t="shared" si="46"/>
        <v>91.0440000000001</v>
      </c>
      <c r="I42" s="348">
        <f>I36+SUM(I38:I41)</f>
        <v>45.960000000000264</v>
      </c>
      <c r="J42" s="278">
        <f t="shared" si="35"/>
        <v>312.9970000000003</v>
      </c>
      <c r="K42" s="348">
        <f t="shared" ref="K42:L42" si="47">K36+SUM(K38:K41)</f>
        <v>220.20000000000005</v>
      </c>
      <c r="L42" s="348">
        <f t="shared" si="47"/>
        <v>227.6880000000001</v>
      </c>
      <c r="M42" s="348">
        <f t="shared" ref="M42:N42" si="48">IF($C$8="On",M36+SUM(M38:M41),IF($C$8="off",M36+SUM(M40:M41),"N/A"))</f>
        <v>252.57799999999997</v>
      </c>
      <c r="N42" s="348">
        <f t="shared" si="48"/>
        <v>254.02700000000027</v>
      </c>
      <c r="O42" s="278">
        <f t="shared" si="36"/>
        <v>954.4930000000004</v>
      </c>
      <c r="P42" s="348">
        <f t="shared" ref="P42:Q42" si="49">P36+SUM(P38:P41)</f>
        <v>151.0650000000005</v>
      </c>
      <c r="Q42" s="348">
        <f t="shared" si="49"/>
        <v>134.9010000000003</v>
      </c>
      <c r="R42" s="348">
        <f t="shared" ref="R42" si="50">IF($C$8="On",R36+SUM(R38:R41),IF($C$8="off",R36+SUM(R40:R41),"N/A"))</f>
        <v>331.8150000000005</v>
      </c>
      <c r="S42" s="348">
        <f t="shared" ref="S42" si="51">IF($C$8="On",S36+SUM(S38:S41),IF($C$8="off",S36+SUM(S40:S41),"N/A"))</f>
        <v>200.50499999999874</v>
      </c>
      <c r="T42" s="278">
        <f t="shared" si="37"/>
        <v>818.2860000000001</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-948</v>
      </c>
      <c r="G44" s="356">
        <v>-804</v>
      </c>
      <c r="H44" s="356">
        <v>-2306</v>
      </c>
      <c r="I44" s="356">
        <f>(-91.88-SUM(F44:H44))</f>
        <v>-16.826999999999998</v>
      </c>
      <c r="J44" s="357">
        <f t="shared" ref="J44:J45" si="55">SUM(F44:I44)</f>
        <v>-91.88</v>
      </c>
      <c r="K44" s="356">
        <v>-2467</v>
      </c>
      <c r="L44" s="356">
        <v>-1767</v>
      </c>
      <c r="M44" s="356">
        <v>-2706</v>
      </c>
      <c r="N44" s="356">
        <f>(-293.194-SUM(K44:M44))</f>
        <v>-86.11700000000002</v>
      </c>
      <c r="O44" s="357">
        <f t="shared" ref="O44:O45" si="56">SUM(K44:N44)</f>
        <v>-293.194</v>
      </c>
      <c r="P44" s="356">
        <v>-4553</v>
      </c>
      <c r="Q44" s="356">
        <v>-2678</v>
      </c>
      <c r="R44" s="356">
        <v>-6910</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129.3199999999999</v>
      </c>
      <c r="G45" s="348">
        <f t="shared" si="63"/>
        <v>8.744000000000042</v>
      </c>
      <c r="H45" s="348">
        <f t="shared" si="63"/>
        <v>53.920000000000094</v>
      </c>
      <c r="I45" s="348">
        <f>I42+I44</f>
        <v>29.133000000000266</v>
      </c>
      <c r="J45" s="278">
        <f t="shared" si="55"/>
        <v>221.11700000000033</v>
      </c>
      <c r="K45" s="348">
        <f t="shared" ref="K45:N45" si="64">K42+K44</f>
        <v>164.24100000000004</v>
      </c>
      <c r="L45" s="348">
        <f t="shared" si="64"/>
        <v>154.5810000000001</v>
      </c>
      <c r="M45" s="348">
        <f t="shared" si="64"/>
        <v>174.56699999999998</v>
      </c>
      <c r="N45" s="348">
        <f t="shared" si="64"/>
        <v>167.91000000000025</v>
      </c>
      <c r="O45" s="278">
        <f t="shared" si="56"/>
        <v>661.2990000000004</v>
      </c>
      <c r="P45" s="348">
        <f t="shared" ref="P45:S45" si="65">P42+P44</f>
        <v>136.8490000000005</v>
      </c>
      <c r="Q45" s="348">
        <f t="shared" si="65"/>
        <v>91.3950000000003</v>
      </c>
      <c r="R45" s="348">
        <f t="shared" si="65"/>
        <v>242.5040000000005</v>
      </c>
      <c r="S45" s="348">
        <f t="shared" si="65"/>
        <v>162.96799999999877</v>
      </c>
      <c r="T45" s="126">
        <f t="shared" si="57"/>
        <v>633.7160000000001</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-4.283999999999999</v>
      </c>
      <c r="J48" s="157">
        <f t="shared" si="69"/>
        <v>-14.616</v>
      </c>
      <c r="K48" s="354">
        <v>-14.189</v>
      </c>
      <c r="L48" s="354">
        <v>-13.741</v>
      </c>
      <c r="M48" s="354">
        <v>-20.785</v>
      </c>
      <c r="N48" s="354">
        <f>(-74.11-SUM(K48:M48))</f>
        <v>-25.394999999999996</v>
      </c>
      <c r="O48" s="157">
        <f t="shared" si="70"/>
        <v>-74.11</v>
      </c>
      <c r="P48" s="354">
        <v>-16.039</v>
      </c>
      <c r="Q48" s="354">
        <v>-11.046</v>
      </c>
      <c r="R48" s="354">
        <v>-28.559</v>
      </c>
      <c r="S48" s="354">
        <f>+-79.684-SUM(P48:R48)</f>
        <v>-24.039999999999992</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0</v>
      </c>
      <c r="L49" s="354">
        <v>0</v>
      </c>
      <c r="M49" s="354">
        <v>0</v>
      </c>
      <c r="N49" s="354">
        <v>0</v>
      </c>
      <c r="O49" s="157">
        <f t="shared" si="70"/>
        <v>3.6670000000000007</v>
      </c>
      <c r="P49" s="354">
        <v>0</v>
      </c>
      <c r="Q49" s="354">
        <v>0</v>
      </c>
      <c r="R49" s="354">
        <v>0</v>
      </c>
      <c r="S49" s="354">
        <v>-4.374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6.311</v>
      </c>
      <c r="G50" s="356">
        <v>3.711</v>
      </c>
      <c r="H50" s="356">
        <v>4.226</v>
      </c>
      <c r="I50" s="356">
        <f>(15.3-SUM(F50:H50))</f>
        <v>1.0519999999999996</v>
      </c>
      <c r="J50" s="357">
        <f t="shared" si="69"/>
        <v>15.3</v>
      </c>
      <c r="K50" s="356">
        <v>7.438</v>
      </c>
      <c r="L50" s="356">
        <v>4.79</v>
      </c>
      <c r="M50" s="356">
        <v>6.874</v>
      </c>
      <c r="N50" s="356">
        <f>(31.031-SUM(K50:M50))</f>
        <v>11.928999999999998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133.6149999999999</v>
      </c>
      <c r="G51" s="348">
        <f t="shared" si="74"/>
        <v>10.439000000000043</v>
      </c>
      <c r="H51" s="348">
        <f t="shared" si="74"/>
        <v>51.846000000000096</v>
      </c>
      <c r="I51" s="348">
        <f t="shared" si="74"/>
        <v>25.901000000000266</v>
      </c>
      <c r="J51" s="278">
        <f>SUM(F51:I51)</f>
        <v>221.8010000000003</v>
      </c>
      <c r="K51" s="348">
        <f t="shared" ref="K51:N51" si="75">SUM(K45:K50)</f>
        <v>149.59900000000005</v>
      </c>
      <c r="L51" s="348">
        <f t="shared" si="75"/>
        <v>145.67000000000007</v>
      </c>
      <c r="M51" s="348">
        <f t="shared" si="75"/>
        <v>167.01899999999998</v>
      </c>
      <c r="N51" s="348">
        <f t="shared" si="75"/>
        <v>159.59900000000027</v>
      </c>
      <c r="O51" s="278">
        <f t="shared" si="70"/>
        <v>621.8870000000004</v>
      </c>
      <c r="P51" s="348">
        <f t="shared" ref="P51:S51" si="76">SUM(P45:P50)</f>
        <v>127.7930000000005</v>
      </c>
      <c r="Q51" s="348">
        <f t="shared" si="76"/>
        <v>88.01700000000031</v>
      </c>
      <c r="R51" s="348">
        <f t="shared" si="76"/>
        <v>223.9860000000005</v>
      </c>
      <c r="S51" s="348">
        <f t="shared" si="76"/>
        <v>138.29199999999878</v>
      </c>
      <c r="T51" s="375">
        <f t="shared" si="71"/>
        <v>578.0880000000001</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0.540859302135917</v>
      </c>
      <c r="G53" s="376">
        <f>(G45)/G285</f>
        <v>0.03604762375911102</v>
      </c>
      <c r="H53" s="376">
        <f>(H45)/H285</f>
        <v>0.23612564757196136</v>
      </c>
      <c r="I53" s="376">
        <f>(I45)/I285</f>
        <v>0.12524450902587717</v>
      </c>
      <c r="J53" s="117">
        <f>J45/J285</f>
        <v>0.943935965848454</v>
      </c>
      <c r="K53" s="376">
        <f>(K45)/K285</f>
        <v>0.7463939358134211</v>
      </c>
      <c r="L53" s="376">
        <f>(L45)/L285</f>
        <v>0.7027335421487383</v>
      </c>
      <c r="M53" s="376">
        <f>(M45)/M285</f>
        <v>0.81401432488389</v>
      </c>
      <c r="N53" s="376">
        <f>(N45)/N285</f>
        <v>0.7734972060862647</v>
      </c>
      <c r="O53" s="117">
        <f>O45/O285</f>
        <v>3.054498845265591</v>
      </c>
      <c r="P53" s="376">
        <f>(P45)/P285</f>
        <v>0.6378836186001441</v>
      </c>
      <c r="Q53" s="376">
        <f>(Q45)/Q285</f>
        <v>0.4249013235888938</v>
      </c>
      <c r="R53" s="376">
        <f>(R45)/R285</f>
        <v>1.1263905468361743</v>
      </c>
      <c r="S53" s="376">
        <f>(S45)/S285</f>
        <v>0.7576523970692098</v>
      </c>
      <c r="T53" s="117">
        <f t="shared" ref="T53:X53" si="80">T45/T285</f>
        <v>2.9474408794193643</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0.5212519397811318</v>
      </c>
      <c r="G54" s="376">
        <f>(G45)/G287</f>
        <v>0.035629734366150294</v>
      </c>
      <c r="H54" s="376">
        <f>(H45)/H287</f>
        <v>0.23237272723354965</v>
      </c>
      <c r="I54" s="376">
        <f>(I45)/I287</f>
        <v>0.12312146056969092</v>
      </c>
      <c r="J54" s="117">
        <f>J45/J287</f>
        <v>0.9385271646859098</v>
      </c>
      <c r="K54" s="376">
        <f>(K45)/K287</f>
        <v>0.7290171378350668</v>
      </c>
      <c r="L54" s="376">
        <f>(L45)/L287</f>
        <v>0.6835451434029349</v>
      </c>
      <c r="M54" s="376">
        <f>(M45)/M287</f>
        <v>0.7874054461228962</v>
      </c>
      <c r="N54" s="376">
        <f>(N45)/N287</f>
        <v>0.7507712944332674</v>
      </c>
      <c r="O54" s="117">
        <f>O45/O287</f>
        <v>2.9561868573983032</v>
      </c>
      <c r="P54" s="376">
        <f>(P45)/P287</f>
        <v>0.6151954614112084</v>
      </c>
      <c r="Q54" s="376">
        <f>(Q45)/Q287</f>
        <v>0.41188028679973276</v>
      </c>
      <c r="R54" s="376">
        <f>(R45)/R287</f>
        <v>1.088853467435963</v>
      </c>
      <c r="S54" s="376">
        <f>(S45)/S287</f>
        <v>0.7316315444497264</v>
      </c>
      <c r="T54" s="117">
        <f t="shared" ref="T54:X54" si="82">T45/T287</f>
        <v>2.8487827683787255</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0.5588224223236201</v>
      </c>
      <c r="G56" s="376">
        <f t="shared" si="84"/>
        <v>0.043035355034464734</v>
      </c>
      <c r="H56" s="376">
        <f t="shared" si="84"/>
        <v>0.22704321817536924</v>
      </c>
      <c r="I56" s="376">
        <f t="shared" si="84"/>
        <v>0.11134994776642462</v>
      </c>
      <c r="J56" s="117">
        <f t="shared" si="84"/>
        <v>0.9468559231590195</v>
      </c>
      <c r="K56" s="376">
        <f t="shared" si="84"/>
        <v>0.6798533034001983</v>
      </c>
      <c r="L56" s="376">
        <f t="shared" si="84"/>
        <v>0.6622236567547544</v>
      </c>
      <c r="M56" s="376">
        <f t="shared" si="84"/>
        <v>0.7788176375132896</v>
      </c>
      <c r="N56" s="376">
        <f t="shared" si="84"/>
        <v>0.7352116049917323</v>
      </c>
      <c r="O56" s="117">
        <f t="shared" si="84"/>
        <v>2.872457274826792</v>
      </c>
      <c r="P56" s="376">
        <f t="shared" si="84"/>
        <v>0.5956715889174801</v>
      </c>
      <c r="Q56" s="376">
        <f t="shared" si="84"/>
        <v>0.40919678098718393</v>
      </c>
      <c r="R56" s="376">
        <f t="shared" si="84"/>
        <v>1.0403775320145128</v>
      </c>
      <c r="S56" s="376">
        <f t="shared" ref="S56" si="85">S51/S285</f>
        <v>0.6429315282478464</v>
      </c>
      <c r="T56" s="117">
        <f t="shared" si="84"/>
        <v>2.688712614328471</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0.538563856587194</v>
      </c>
      <c r="G57" s="376">
        <f t="shared" si="87"/>
        <v>0.04253645894879261</v>
      </c>
      <c r="H57" s="376">
        <f t="shared" si="87"/>
        <v>0.2234346516348408</v>
      </c>
      <c r="I57" s="376">
        <f t="shared" si="87"/>
        <v>0.10946242921139492</v>
      </c>
      <c r="J57" s="117">
        <f t="shared" si="87"/>
        <v>0.9414303904923612</v>
      </c>
      <c r="K57" s="376">
        <f t="shared" si="87"/>
        <v>0.6640256379526925</v>
      </c>
      <c r="L57" s="376">
        <f t="shared" si="87"/>
        <v>0.6441413953817449</v>
      </c>
      <c r="M57" s="376">
        <f t="shared" si="87"/>
        <v>0.7533592844352025</v>
      </c>
      <c r="N57" s="376">
        <f t="shared" si="87"/>
        <v>0.7136105522021027</v>
      </c>
      <c r="O57" s="117">
        <f t="shared" si="87"/>
        <v>2.7800044702726887</v>
      </c>
      <c r="P57" s="376">
        <f t="shared" si="87"/>
        <v>0.5744848234194081</v>
      </c>
      <c r="Q57" s="376">
        <f t="shared" si="87"/>
        <v>0.3966570075305223</v>
      </c>
      <c r="R57" s="376">
        <f t="shared" si="87"/>
        <v>1.0057068450710571</v>
      </c>
      <c r="S57" s="376">
        <f t="shared" ref="S57" si="88">S51/S287</f>
        <v>0.620850655006145</v>
      </c>
      <c r="T57" s="117">
        <f t="shared" si="87"/>
        <v>2.5987147760298313</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162.30899999999988</v>
      </c>
      <c r="G59" s="348">
        <f t="shared" si="90"/>
        <v>19.674000000000042</v>
      </c>
      <c r="H59" s="348">
        <f t="shared" si="90"/>
        <v>88.9700000000001</v>
      </c>
      <c r="I59" s="348">
        <f t="shared" si="90"/>
        <v>42.728000000000264</v>
      </c>
      <c r="J59" s="278">
        <f t="shared" ref="J59:J61" si="91">SUM(F59:I59)</f>
        <v>313.68100000000027</v>
      </c>
      <c r="K59" s="348">
        <f t="shared" ref="K59:N59" si="92">K51-K44-K41-K40-K39-K38</f>
        <v>205.55800000000005</v>
      </c>
      <c r="L59" s="348">
        <f t="shared" si="92"/>
        <v>218.77700000000007</v>
      </c>
      <c r="M59" s="348">
        <f t="shared" si="92"/>
        <v>245.02999999999997</v>
      </c>
      <c r="N59" s="348">
        <f t="shared" si="92"/>
        <v>245.7160000000003</v>
      </c>
      <c r="O59" s="278">
        <f t="shared" ref="O59:O61" si="93">SUM(K59:N59)</f>
        <v>915.0810000000004</v>
      </c>
      <c r="P59" s="348">
        <f t="shared" ref="P59:S59" si="94">P51-P44-P41-P40-P39-P38</f>
        <v>142.0090000000005</v>
      </c>
      <c r="Q59" s="348">
        <f t="shared" si="94"/>
        <v>131.5230000000003</v>
      </c>
      <c r="R59" s="348">
        <f t="shared" si="94"/>
        <v>313.2970000000005</v>
      </c>
      <c r="S59" s="348">
        <f t="shared" si="94"/>
        <v>175.82899999999876</v>
      </c>
      <c r="T59" s="278">
        <f t="shared" ref="T59:T61" si="95">SUM(P59:S59)</f>
        <v>762.6580000000001</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28.311</v>
      </c>
      <c r="J60" s="350">
        <f t="shared" si="91"/>
        <v>112.201</v>
      </c>
      <c r="K60" s="378">
        <f t="shared" ref="K60:N60" si="102">-K34</f>
        <v>43.202</v>
      </c>
      <c r="L60" s="378">
        <f t="shared" si="102"/>
        <v>49.946</v>
      </c>
      <c r="M60" s="378">
        <f t="shared" si="102"/>
        <v>45.977</v>
      </c>
      <c r="N60" s="378">
        <f t="shared" si="102"/>
        <v>51.201</v>
      </c>
      <c r="O60" s="350">
        <f t="shared" si="93"/>
        <v>190.326</v>
      </c>
      <c r="P60" s="378">
        <f t="shared" ref="P60:S60" si="103">-P34</f>
        <v>30.988</v>
      </c>
      <c r="Q60" s="378">
        <f t="shared" si="103"/>
        <v>52.253</v>
      </c>
      <c r="R60" s="378">
        <f t="shared" si="103"/>
        <v>53.23</v>
      </c>
      <c r="S60" s="378">
        <f t="shared" si="103"/>
        <v>55.81</v>
      </c>
      <c r="T60" s="350">
        <f t="shared" si="95"/>
        <v>192.281</v>
      </c>
      <c r="U60" s="351">
        <f t="shared" ref="U60:X60" si="104">-U34</f>
        <v>45.1845375</v>
      </c>
      <c r="V60" s="351">
        <f t="shared" si="104"/>
        <v>45.9563068069875</v>
      </c>
      <c r="W60" s="351">
        <f t="shared" si="104"/>
        <v>46.09924510904429</v>
      </c>
      <c r="X60" s="351">
        <f t="shared" si="104"/>
        <v>46.95459117435119</v>
      </c>
      <c r="Y60" s="350">
        <f t="shared" si="97"/>
        <v>184.19468059038297</v>
      </c>
      <c r="Z60" s="351">
        <f t="shared" ref="Z60:AC60" si="105">-Z34</f>
        <v>45.341201044088876</v>
      </c>
      <c r="AA60" s="351">
        <f t="shared" si="105"/>
        <v>46.007408890252954</v>
      </c>
      <c r="AB60" s="351">
        <f t="shared" si="105"/>
        <v>45.99648817786875</v>
      </c>
      <c r="AC60" s="351">
        <f t="shared" si="105"/>
        <v>45.75118990759355</v>
      </c>
      <c r="AD60" s="350">
        <f t="shared" si="99"/>
        <v>183.09628801980412</v>
      </c>
      <c r="AE60" s="350">
        <f t="shared" ref="AE60:AG60" si="106">-AE34</f>
        <v>182.07061212384048</v>
      </c>
      <c r="AF60" s="350">
        <f t="shared" si="106"/>
        <v>178.1965373852448</v>
      </c>
      <c r="AG60" s="350">
        <f t="shared" si="106"/>
        <v>169.96234908879086</v>
      </c>
      <c r="AH60" s="8"/>
      <c r="AI60" s="8"/>
      <c r="AJ60" s="8"/>
      <c r="AK60" s="8"/>
    </row>
    <row r="61" ht="15.75" customHeight="1" spans="1:37" x14ac:dyDescent="0.25">
      <c r="A61" s="260"/>
      <c r="B61" s="8"/>
      <c r="C61" s="130" t="s">
        <v>279</v>
      </c>
      <c r="D61" s="8"/>
      <c r="E61" s="8"/>
      <c r="F61" s="348">
        <f t="shared" ref="F61:I61" si="107">SUM(F59:F60)</f>
        <v>195.60099999999989</v>
      </c>
      <c r="G61" s="348">
        <f t="shared" si="107"/>
        <v>44.98400000000004</v>
      </c>
      <c r="H61" s="348">
        <f t="shared" si="107"/>
        <v>114.2580000000001</v>
      </c>
      <c r="I61" s="348">
        <f t="shared" si="107"/>
        <v>71.03900000000027</v>
      </c>
      <c r="J61" s="278">
        <f t="shared" si="91"/>
        <v>425.8820000000003</v>
      </c>
      <c r="K61" s="348">
        <f t="shared" ref="K61:N61" si="108">SUM(K59:K60)</f>
        <v>248.76000000000005</v>
      </c>
      <c r="L61" s="348">
        <f t="shared" si="108"/>
        <v>268.72300000000007</v>
      </c>
      <c r="M61" s="348">
        <f t="shared" si="108"/>
        <v>291.00699999999995</v>
      </c>
      <c r="N61" s="348">
        <f t="shared" si="108"/>
        <v>296.9170000000003</v>
      </c>
      <c r="O61" s="278">
        <f t="shared" si="93"/>
        <v>1105.4070000000004</v>
      </c>
      <c r="P61" s="348">
        <f t="shared" ref="P61:S61" si="109">SUM(P59:P60)</f>
        <v>172.9970000000005</v>
      </c>
      <c r="Q61" s="348">
        <f t="shared" si="109"/>
        <v>183.7760000000003</v>
      </c>
      <c r="R61" s="348">
        <f t="shared" si="109"/>
        <v>366.5270000000005</v>
      </c>
      <c r="S61" s="348">
        <f t="shared" si="109"/>
        <v>231.63899999999876</v>
      </c>
      <c r="T61" s="278">
        <f t="shared" si="95"/>
        <v>954.9390000000001</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0.7208338949543963</v>
      </c>
      <c r="G66" s="383">
        <f t="shared" si="114"/>
        <v>0.6284178818125993</v>
      </c>
      <c r="H66" s="383">
        <f t="shared" si="114"/>
        <v>0.5791998385016718</v>
      </c>
      <c r="I66" s="383">
        <f t="shared" si="114"/>
        <v>0.6080987865026998</v>
      </c>
      <c r="J66" s="384">
        <f t="shared" si="114"/>
        <v>0.6316567625897347</v>
      </c>
      <c r="K66" s="383">
        <f t="shared" si="114"/>
        <v>0.6811242603550296</v>
      </c>
      <c r="L66" s="383">
        <f t="shared" si="114"/>
        <v>0.6582780588419977</v>
      </c>
      <c r="M66" s="383">
        <f t="shared" si="114"/>
        <v>0.6486056529042797</v>
      </c>
      <c r="N66" s="383">
        <f t="shared" si="114"/>
        <v>0.6862521958057262</v>
      </c>
      <c r="O66" s="384">
        <f t="shared" si="114"/>
        <v>0.6690210972462471</v>
      </c>
      <c r="P66" s="383">
        <f t="shared" si="114"/>
        <v>0.6442000045291614</v>
      </c>
      <c r="Q66" s="383">
        <f t="shared" si="114"/>
        <v>0.6552688814363864</v>
      </c>
      <c r="R66" s="383">
        <f t="shared" si="114"/>
        <v>0.7041477139459238</v>
      </c>
      <c r="S66" s="383">
        <f t="shared" ref="S66" si="115">S30/S28</f>
        <v>0.7015857847060386</v>
      </c>
      <c r="T66" s="384">
        <f>T30/T28</f>
        <v>0.6784894819015757</v>
      </c>
      <c r="U66" s="385">
        <f>IF(Cover!$F$37="Bottom Up",(U30/U28),Drivers!U7)</f>
        <v>1</v>
      </c>
      <c r="V66" s="385">
        <f>IF(Cover!$F$37="Bottom Up",(V30/V28),Drivers!V7)</f>
        <v>1</v>
      </c>
      <c r="W66" s="385">
        <f>IF(Cover!$F$37="Bottom Up",(W30/W28),Drivers!W7)</f>
        <v>1</v>
      </c>
      <c r="X66" s="385">
        <f>IF(Cover!$F$37="Bottom Up",(X30/X28),Drivers!X7)</f>
        <v>1</v>
      </c>
      <c r="Y66" s="384">
        <f>Y30/Y28</f>
        <v>0.6990920701234274</v>
      </c>
      <c r="Z66" s="385">
        <f>IF(Cover!$F$37="Bottom Up",(Z30/Z28),Drivers!Z7)</f>
        <v>1</v>
      </c>
      <c r="AA66" s="385">
        <f>IF(Cover!$F$37="Bottom Up",(AA30/AA28),Drivers!AA7)</f>
        <v>1</v>
      </c>
      <c r="AB66" s="385">
        <f>IF(Cover!$F$37="Bottom Up",(AB30/AB28),Drivers!AB7)</f>
        <v>1</v>
      </c>
      <c r="AC66" s="385">
        <f>IF(Cover!$F$37="Bottom Up",(AC30/AC28),Drivers!AC7)</f>
        <v>1</v>
      </c>
      <c r="AD66" s="384">
        <f>AD30/AD28</f>
        <v>0.7231798090502991</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-0.5477713854745818</v>
      </c>
      <c r="G67" s="383">
        <f t="shared" ref="G67:I67" si="116">G32/G30</f>
        <v>-0.5549625603515569</v>
      </c>
      <c r="H67" s="383">
        <f t="shared" si="116"/>
        <v>-0.5448513724090206</v>
      </c>
      <c r="I67" s="383">
        <f t="shared" si="116"/>
        <v>-0.5114504518200604</v>
      </c>
      <c r="J67" s="384">
        <f>J32/J30</f>
        <v>-0.5393738998272061</v>
      </c>
      <c r="K67" s="383">
        <f>K32/K30</f>
        <v>-0.5332480708058689</v>
      </c>
      <c r="L67" s="383">
        <f t="shared" ref="L67:N67" si="117">L32/L30</f>
        <v>-0.5204080708581793</v>
      </c>
      <c r="M67" s="383">
        <f t="shared" si="117"/>
        <v>-0.5281426219955175</v>
      </c>
      <c r="N67" s="383">
        <f t="shared" si="117"/>
        <v>-0.5016434827935119</v>
      </c>
      <c r="O67" s="384">
        <f>O32/O30</f>
        <v>-0.5202118666293853</v>
      </c>
      <c r="P67" s="383">
        <f>P32/P30</f>
        <v>-0.5280081405180979</v>
      </c>
      <c r="Q67" s="383">
        <f t="shared" ref="Q67:S67" si="118">Q32/Q30</f>
        <v>-0.5230142060280939</v>
      </c>
      <c r="R67" s="383">
        <f t="shared" si="118"/>
        <v>-0.5292043887171831</v>
      </c>
      <c r="S67" s="383">
        <f t="shared" si="118"/>
        <v>-0.5224049267879355</v>
      </c>
      <c r="T67" s="384">
        <f>T32/T30</f>
        <v>-0.5256516731027508</v>
      </c>
      <c r="U67" s="386">
        <f>Drivers!U40</f>
        <v>-0.52</v>
      </c>
      <c r="V67" s="386">
        <f>Drivers!V40</f>
        <v>-0.525</v>
      </c>
      <c r="W67" s="386">
        <f>Drivers!W40</f>
        <v>-0.525</v>
      </c>
      <c r="X67" s="386">
        <f>Drivers!X40</f>
        <v>-0.515</v>
      </c>
      <c r="Y67" s="384">
        <f>Y32/Y30</f>
        <v>-0.5211261766219167</v>
      </c>
      <c r="Z67" s="386">
        <f>Drivers!Z40</f>
        <v>-0.5175</v>
      </c>
      <c r="AA67" s="386">
        <f>Drivers!AA40</f>
        <v>-0.515</v>
      </c>
      <c r="AB67" s="386">
        <f>Drivers!AB40</f>
        <v>-0.505</v>
      </c>
      <c r="AC67" s="386">
        <f>Drivers!AC40</f>
        <v>-0.495</v>
      </c>
      <c r="AD67" s="384">
        <f>AD32/AD30</f>
        <v>-0.5073606990973928</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-0.25974531900570946</v>
      </c>
      <c r="G68" s="383">
        <f t="shared" ref="G68:I68" si="119">G33/G30</f>
        <v>-0.3519355864581225</v>
      </c>
      <c r="H68" s="383">
        <f t="shared" si="119"/>
        <v>-0.30687972577198536</v>
      </c>
      <c r="I68" s="383">
        <f t="shared" si="119"/>
        <v>-0.36317177849540316</v>
      </c>
      <c r="J68" s="384">
        <f>J33/J30</f>
        <v>-0.3182930466739199</v>
      </c>
      <c r="K68" s="383">
        <f>K33/K30</f>
        <v>-0.24699323020134498</v>
      </c>
      <c r="L68" s="383">
        <f t="shared" ref="L68:N68" si="120">L33/L30</f>
        <v>-0.26429699966010195</v>
      </c>
      <c r="M68" s="383">
        <f t="shared" si="120"/>
        <v>-0.2464882980890948</v>
      </c>
      <c r="N68" s="383">
        <f t="shared" si="120"/>
        <v>-0.26326182275324245</v>
      </c>
      <c r="O68" s="384">
        <f>O33/O30</f>
        <v>-0.25547197270485045</v>
      </c>
      <c r="P68" s="383">
        <f>P33/P30</f>
        <v>-0.2772804341944446</v>
      </c>
      <c r="Q68" s="383">
        <f t="shared" ref="Q68:S68" si="121">Q33/Q30</f>
        <v>-0.2930758843816899</v>
      </c>
      <c r="R68" s="383">
        <f t="shared" si="121"/>
        <v>-0.2363463108909111</v>
      </c>
      <c r="S68" s="383">
        <f t="shared" si="121"/>
        <v>-0.2886700988422089</v>
      </c>
      <c r="T68" s="384">
        <f>T33/T30</f>
        <v>-0.2725921671363858</v>
      </c>
      <c r="U68" s="386">
        <f>Drivers!U45</f>
        <v>-0.2375</v>
      </c>
      <c r="V68" s="386">
        <f>Drivers!V45</f>
        <v>-0.24</v>
      </c>
      <c r="W68" s="386">
        <f>Drivers!W45</f>
        <v>-0.24</v>
      </c>
      <c r="X68" s="386">
        <f>Drivers!X45</f>
        <v>-0.25</v>
      </c>
      <c r="Y68" s="384">
        <f>Y33/Y30</f>
        <v>-0.24217242083665413</v>
      </c>
      <c r="Z68" s="386">
        <f>Drivers!Z45</f>
        <v>-0.24</v>
      </c>
      <c r="AA68" s="386">
        <f>Drivers!AA45</f>
        <v>-0.235</v>
      </c>
      <c r="AB68" s="386">
        <f>Drivers!AB45</f>
        <v>-0.23</v>
      </c>
      <c r="AC68" s="386">
        <f>Drivers!AC45</f>
        <v>-0.225</v>
      </c>
      <c r="AD68" s="384">
        <f>AD33/AD30</f>
        <v>-0.2320035259952977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-0.03130700453789819</v>
      </c>
      <c r="G69" s="383">
        <f t="shared" si="122"/>
        <v>-0.03229084531522333</v>
      </c>
      <c r="H69" s="383">
        <f t="shared" si="122"/>
        <v>-0.028876645852197666</v>
      </c>
      <c r="I69" s="383">
        <f t="shared" si="122"/>
        <v>-0.03851596747075465</v>
      </c>
      <c r="J69" s="384">
        <f t="shared" si="122"/>
        <v>-0.032765965452644534</v>
      </c>
      <c r="K69" s="383">
        <f t="shared" si="122"/>
        <v>-0.04646498687252635</v>
      </c>
      <c r="L69" s="383">
        <f t="shared" si="122"/>
        <v>-0.031386637946451634</v>
      </c>
      <c r="M69" s="383">
        <f t="shared" si="122"/>
        <v>-0.03114683989088723</v>
      </c>
      <c r="N69" s="383">
        <f t="shared" si="122"/>
        <v>-0.05429150480508399</v>
      </c>
      <c r="O69" s="384">
        <f t="shared" si="122"/>
        <v>-0.04119811291775641</v>
      </c>
      <c r="P69" s="383">
        <f t="shared" si="122"/>
        <v>-0.051812796821822785</v>
      </c>
      <c r="Q69" s="383">
        <f t="shared" si="122"/>
        <v>-0.04547821746651886</v>
      </c>
      <c r="R69" s="383">
        <f t="shared" si="122"/>
        <v>-0.032663221530336614</v>
      </c>
      <c r="S69" s="383">
        <f t="shared" ref="S69" si="123">S35/S28</f>
        <v>-0.045625985138482344</v>
      </c>
      <c r="T69" s="384">
        <f>T35/T28</f>
        <v>-0.04352310217682956</v>
      </c>
      <c r="U69" s="386">
        <f>Drivers!U50</f>
        <v>-0.045</v>
      </c>
      <c r="V69" s="386">
        <f>Drivers!V50</f>
        <v>-0.035</v>
      </c>
      <c r="W69" s="386">
        <f>Drivers!W50</f>
        <v>-0.04</v>
      </c>
      <c r="X69" s="386">
        <f>Drivers!X50</f>
        <v>-0.0425</v>
      </c>
      <c r="Y69" s="384">
        <f>Y35/Y28</f>
        <v>-0.04064541655957752</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0.18159150455022985</v>
      </c>
      <c r="G71" s="383">
        <f t="shared" si="126"/>
        <v>0.5136548195116513</v>
      </c>
      <c r="H71" s="383">
        <f t="shared" si="126"/>
        <v>0.40775888581345243</v>
      </c>
      <c r="I71" s="383">
        <f t="shared" si="126"/>
        <v>0.3661227154046976</v>
      </c>
      <c r="J71" s="384">
        <f t="shared" si="126"/>
        <v>0.2935491394486206</v>
      </c>
      <c r="K71" s="383">
        <f t="shared" si="126"/>
        <v>0.2541280653950953</v>
      </c>
      <c r="L71" s="383">
        <f t="shared" si="126"/>
        <v>0.3210841151048802</v>
      </c>
      <c r="M71" s="383">
        <f t="shared" si="126"/>
        <v>0.30885904552257126</v>
      </c>
      <c r="N71" s="383">
        <f t="shared" si="126"/>
        <v>0.33900727088065413</v>
      </c>
      <c r="O71" s="384">
        <f t="shared" si="126"/>
        <v>0.307172498907797</v>
      </c>
      <c r="P71" s="383">
        <f t="shared" si="126"/>
        <v>0.09410518650911827</v>
      </c>
      <c r="Q71" s="383">
        <f t="shared" si="126"/>
        <v>0.3225031689905924</v>
      </c>
      <c r="R71" s="383">
        <f t="shared" si="126"/>
        <v>0.2691590193330617</v>
      </c>
      <c r="S71" s="383">
        <f t="shared" ref="S71" si="127">-S44/S42</f>
        <v>0.18721228897035092</v>
      </c>
      <c r="T71" s="384">
        <f>-T44/T42</f>
        <v>0.22555683465194318</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v>-33.292</v>
      </c>
      <c r="G76" s="353">
        <v>-25.31</v>
      </c>
      <c r="H76" s="353">
        <v>-25.288</v>
      </c>
      <c r="I76" s="353">
        <v>-28.311</v>
      </c>
      <c r="J76" s="157"/>
      <c r="K76" s="353">
        <v>-43.202</v>
      </c>
      <c r="L76" s="353">
        <v>-49.946</v>
      </c>
      <c r="M76" s="353">
        <v>-45.977</v>
      </c>
      <c r="N76" s="353">
        <v>-51.201</v>
      </c>
      <c r="O76" s="157"/>
      <c r="P76" s="353">
        <v>-30.988</v>
      </c>
      <c r="Q76" s="353">
        <v>-52.253</v>
      </c>
      <c r="R76" s="353">
        <v>-53.23</v>
      </c>
      <c r="S76" s="353">
        <v>-55.81</v>
      </c>
      <c r="T76" s="157">
        <f t="shared" si="130"/>
        <v>-192.281</v>
      </c>
      <c r="U76" s="355">
        <f t="shared" ref="U76:X76" si="136">-(U197+U211)</f>
        <v>-45.1845375</v>
      </c>
      <c r="V76" s="355">
        <f t="shared" si="136"/>
        <v>-45.9563068069875</v>
      </c>
      <c r="W76" s="355">
        <f t="shared" si="136"/>
        <v>-46.09924510904429</v>
      </c>
      <c r="X76" s="355">
        <f t="shared" si="136"/>
        <v>-46.95459117435119</v>
      </c>
      <c r="Y76" s="157">
        <f t="shared" si="132"/>
        <v>-184.19468059038297</v>
      </c>
      <c r="Z76" s="355">
        <f t="shared" ref="Z76:AC76" si="137">-(Z197+Z211)</f>
        <v>-45.341201044088876</v>
      </c>
      <c r="AA76" s="355">
        <f t="shared" si="137"/>
        <v>-46.007408890252954</v>
      </c>
      <c r="AB76" s="355">
        <f t="shared" si="137"/>
        <v>-45.99648817786875</v>
      </c>
      <c r="AC76" s="355">
        <f t="shared" si="137"/>
        <v>-45.75118990759355</v>
      </c>
      <c r="AD76" s="157">
        <f t="shared" si="134"/>
        <v>-183.09628801980412</v>
      </c>
      <c r="AE76" s="157">
        <f t="shared" ref="AE76:AG76" si="138">-(AE197+AE211)</f>
        <v>-182.07061212384048</v>
      </c>
      <c r="AF76" s="157">
        <f t="shared" si="138"/>
        <v>-178.1965373852448</v>
      </c>
      <c r="AG76" s="157">
        <f t="shared" si="138"/>
        <v>-169.96234908879086</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88.227</v>
      </c>
      <c r="U77" s="355">
        <f t="shared" ref="U77:X77" si="139">U249</f>
        <v>18.990899320091682</v>
      </c>
      <c r="V77" s="355">
        <f t="shared" si="139"/>
        <v>19.417423166577603</v>
      </c>
      <c r="W77" s="355">
        <f t="shared" si="139"/>
        <v>22.330584852385236</v>
      </c>
      <c r="X77" s="355">
        <f t="shared" si="139"/>
        <v>22.287762814427044</v>
      </c>
      <c r="Y77" s="157">
        <f t="shared" si="132"/>
        <v>83.02667015348156</v>
      </c>
      <c r="Z77" s="355">
        <f t="shared" ref="Z77:AC77" si="140">Z249</f>
        <v>20.416220501098316</v>
      </c>
      <c r="AA77" s="355">
        <f t="shared" si="140"/>
        <v>21.373501861579275</v>
      </c>
      <c r="AB77" s="355">
        <f t="shared" si="140"/>
        <v>24.312275919139818</v>
      </c>
      <c r="AC77" s="355">
        <f t="shared" si="140"/>
        <v>24.051325134640116</v>
      </c>
      <c r="AD77" s="157">
        <f t="shared" si="134"/>
        <v>90.15332341645754</v>
      </c>
      <c r="AE77" s="157">
        <f t="shared" ref="AE77:AG77" si="141">AE249</f>
        <v>96.2058187353895</v>
      </c>
      <c r="AF77" s="157">
        <f t="shared" si="141"/>
        <v>100.74730249586646</v>
      </c>
      <c r="AG77" s="157">
        <f t="shared" si="141"/>
        <v>103.69827879808666</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-9257.524816699995</v>
      </c>
      <c r="V78" s="355">
        <f t="shared" si="142"/>
        <v>-4183.2035759834325</v>
      </c>
      <c r="W78" s="355">
        <f t="shared" si="142"/>
        <v>-2916.254127476859</v>
      </c>
      <c r="X78" s="355">
        <f t="shared" si="142"/>
        <v>-1608.709173717929</v>
      </c>
      <c r="Y78" s="157">
        <f t="shared" si="132"/>
        <v>-12806.179493878211</v>
      </c>
      <c r="Z78" s="355">
        <f t="shared" ref="Z78:AC78" si="143">Z176</f>
        <v>-5956.878909448096</v>
      </c>
      <c r="AA78" s="355">
        <f t="shared" si="143"/>
        <v>8868.967045438905</v>
      </c>
      <c r="AB78" s="355">
        <f t="shared" si="143"/>
        <v>-2267.8374766721827</v>
      </c>
      <c r="AC78" s="355">
        <f t="shared" si="143"/>
        <v>-1697.803506711134</v>
      </c>
      <c r="AD78" s="157">
        <f t="shared" si="134"/>
        <v>-1053.5528473925078</v>
      </c>
      <c r="AE78" s="157">
        <f>AE176</f>
        <v>-5455.098203790098</v>
      </c>
      <c r="AF78" s="157">
        <f t="shared" ref="AF78:AG78" si="144">AF176</f>
        <v>1320.4449697081582</v>
      </c>
      <c r="AG78" s="157">
        <f t="shared" si="144"/>
        <v>39.39682192307373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-492.481</v>
      </c>
      <c r="U79" s="351">
        <f t="shared" ref="U79:X79" si="145">U231</f>
        <v>-64.9341199999999</v>
      </c>
      <c r="V79" s="351">
        <f t="shared" si="145"/>
        <v>-66.23280239999985</v>
      </c>
      <c r="W79" s="351">
        <f t="shared" si="145"/>
        <v>-67.55745844800003</v>
      </c>
      <c r="X79" s="351">
        <f t="shared" si="145"/>
        <v>-68.90860761696058</v>
      </c>
      <c r="Y79" s="350">
        <f t="shared" si="132"/>
        <v>-267.63298846496036</v>
      </c>
      <c r="Z79" s="351">
        <f t="shared" ref="Z79:AC79" si="146">Z231</f>
        <v>-70.28677976929885</v>
      </c>
      <c r="AA79" s="351">
        <f t="shared" si="146"/>
        <v>-71.69251536468528</v>
      </c>
      <c r="AB79" s="351">
        <f t="shared" si="146"/>
        <v>-73.12636567197933</v>
      </c>
      <c r="AC79" s="351">
        <f t="shared" si="146"/>
        <v>-74.58889298541817</v>
      </c>
      <c r="AD79" s="350">
        <f t="shared" si="134"/>
        <v>-289.6945537913816</v>
      </c>
      <c r="AE79" s="350">
        <f t="shared" ref="AE79:AG79" si="147">AE231</f>
        <v>-285.3025156692256</v>
      </c>
      <c r="AF79" s="350">
        <f t="shared" si="147"/>
        <v>-408.9336057925575</v>
      </c>
      <c r="AG79" s="350">
        <f t="shared" si="147"/>
        <v>-382.3529214160408</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-3974.1222592790573</v>
      </c>
      <c r="V80" s="277">
        <f t="shared" si="148"/>
        <v>-4028.5391878177397</v>
      </c>
      <c r="W80" s="277">
        <f t="shared" si="148"/>
        <v>-2665.7510166902903</v>
      </c>
      <c r="X80" s="277">
        <f t="shared" si="148"/>
        <v>-1318.2323688031531</v>
      </c>
      <c r="Y80" s="278">
        <f t="shared" si="132"/>
        <v>-11986.644832590242</v>
      </c>
      <c r="Z80" s="277">
        <f t="shared" ref="Z80:AC80" si="149">SUM(Z75:Z79)</f>
        <v>-5845.342304727045</v>
      </c>
      <c r="AA80" s="277">
        <f t="shared" si="149"/>
        <v>9060.030301433513</v>
      </c>
      <c r="AB80" s="277">
        <f t="shared" si="149"/>
        <v>-1898.8488574852563</v>
      </c>
      <c r="AC80" s="277">
        <f t="shared" si="149"/>
        <v>-1228.4296926582133</v>
      </c>
      <c r="AD80" s="278">
        <f t="shared" si="134"/>
        <v>87.40944656299826</v>
      </c>
      <c r="AE80" s="278">
        <f t="shared" ref="AE80:AG80" si="150">SUM(AE75:AE79)</f>
        <v>-4377.830034155513</v>
      </c>
      <c r="AF80" s="278">
        <f t="shared" si="150"/>
        <v>2000.3136743570194</v>
      </c>
      <c r="AG80" s="278">
        <f t="shared" si="150"/>
        <v>772.9960343232528</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-207.467</v>
      </c>
      <c r="U82" s="355">
        <f t="shared" ref="U82:X82" si="152">-U196</f>
        <v>41.14278765000001</v>
      </c>
      <c r="V82" s="355">
        <f t="shared" si="152"/>
        <v>42.0668292</v>
      </c>
      <c r="W82" s="355">
        <f t="shared" si="152"/>
        <v>48.37804125</v>
      </c>
      <c r="X82" s="355">
        <f t="shared" si="152"/>
        <v>48.28526954999998</v>
      </c>
      <c r="Y82" s="157">
        <f t="shared" ref="Y82:Y85" si="153">SUM(U82:X82)</f>
        <v>179.87292764999998</v>
      </c>
      <c r="Z82" s="355">
        <f t="shared" ref="Z82:AC82" si="154">-Z196</f>
        <v>44.23067125650001</v>
      </c>
      <c r="AA82" s="355">
        <f t="shared" si="154"/>
        <v>46.30457113200001</v>
      </c>
      <c r="AB82" s="355">
        <f t="shared" si="154"/>
        <v>52.67127104250001</v>
      </c>
      <c r="AC82" s="355">
        <f t="shared" si="154"/>
        <v>52.105934849999976</v>
      </c>
      <c r="AD82" s="157">
        <f t="shared" ref="AD82:AD85" si="155">SUM(Z82:AC82)</f>
        <v>195.312448281</v>
      </c>
      <c r="AE82" s="157">
        <f t="shared" ref="AE82:AG82" si="156">-AE196</f>
        <v>208.42486204626002</v>
      </c>
      <c r="AF82" s="157">
        <f t="shared" si="156"/>
        <v>218.2637484951786</v>
      </c>
      <c r="AG82" s="157">
        <f t="shared" si="156"/>
        <v>224.65688392894816</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41.14278765000001</v>
      </c>
      <c r="V85" s="277">
        <f t="shared" si="160"/>
        <v>42.0668292</v>
      </c>
      <c r="W85" s="277">
        <f t="shared" si="160"/>
        <v>48.37804125</v>
      </c>
      <c r="X85" s="277">
        <f t="shared" si="160"/>
        <v>48.28526954999998</v>
      </c>
      <c r="Y85" s="278">
        <f t="shared" si="153"/>
        <v>179.87292764999998</v>
      </c>
      <c r="Z85" s="277">
        <f t="shared" ref="Z85:AC85" si="161">SUM(Z82:Z84)</f>
        <v>44.23067125650001</v>
      </c>
      <c r="AA85" s="277">
        <f t="shared" si="161"/>
        <v>46.30457113200001</v>
      </c>
      <c r="AB85" s="277">
        <f t="shared" si="161"/>
        <v>52.67127104250001</v>
      </c>
      <c r="AC85" s="277">
        <f t="shared" si="161"/>
        <v>52.105934849999976</v>
      </c>
      <c r="AD85" s="278">
        <f t="shared" si="155"/>
        <v>195.312448281</v>
      </c>
      <c r="AE85" s="278">
        <f t="shared" ref="AE85:AG85" si="162">SUM(AE82:AE84)</f>
        <v>208.42486204626002</v>
      </c>
      <c r="AF85" s="278">
        <f t="shared" si="162"/>
        <v>218.2637484951786</v>
      </c>
      <c r="AG85" s="278">
        <f t="shared" si="162"/>
        <v>224.65688392894816</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-3914.014371629057</v>
      </c>
      <c r="V87" s="395">
        <f t="shared" si="163"/>
        <v>-3962.99269361774</v>
      </c>
      <c r="W87" s="395">
        <f t="shared" si="163"/>
        <v>-2587.5071504402904</v>
      </c>
      <c r="X87" s="395">
        <f t="shared" si="163"/>
        <v>-1234.895939253153</v>
      </c>
      <c r="Y87" s="394">
        <f>SUM(U87:X87)</f>
        <v>-11699.410154940238</v>
      </c>
      <c r="Z87" s="395">
        <f t="shared" ref="Z87:AC87" si="164">SUM(Z80,Z85)</f>
        <v>-5782.146533470545</v>
      </c>
      <c r="AA87" s="395">
        <f t="shared" si="164"/>
        <v>9129.814537565513</v>
      </c>
      <c r="AB87" s="395">
        <f t="shared" si="164"/>
        <v>-1816.3117614427563</v>
      </c>
      <c r="AC87" s="395">
        <f t="shared" si="164"/>
        <v>-1141.2725978082133</v>
      </c>
      <c r="AD87" s="394">
        <f>SUM(Z87:AC87)</f>
        <v>390.0836448439982</v>
      </c>
      <c r="AE87" s="394">
        <f t="shared" ref="AE87:AG87" si="165">SUM(AE80,AE85)</f>
        <v>-4062.0434221092532</v>
      </c>
      <c r="AF87" s="394">
        <f t="shared" si="165"/>
        <v>2325.9391728521978</v>
      </c>
      <c r="AG87" s="394">
        <f t="shared" si="165"/>
        <v>1105.014668252201</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1322.8609999999999</v>
      </c>
      <c r="U89" s="355">
        <f t="shared" ref="U89:X89" si="167">U306</f>
        <v>0</v>
      </c>
      <c r="V89" s="355">
        <f t="shared" si="167"/>
        <v>0</v>
      </c>
      <c r="W89" s="355">
        <f t="shared" si="167"/>
        <v>0</v>
      </c>
      <c r="X89" s="355">
        <f t="shared" si="167"/>
        <v>0</v>
      </c>
      <c r="Y89" s="157">
        <f t="shared" ref="Y89:Y96" si="168">SUM(U89:X89)</f>
        <v>0</v>
      </c>
      <c r="Z89" s="355">
        <f t="shared" ref="Z89:AC89" si="169">Z306</f>
        <v>2269.889743639064</v>
      </c>
      <c r="AA89" s="355">
        <f t="shared" si="169"/>
        <v>-2269.889743639064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2120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-4059.438</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-58.515</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-374.13</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2264.961743639064</v>
      </c>
      <c r="AA96" s="277">
        <f t="shared" si="188"/>
        <v>-2155.105743639064</v>
      </c>
      <c r="AB96" s="277">
        <f t="shared" si="188"/>
        <v>156.79999999999995</v>
      </c>
      <c r="AC96" s="277">
        <f t="shared" si="188"/>
        <v>116.03680000000008</v>
      </c>
      <c r="AD96" s="278">
        <f t="shared" si="170"/>
        <v>382.69280000000026</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v>0</v>
      </c>
      <c r="G99" s="359">
        <v>0</v>
      </c>
      <c r="H99" s="359">
        <v>0</v>
      </c>
      <c r="I99" s="359">
        <v>0</v>
      </c>
      <c r="J99" s="157"/>
      <c r="K99" s="359">
        <v>0</v>
      </c>
      <c r="L99" s="359">
        <v>0</v>
      </c>
      <c r="M99" s="359">
        <v>0</v>
      </c>
      <c r="N99" s="359">
        <v>0</v>
      </c>
      <c r="O99" s="157"/>
      <c r="P99" s="359">
        <v>0</v>
      </c>
      <c r="Q99" s="359">
        <v>0</v>
      </c>
      <c r="R99" s="359">
        <v>0</v>
      </c>
      <c r="S99" s="359">
        <v>0</v>
      </c>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v>0</v>
      </c>
      <c r="G100" s="359">
        <v>0</v>
      </c>
      <c r="H100" s="359">
        <v>0</v>
      </c>
      <c r="I100" s="359">
        <v>0</v>
      </c>
      <c r="J100" s="157"/>
      <c r="K100" s="359">
        <v>0</v>
      </c>
      <c r="L100" s="359">
        <v>0</v>
      </c>
      <c r="M100" s="359">
        <v>0</v>
      </c>
      <c r="N100" s="359">
        <v>0</v>
      </c>
      <c r="O100" s="157"/>
      <c r="P100" s="359">
        <v>0</v>
      </c>
      <c r="Q100" s="359">
        <v>0</v>
      </c>
      <c r="R100" s="359">
        <v>0</v>
      </c>
      <c r="S100" s="359">
        <v>0</v>
      </c>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v>7508.508</v>
      </c>
      <c r="H102" s="398">
        <v>8004.88</v>
      </c>
      <c r="I102" s="398">
        <v>8817.357</v>
      </c>
      <c r="J102" s="278"/>
      <c r="K102" s="398">
        <v>8526.363</v>
      </c>
      <c r="L102" s="398">
        <v>7615.691</v>
      </c>
      <c r="M102" s="398">
        <v>10841.622</v>
      </c>
      <c r="N102" s="398">
        <v>10573.471</v>
      </c>
      <c r="O102" s="278"/>
      <c r="P102" s="398">
        <v>12153.414</v>
      </c>
      <c r="Q102" s="398">
        <v>11176.343</v>
      </c>
      <c r="R102" s="398">
        <v>11260.403</v>
      </c>
      <c r="S102" s="398">
        <v>11458.472</v>
      </c>
      <c r="T102" s="278">
        <f>+S104</f>
        <v>14043.889</v>
      </c>
      <c r="U102" s="277">
        <f t="shared" ref="U102" si="193">T104+U99</f>
        <v>14043.889</v>
      </c>
      <c r="V102" s="277">
        <f t="shared" ref="V102" si="194">U104+V99</f>
        <v>10920.874628370942</v>
      </c>
      <c r="W102" s="277">
        <f t="shared" ref="W102" si="195">V104+W99</f>
        <v>7054.601934753202</v>
      </c>
      <c r="X102" s="277">
        <f t="shared" ref="X102" si="196">W104+X99</f>
        <v>4564.894784312912</v>
      </c>
      <c r="Y102" s="278">
        <f>IF(Last_FQR="1Q",U104,IF(Last_FQR="2Q",V104,IF(Last_FQR="3Q",W104,U102)))</f>
        <v>14043.889</v>
      </c>
      <c r="Z102" s="277">
        <f t="shared" ref="Z102:AC102" si="197">Y104+Z99</f>
        <v>3427.7628450597585</v>
      </c>
      <c r="AA102" s="277">
        <f t="shared" si="197"/>
        <v>-89.42194477172279</v>
      </c>
      <c r="AB102" s="277">
        <f t="shared" si="197"/>
        <v>6885.286849154727</v>
      </c>
      <c r="AC102" s="277">
        <f t="shared" si="197"/>
        <v>5225.775087711971</v>
      </c>
      <c r="AD102" s="278">
        <f>Z102</f>
        <v>3427.7628450597585</v>
      </c>
      <c r="AE102" s="278">
        <f t="shared" ref="AE102:AG102" si="198">AD104+AE99</f>
        <v>4200.539289903757</v>
      </c>
      <c r="AF102" s="278">
        <f t="shared" si="198"/>
        <v>837.3866997945038</v>
      </c>
      <c r="AG102" s="278">
        <f t="shared" si="198"/>
        <v>3766.0503294467017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-3123.014371629057</v>
      </c>
      <c r="V103" s="351">
        <f t="shared" si="199"/>
        <v>-3866.27269361774</v>
      </c>
      <c r="W103" s="351">
        <f t="shared" si="199"/>
        <v>-2489.70715044029</v>
      </c>
      <c r="X103" s="351">
        <f t="shared" si="199"/>
        <v>-1137.131939253153</v>
      </c>
      <c r="Y103" s="350">
        <f>SUM(U103:X103)</f>
        <v>-10616.12615494024</v>
      </c>
      <c r="Z103" s="351">
        <f t="shared" ref="Z103:AC103" si="200">SUM(Z87,Z96,Z98,Z100)</f>
        <v>-3517.1847898314813</v>
      </c>
      <c r="AA103" s="351">
        <f t="shared" si="200"/>
        <v>6974.708793926449</v>
      </c>
      <c r="AB103" s="351">
        <f t="shared" si="200"/>
        <v>-1659.5117614427563</v>
      </c>
      <c r="AC103" s="351">
        <f t="shared" si="200"/>
        <v>-1025.2357978082132</v>
      </c>
      <c r="AD103" s="350">
        <f>SUM(Z103:AC103)</f>
        <v>772.7764448439984</v>
      </c>
      <c r="AE103" s="350">
        <f t="shared" ref="AE103:AG103" si="201">SUM(AE87,AE96,AE98,AE100)</f>
        <v>-3363.152590109253</v>
      </c>
      <c r="AF103" s="350">
        <f t="shared" si="201"/>
        <v>2928.663629652198</v>
      </c>
      <c r="AG103" s="350">
        <f t="shared" si="201"/>
        <v>1634.011570732201</v>
      </c>
      <c r="AH103" s="8"/>
      <c r="AI103" s="8"/>
      <c r="AJ103" s="8"/>
      <c r="AK103" s="8"/>
    </row>
    <row r="104" ht="15.75" customHeight="1" spans="1:37" x14ac:dyDescent="0.25">
      <c r="A104" s="260"/>
      <c r="B104" s="8"/>
      <c r="C104" s="130" t="s">
        <v>309</v>
      </c>
      <c r="D104" s="8"/>
      <c r="E104" s="8"/>
      <c r="F104" s="398">
        <v>7508.508</v>
      </c>
      <c r="G104" s="398">
        <v>8004.88</v>
      </c>
      <c r="H104" s="398">
        <v>8817.357</v>
      </c>
      <c r="I104" s="398">
        <v>8526.363</v>
      </c>
      <c r="J104" s="278"/>
      <c r="K104" s="398">
        <v>7615.691</v>
      </c>
      <c r="L104" s="398">
        <v>10841.622</v>
      </c>
      <c r="M104" s="398">
        <v>10573.471</v>
      </c>
      <c r="N104" s="398">
        <v>12153.414</v>
      </c>
      <c r="O104" s="400"/>
      <c r="P104" s="398">
        <v>11176.343</v>
      </c>
      <c r="Q104" s="397">
        <v>11260.403</v>
      </c>
      <c r="R104" s="397">
        <v>11458.472</v>
      </c>
      <c r="S104" s="398">
        <f>+S120</f>
        <v>14043.889</v>
      </c>
      <c r="T104" s="278">
        <f t="shared" ref="T104:X104" si="202">SUM(T102:T103)</f>
        <v>14043.889</v>
      </c>
      <c r="U104" s="277">
        <f t="shared" si="202"/>
        <v>10920.874628370942</v>
      </c>
      <c r="V104" s="277">
        <f t="shared" si="202"/>
        <v>7054.601934753202</v>
      </c>
      <c r="W104" s="277">
        <f t="shared" si="202"/>
        <v>4564.894784312912</v>
      </c>
      <c r="X104" s="277">
        <f t="shared" si="202"/>
        <v>3427.7628450597585</v>
      </c>
      <c r="Y104" s="278">
        <f t="shared" ref="Y104:AG104" si="203">SUM(Y102:Y103)</f>
        <v>3427.7628450597585</v>
      </c>
      <c r="Z104" s="277">
        <f t="shared" si="203"/>
        <v>-89.42194477172279</v>
      </c>
      <c r="AA104" s="277">
        <f t="shared" si="203"/>
        <v>6885.286849154727</v>
      </c>
      <c r="AB104" s="277">
        <f t="shared" si="203"/>
        <v>5225.775087711971</v>
      </c>
      <c r="AC104" s="277">
        <f t="shared" si="203"/>
        <v>4200.539289903758</v>
      </c>
      <c r="AD104" s="278">
        <f t="shared" si="203"/>
        <v>4200.539289903757</v>
      </c>
      <c r="AE104" s="278">
        <f t="shared" si="203"/>
        <v>837.3866997945038</v>
      </c>
      <c r="AF104" s="278">
        <f t="shared" si="203"/>
        <v>3766.0503294467017</v>
      </c>
      <c r="AG104" s="278">
        <f t="shared" si="203"/>
        <v>5400.061900178903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129.3199999999999</v>
      </c>
      <c r="G108" s="353">
        <f t="shared" si="204"/>
        <v>8.744000000000042</v>
      </c>
      <c r="H108" s="353">
        <f t="shared" si="204"/>
        <v>53.920000000000094</v>
      </c>
      <c r="I108" s="353">
        <f t="shared" si="204"/>
        <v>29.133000000000266</v>
      </c>
      <c r="J108" s="157">
        <f t="shared" si="204"/>
        <v>221.11700000000033</v>
      </c>
      <c r="K108" s="353">
        <f t="shared" si="204"/>
        <v>164.24100000000004</v>
      </c>
      <c r="L108" s="353">
        <f t="shared" si="204"/>
        <v>154.5810000000001</v>
      </c>
      <c r="M108" s="353">
        <f t="shared" si="204"/>
        <v>174.56699999999998</v>
      </c>
      <c r="N108" s="353">
        <f t="shared" si="204"/>
        <v>167.91000000000025</v>
      </c>
      <c r="O108" s="157">
        <f t="shared" si="204"/>
        <v>661.2990000000004</v>
      </c>
      <c r="P108" s="353">
        <f t="shared" si="204"/>
        <v>136.8490000000005</v>
      </c>
      <c r="Q108" s="353">
        <f t="shared" si="204"/>
        <v>91.3950000000003</v>
      </c>
      <c r="R108" s="353">
        <f t="shared" si="204"/>
        <v>242.5040000000005</v>
      </c>
      <c r="S108" s="353">
        <f t="shared" ref="S108" si="205">S45</f>
        <v>162.96799999999877</v>
      </c>
      <c r="T108" s="157">
        <f t="shared" si="204"/>
        <v>633.7160000000001</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28.311000000000007</v>
      </c>
      <c r="J109" s="157">
        <f t="shared" ref="J109:J110" si="208">SUM(F109:I109)</f>
        <v>112.20100000000001</v>
      </c>
      <c r="K109" s="353">
        <f t="shared" ref="K109:N109" si="209">-K197+-K211</f>
        <v>43.202</v>
      </c>
      <c r="L109" s="353">
        <f t="shared" si="209"/>
        <v>49.946</v>
      </c>
      <c r="M109" s="353">
        <f t="shared" si="209"/>
        <v>45.977000000000004</v>
      </c>
      <c r="N109" s="353">
        <f t="shared" si="209"/>
        <v>51.20099999999999</v>
      </c>
      <c r="O109" s="157">
        <f t="shared" ref="O109:O110" si="210">SUM(K109:N109)</f>
        <v>190.326</v>
      </c>
      <c r="P109" s="353">
        <f t="shared" ref="P109:S109" si="211">-P197+-P211</f>
        <v>30.988</v>
      </c>
      <c r="Q109" s="353">
        <f t="shared" si="211"/>
        <v>52.252999999999986</v>
      </c>
      <c r="R109" s="353">
        <f t="shared" si="211"/>
        <v>53.22999999999999</v>
      </c>
      <c r="S109" s="353">
        <f t="shared" si="211"/>
        <v>55.81</v>
      </c>
      <c r="T109" s="157">
        <f t="shared" ref="T109:T110" si="212">SUM(P109:S109)</f>
        <v>192.28099999999998</v>
      </c>
      <c r="U109" s="355">
        <f t="shared" ref="U109:X109" si="213">-U197+-U211</f>
        <v>-45.1845375</v>
      </c>
      <c r="V109" s="355">
        <f t="shared" si="213"/>
        <v>-45.9563068069875</v>
      </c>
      <c r="W109" s="355">
        <f t="shared" si="213"/>
        <v>-46.09924510904429</v>
      </c>
      <c r="X109" s="355">
        <f t="shared" si="213"/>
        <v>-46.95459117435119</v>
      </c>
      <c r="Y109" s="157">
        <f t="shared" ref="Y109:Y110" si="214">SUM(U109:X109)</f>
        <v>-184.19468059038297</v>
      </c>
      <c r="Z109" s="355">
        <f t="shared" ref="Z109:AC109" si="215">-Z197+-Z211</f>
        <v>-45.341201044088876</v>
      </c>
      <c r="AA109" s="355">
        <f t="shared" si="215"/>
        <v>-46.007408890252954</v>
      </c>
      <c r="AB109" s="355">
        <f t="shared" si="215"/>
        <v>-45.99648817786875</v>
      </c>
      <c r="AC109" s="355">
        <f t="shared" si="215"/>
        <v>-45.75118990759355</v>
      </c>
      <c r="AD109" s="157">
        <f t="shared" ref="AD109:AD110" si="216">SUM(Z109:AC109)</f>
        <v>-183.09628801980412</v>
      </c>
      <c r="AE109" s="157">
        <f t="shared" ref="AE109:AG109" si="217">-AE197+-AE211</f>
        <v>-182.07061212384048</v>
      </c>
      <c r="AF109" s="157">
        <f t="shared" si="217"/>
        <v>-178.1965373852448</v>
      </c>
      <c r="AG109" s="157">
        <f t="shared" si="217"/>
        <v>-169.96234908879086</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-2847.4272972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-16.848</v>
      </c>
      <c r="H111" s="378">
        <f t="shared" si="224"/>
        <v>-26</v>
      </c>
      <c r="I111" s="378">
        <f t="shared" si="224"/>
        <v>-23</v>
      </c>
      <c r="J111" s="350">
        <f>SUM(F111:I111)</f>
        <v>-91</v>
      </c>
      <c r="K111" s="378">
        <f t="shared" ref="K111:N111" si="225">K196</f>
        <v>-96.241</v>
      </c>
      <c r="L111" s="378">
        <f t="shared" si="225"/>
        <v>27.241</v>
      </c>
      <c r="M111" s="378">
        <f t="shared" si="225"/>
        <v>-53</v>
      </c>
      <c r="N111" s="378">
        <f t="shared" si="225"/>
        <v>-51</v>
      </c>
      <c r="O111" s="350">
        <f>SUM(K111:N111)</f>
        <v>-173</v>
      </c>
      <c r="P111" s="378">
        <f t="shared" ref="P111:S111" si="226">P196</f>
        <v>-49.578</v>
      </c>
      <c r="Q111" s="378">
        <f t="shared" si="226"/>
        <v>-49.422</v>
      </c>
      <c r="R111" s="378">
        <f t="shared" si="226"/>
        <v>-56</v>
      </c>
      <c r="S111" s="378">
        <f t="shared" si="226"/>
        <v>-18</v>
      </c>
      <c r="T111" s="350">
        <f>SUM(P111:S111)</f>
        <v>-173</v>
      </c>
      <c r="U111" s="351">
        <f t="shared" ref="U111:X111" si="227">U196</f>
        <v>-41.14278765000001</v>
      </c>
      <c r="V111" s="351">
        <f t="shared" si="227"/>
        <v>-42.0668292</v>
      </c>
      <c r="W111" s="351">
        <f t="shared" si="227"/>
        <v>-48.37804125</v>
      </c>
      <c r="X111" s="351">
        <f t="shared" si="227"/>
        <v>-48.28526954999998</v>
      </c>
      <c r="Y111" s="350">
        <f>SUM(U111:X111)</f>
        <v>-179.87292764999998</v>
      </c>
      <c r="Z111" s="351">
        <f t="shared" ref="Z111:AC111" si="228">Z196</f>
        <v>-44.23067125650001</v>
      </c>
      <c r="AA111" s="351">
        <f t="shared" si="228"/>
        <v>-46.30457113200001</v>
      </c>
      <c r="AB111" s="351">
        <f t="shared" si="228"/>
        <v>-52.67127104250001</v>
      </c>
      <c r="AC111" s="351">
        <f t="shared" si="228"/>
        <v>-52.105934849999976</v>
      </c>
      <c r="AD111" s="350">
        <f>SUM(Z111:AC111)</f>
        <v>-195.312448281</v>
      </c>
      <c r="AE111" s="350">
        <f t="shared" ref="AE111:AG111" si="229">AE196</f>
        <v>-208.42486204626002</v>
      </c>
      <c r="AF111" s="350">
        <f t="shared" si="229"/>
        <v>-218.2637484951786</v>
      </c>
      <c r="AG111" s="350">
        <f t="shared" si="229"/>
        <v>-224.65688392894816</v>
      </c>
      <c r="AH111" s="8"/>
      <c r="AI111" s="8"/>
      <c r="AJ111" s="8"/>
      <c r="AK111" s="8"/>
    </row>
    <row r="112" ht="15.75" customHeight="1" spans="1:37" x14ac:dyDescent="0.25">
      <c r="A112" s="260"/>
      <c r="B112" s="8"/>
      <c r="C112" s="8" t="s">
        <v>312</v>
      </c>
      <c r="D112" s="8"/>
      <c r="E112" s="8"/>
      <c r="F112" s="348">
        <f t="shared" ref="F112:X112" si="230">SUM(F108:F111)</f>
        <v>137.45999999999992</v>
      </c>
      <c r="G112" s="348">
        <f t="shared" si="230"/>
        <v>738.9479999999994</v>
      </c>
      <c r="H112" s="348">
        <f t="shared" si="230"/>
        <v>-873.221</v>
      </c>
      <c r="I112" s="348">
        <f t="shared" si="230"/>
        <v>-238.797999999999</v>
      </c>
      <c r="J112" s="278">
        <f t="shared" si="230"/>
        <v>-235.61099999999976</v>
      </c>
      <c r="K112" s="348">
        <f t="shared" si="230"/>
        <v>-201.67200000000065</v>
      </c>
      <c r="L112" s="348">
        <f t="shared" si="230"/>
        <v>-373.4049999999997</v>
      </c>
      <c r="M112" s="348">
        <f t="shared" si="230"/>
        <v>1117.8380000000006</v>
      </c>
      <c r="N112" s="348">
        <f t="shared" si="230"/>
        <v>-910.7060000000007</v>
      </c>
      <c r="O112" s="278">
        <f t="shared" si="230"/>
        <v>-367.94500000000016</v>
      </c>
      <c r="P112" s="348">
        <f t="shared" si="230"/>
        <v>-176.40699999999876</v>
      </c>
      <c r="Q112" s="348">
        <f t="shared" si="230"/>
        <v>304.87699999999916</v>
      </c>
      <c r="R112" s="348">
        <f t="shared" si="230"/>
        <v>-110.84799999999893</v>
      </c>
      <c r="S112" s="348">
        <f t="shared" ref="S112" si="231">SUM(S108:S111)</f>
        <v>2315.3029999999985</v>
      </c>
      <c r="T112" s="278">
        <f t="shared" si="230"/>
        <v>2332.925</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0.07720043132497637</v>
      </c>
      <c r="G114" s="402">
        <f t="shared" si="233"/>
        <v>0.447510419429738</v>
      </c>
      <c r="H114" s="402">
        <f t="shared" si="233"/>
        <v>-0.4278632634421879</v>
      </c>
      <c r="I114" s="402">
        <f t="shared" si="233"/>
        <v>-0.12129791892070307</v>
      </c>
      <c r="J114" s="403">
        <f t="shared" si="233"/>
        <v>-0.03166227232045666</v>
      </c>
      <c r="K114" s="402">
        <f t="shared" si="233"/>
        <v>-0.07902817508523087</v>
      </c>
      <c r="L114" s="402">
        <f t="shared" si="233"/>
        <v>-0.14839859631273758</v>
      </c>
      <c r="M114" s="402">
        <f t="shared" si="233"/>
        <v>0.43068642409111246</v>
      </c>
      <c r="N114" s="402">
        <f t="shared" si="233"/>
        <v>-0.3193824635037714</v>
      </c>
      <c r="O114" s="403">
        <f t="shared" si="233"/>
        <v>-0.03499216220074258</v>
      </c>
      <c r="P114" s="402">
        <f t="shared" si="233"/>
        <v>-0.07133712165327277</v>
      </c>
      <c r="Q114" s="402">
        <f t="shared" si="233"/>
        <v>0.12222874817334585</v>
      </c>
      <c r="R114" s="402">
        <f t="shared" si="233"/>
        <v>-0.03812256807331184</v>
      </c>
      <c r="S114" s="402">
        <f t="shared" ref="S114" si="234">S112/S28</f>
        <v>0.785161474540359</v>
      </c>
      <c r="T114" s="403">
        <f t="shared" si="233"/>
        <v>0.21553904463335335</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0.5749034926662788</v>
      </c>
      <c r="G115" s="376">
        <f t="shared" si="236"/>
        <v>3.0463540120708394</v>
      </c>
      <c r="H115" s="376">
        <f t="shared" si="236"/>
        <v>-3.8239961813508034</v>
      </c>
      <c r="I115" s="376">
        <f t="shared" si="236"/>
        <v>-1.0266068810751046</v>
      </c>
      <c r="J115" s="117">
        <f t="shared" si="236"/>
        <v>-1.0058100320170749</v>
      </c>
      <c r="K115" s="376">
        <f t="shared" si="236"/>
        <v>-0.9164992774238144</v>
      </c>
      <c r="L115" s="376">
        <f t="shared" si="236"/>
        <v>-1.6975192184424297</v>
      </c>
      <c r="M115" s="376">
        <f t="shared" si="236"/>
        <v>5.212532408184585</v>
      </c>
      <c r="N115" s="376">
        <f t="shared" si="236"/>
        <v>-4.1952745313918</v>
      </c>
      <c r="O115" s="117">
        <f t="shared" si="236"/>
        <v>-1.699515011547345</v>
      </c>
      <c r="P115" s="376">
        <f t="shared" si="236"/>
        <v>-0.8222722526755358</v>
      </c>
      <c r="Q115" s="376">
        <f t="shared" si="236"/>
        <v>1.4173930831206347</v>
      </c>
      <c r="R115" s="376">
        <f t="shared" si="236"/>
        <v>-0.5148704323874855</v>
      </c>
      <c r="S115" s="376">
        <f t="shared" ref="S115" si="237">S112/S285</f>
        <v>10.764044891583286</v>
      </c>
      <c r="T115" s="117">
        <f t="shared" si="236"/>
        <v>10.850536381627448</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0.06050023600802724</v>
      </c>
      <c r="G116" s="402">
        <f t="shared" si="239"/>
        <v>0.3506594546268592</v>
      </c>
      <c r="H116" s="402">
        <f t="shared" si="239"/>
        <v>-0.44029892704096757</v>
      </c>
      <c r="I116" s="402">
        <f t="shared" si="239"/>
        <v>-0.11515500628997248</v>
      </c>
      <c r="J116" s="403">
        <f>J115/J242</f>
        <v>-0.02818082290258898</v>
      </c>
      <c r="K116" s="402">
        <f t="shared" ref="K116:N116" si="240">K115*4/K242</f>
        <v>-0.09022882376803489</v>
      </c>
      <c r="L116" s="402">
        <f t="shared" si="240"/>
        <v>-0.16699647992547267</v>
      </c>
      <c r="M116" s="402">
        <f t="shared" si="240"/>
        <v>0.5120365823364033</v>
      </c>
      <c r="N116" s="402">
        <f t="shared" si="240"/>
        <v>-0.41210948245499024</v>
      </c>
      <c r="O116" s="403">
        <f>O115/O242</f>
        <v>-0.04182771384113466</v>
      </c>
      <c r="P116" s="402">
        <f t="shared" ref="P116:S116" si="241">P115*4/P242</f>
        <v>-0.04066125615900783</v>
      </c>
      <c r="Q116" s="402">
        <f t="shared" si="241"/>
        <v>0.07077234218552664</v>
      </c>
      <c r="R116" s="402">
        <f t="shared" si="241"/>
        <v>-0.025808041723683485</v>
      </c>
      <c r="S116" s="402">
        <f t="shared" si="241"/>
        <v>1.0573717968156469</v>
      </c>
      <c r="T116" s="403">
        <f>T115/T242</f>
        <v>0.1354716062282904</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49343</v>
      </c>
      <c r="G120" s="405">
        <v>49529</v>
      </c>
      <c r="H120" s="405">
        <v>49605</v>
      </c>
      <c r="I120" s="405">
        <v>73387</v>
      </c>
      <c r="J120" s="278">
        <f>I120</f>
        <v>8526.363</v>
      </c>
      <c r="K120" s="405">
        <v>72852</v>
      </c>
      <c r="L120" s="405">
        <v>71178</v>
      </c>
      <c r="M120" s="405">
        <v>75091</v>
      </c>
      <c r="N120" s="405">
        <v>78779</v>
      </c>
      <c r="O120" s="278">
        <f>N120</f>
        <v>12153.414</v>
      </c>
      <c r="P120" s="405">
        <v>66207</v>
      </c>
      <c r="Q120" s="405">
        <v>57741</v>
      </c>
      <c r="R120" s="405">
        <v>66922</v>
      </c>
      <c r="S120" s="405">
        <v>86810</v>
      </c>
      <c r="T120" s="278">
        <f t="shared" ref="T120:T124" si="247">S120</f>
        <v>14043.889</v>
      </c>
      <c r="U120" s="277">
        <f t="shared" ref="U120:X120" si="248">U104</f>
        <v>10920.874628370942</v>
      </c>
      <c r="V120" s="277">
        <f t="shared" si="248"/>
        <v>7054.601934753202</v>
      </c>
      <c r="W120" s="277">
        <f t="shared" si="248"/>
        <v>4564.894784312912</v>
      </c>
      <c r="X120" s="277">
        <f t="shared" si="248"/>
        <v>3427.7628450597585</v>
      </c>
      <c r="Y120" s="278">
        <f t="shared" ref="Y120:Y124" si="249">X120</f>
        <v>3427.7628450597585</v>
      </c>
      <c r="Z120" s="277">
        <f t="shared" ref="Z120:AC120" si="250">Z104</f>
        <v>-89.42194477172279</v>
      </c>
      <c r="AA120" s="277">
        <f t="shared" si="250"/>
        <v>6885.286849154727</v>
      </c>
      <c r="AB120" s="277">
        <f t="shared" si="250"/>
        <v>5225.775087711971</v>
      </c>
      <c r="AC120" s="277">
        <f t="shared" si="250"/>
        <v>4200.539289903758</v>
      </c>
      <c r="AD120" s="278">
        <f t="shared" ref="AD120:AD124" si="251">AC120</f>
        <v>4200.539289903758</v>
      </c>
      <c r="AE120" s="278">
        <f t="shared" ref="AE120:AG120" si="252">AE104</f>
        <v>837.3866997945038</v>
      </c>
      <c r="AF120" s="278">
        <f t="shared" si="252"/>
        <v>3766.0503294467017</v>
      </c>
      <c r="AG120" s="278">
        <f t="shared" si="252"/>
        <v>5400.061900178903</v>
      </c>
      <c r="AH120" s="8"/>
      <c r="AI120" s="8"/>
      <c r="AJ120" s="8"/>
      <c r="AK120" s="8"/>
    </row>
    <row r="121" ht="15.75" customHeight="1" spans="1:37" x14ac:dyDescent="0.25">
      <c r="A121" s="260"/>
      <c r="B121" s="8"/>
      <c r="C121" s="8" t="s">
        <v>318</v>
      </c>
      <c r="D121" s="8"/>
      <c r="E121" s="8"/>
      <c r="F121" s="405">
        <v>37646</v>
      </c>
      <c r="G121" s="405">
        <v>39925</v>
      </c>
      <c r="H121" s="405">
        <v>43420</v>
      </c>
      <c r="I121" s="405">
        <v>52253</v>
      </c>
      <c r="J121" s="157">
        <f>I121</f>
        <v>4716.299</v>
      </c>
      <c r="K121" s="405">
        <v>47768</v>
      </c>
      <c r="L121" s="405">
        <v>50106</v>
      </c>
      <c r="M121" s="405">
        <v>51638</v>
      </c>
      <c r="N121" s="405">
        <v>55451</v>
      </c>
      <c r="O121" s="157">
        <f>N121</f>
        <v>5824.844</v>
      </c>
      <c r="P121" s="405">
        <v>54216</v>
      </c>
      <c r="Q121" s="405">
        <v>57415</v>
      </c>
      <c r="R121" s="405">
        <v>61175</v>
      </c>
      <c r="S121" s="405">
        <v>67729</v>
      </c>
      <c r="T121" s="157">
        <f t="shared" si="247"/>
        <v>8556.388</v>
      </c>
      <c r="U121" s="355">
        <f t="shared" ref="U121:X121" si="253">U163</f>
        <v>6911.988325200002</v>
      </c>
      <c r="V121" s="355">
        <f t="shared" si="253"/>
        <v>6955.0490944</v>
      </c>
      <c r="W121" s="355">
        <f t="shared" si="253"/>
        <v>7869.494710000001</v>
      </c>
      <c r="X121" s="355">
        <f t="shared" si="253"/>
        <v>7725.643127999997</v>
      </c>
      <c r="Y121" s="157">
        <f t="shared" si="249"/>
        <v>7725.643127999997</v>
      </c>
      <c r="Z121" s="355">
        <f t="shared" ref="Z121:AC121" si="254">Z163</f>
        <v>7430.752771092002</v>
      </c>
      <c r="AA121" s="355">
        <f t="shared" si="254"/>
        <v>7655.689093824001</v>
      </c>
      <c r="AB121" s="355">
        <f t="shared" si="254"/>
        <v>8567.860089580003</v>
      </c>
      <c r="AC121" s="355">
        <f t="shared" si="254"/>
        <v>8336.949575999997</v>
      </c>
      <c r="AD121" s="157">
        <f t="shared" si="251"/>
        <v>8336.949575999997</v>
      </c>
      <c r="AE121" s="157">
        <f t="shared" ref="AE121:AG121" si="255">AE163</f>
        <v>9170.69393003544</v>
      </c>
      <c r="AF121" s="157">
        <f t="shared" si="255"/>
        <v>9458.095768124407</v>
      </c>
      <c r="AG121" s="157">
        <f t="shared" si="255"/>
        <v>9735.131636921087</v>
      </c>
      <c r="AH121" s="8"/>
      <c r="AI121" s="8"/>
      <c r="AJ121" s="8"/>
      <c r="AK121" s="8"/>
    </row>
    <row r="122" ht="15.75" customHeight="1" spans="1:37" x14ac:dyDescent="0.25">
      <c r="A122" s="260"/>
      <c r="B122" s="8"/>
      <c r="C122" s="8" t="s">
        <v>319</v>
      </c>
      <c r="D122" s="8"/>
      <c r="E122" s="8"/>
      <c r="F122" s="405">
        <v>34170</v>
      </c>
      <c r="G122" s="405">
        <v>36587</v>
      </c>
      <c r="H122" s="405">
        <v>35406</v>
      </c>
      <c r="I122" s="405">
        <v>33318</v>
      </c>
      <c r="J122" s="157">
        <f>I122</f>
        <v>0</v>
      </c>
      <c r="K122" s="405">
        <v>31147</v>
      </c>
      <c r="L122" s="405">
        <v>34109</v>
      </c>
      <c r="M122" s="405">
        <v>36103</v>
      </c>
      <c r="N122" s="405">
        <v>34214</v>
      </c>
      <c r="O122" s="157">
        <f>N122</f>
        <v>0</v>
      </c>
      <c r="P122" s="405">
        <v>35864</v>
      </c>
      <c r="Q122" s="405">
        <v>40825</v>
      </c>
      <c r="R122" s="405">
        <v>41494</v>
      </c>
      <c r="S122" s="405">
        <v>38325</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15062</v>
      </c>
      <c r="G123" s="406">
        <v>14441</v>
      </c>
      <c r="H123" s="406">
        <v>14564</v>
      </c>
      <c r="I123" s="406">
        <v>13393</v>
      </c>
      <c r="J123" s="357">
        <f>I123</f>
        <v>37552.851</v>
      </c>
      <c r="K123" s="406">
        <v>12222</v>
      </c>
      <c r="L123" s="406">
        <v>17914</v>
      </c>
      <c r="M123" s="406">
        <v>12960</v>
      </c>
      <c r="N123" s="406">
        <v>22423</v>
      </c>
      <c r="O123" s="357">
        <f>N123</f>
        <v>40235.206</v>
      </c>
      <c r="P123" s="406">
        <v>28358</v>
      </c>
      <c r="Q123" s="406">
        <v>35439</v>
      </c>
      <c r="R123" s="406">
        <v>27275</v>
      </c>
      <c r="S123" s="406">
        <v>36219</v>
      </c>
      <c r="T123" s="350">
        <f t="shared" si="247"/>
        <v>47081.324</v>
      </c>
      <c r="U123" s="351">
        <f t="shared" ref="U123:X123" si="259">U165</f>
        <v>50334.69826</v>
      </c>
      <c r="V123" s="351">
        <f t="shared" si="259"/>
        <v>58997.556131745005</v>
      </c>
      <c r="W123" s="351">
        <f t="shared" si="259"/>
        <v>63208.33928136543</v>
      </c>
      <c r="X123" s="351">
        <f t="shared" si="259"/>
        <v>66708.66529954002</v>
      </c>
      <c r="Y123" s="350">
        <f t="shared" si="249"/>
        <v>66708.66529954002</v>
      </c>
      <c r="Z123" s="351">
        <f t="shared" ref="Z123:AC123" si="260">Z165</f>
        <v>67969.2140309196</v>
      </c>
      <c r="AA123" s="351">
        <f t="shared" si="260"/>
        <v>64201.31174558976</v>
      </c>
      <c r="AB123" s="351">
        <f t="shared" si="260"/>
        <v>67282.8100263753</v>
      </c>
      <c r="AC123" s="351">
        <f t="shared" si="260"/>
        <v>70459.19983548866</v>
      </c>
      <c r="AD123" s="350">
        <f t="shared" si="251"/>
        <v>70459.19983548866</v>
      </c>
      <c r="AE123" s="350">
        <f t="shared" ref="AE123:AG123" si="261">AE165</f>
        <v>77211.71555496176</v>
      </c>
      <c r="AF123" s="350">
        <f t="shared" si="261"/>
        <v>78168.04811074784</v>
      </c>
      <c r="AG123" s="350">
        <f t="shared" si="261"/>
        <v>80448.78917085087</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69681.601</v>
      </c>
      <c r="T124" s="278">
        <f t="shared" si="247"/>
        <v>69681.601</v>
      </c>
      <c r="U124" s="277">
        <f t="shared" ref="U124:X124" si="267">SUM(U120:U123)</f>
        <v>71353.69801357095</v>
      </c>
      <c r="V124" s="277">
        <f t="shared" si="267"/>
        <v>76889.1784408982</v>
      </c>
      <c r="W124" s="277">
        <f t="shared" si="267"/>
        <v>80500.90297567834</v>
      </c>
      <c r="X124" s="277">
        <f t="shared" si="267"/>
        <v>83470.25687259977</v>
      </c>
      <c r="Y124" s="278">
        <f t="shared" si="249"/>
        <v>83470.25687259977</v>
      </c>
      <c r="Z124" s="277">
        <f t="shared" ref="Z124:AC124" si="268">SUM(Z120:Z123)</f>
        <v>78496.68165723988</v>
      </c>
      <c r="AA124" s="277">
        <f t="shared" si="268"/>
        <v>82624.2589685685</v>
      </c>
      <c r="AB124" s="277">
        <f t="shared" si="268"/>
        <v>85934.61940366728</v>
      </c>
      <c r="AC124" s="277">
        <f t="shared" si="268"/>
        <v>88604.87430139241</v>
      </c>
      <c r="AD124" s="278">
        <f t="shared" si="251"/>
        <v>88604.87430139241</v>
      </c>
      <c r="AE124" s="278">
        <f t="shared" ref="AE124:AG124" si="269">SUM(AE120:AE123)</f>
        <v>91943.7131847917</v>
      </c>
      <c r="AF124" s="278">
        <f t="shared" si="269"/>
        <v>96044.53670831895</v>
      </c>
      <c r="AG124" s="278">
        <f t="shared" si="269"/>
        <v>100236.32520795087</v>
      </c>
      <c r="AH124" s="8"/>
      <c r="AI124" s="8"/>
      <c r="AJ124" s="8"/>
      <c r="AK124" s="8"/>
    </row>
    <row r="125" ht="15.75" customHeight="1" spans="1:37" x14ac:dyDescent="0.25">
      <c r="A125" s="260"/>
      <c r="B125" s="8"/>
      <c r="C125" s="8" t="s">
        <v>322</v>
      </c>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1250.5117498500001</v>
      </c>
      <c r="V126" s="277">
        <f t="shared" si="271"/>
        <v>1254.4012274569875</v>
      </c>
      <c r="W126" s="277">
        <f t="shared" si="271"/>
        <v>1252.1224313160317</v>
      </c>
      <c r="X126" s="277">
        <f t="shared" si="271"/>
        <v>1250.7917529403828</v>
      </c>
      <c r="Y126" s="278">
        <f t="shared" ref="Y126:Y130" si="272">X126</f>
        <v>1250.7917529403828</v>
      </c>
      <c r="Z126" s="277">
        <f t="shared" ref="Z126:AC126" si="273">Z199</f>
        <v>1251.9022827279716</v>
      </c>
      <c r="AA126" s="277">
        <f t="shared" si="273"/>
        <v>1251.6051204862245</v>
      </c>
      <c r="AB126" s="277">
        <f t="shared" si="273"/>
        <v>1244.9303376215933</v>
      </c>
      <c r="AC126" s="277">
        <f t="shared" si="273"/>
        <v>1238.5755926791867</v>
      </c>
      <c r="AD126" s="278">
        <f t="shared" ref="AD126:AD130" si="274">AC126</f>
        <v>1238.5755926791867</v>
      </c>
      <c r="AE126" s="278">
        <f t="shared" ref="AE126:AG126" si="275">AE199</f>
        <v>1212.2213427567674</v>
      </c>
      <c r="AF126" s="278">
        <f t="shared" si="275"/>
        <v>1172.1541316468335</v>
      </c>
      <c r="AG126" s="278">
        <f t="shared" si="275"/>
        <v>1117.4595968066762</v>
      </c>
      <c r="AH126" s="8"/>
      <c r="AI126" s="8"/>
      <c r="AJ126" s="8"/>
      <c r="AK126" s="8"/>
    </row>
    <row r="127" ht="15.75" customHeight="1" spans="1:37" x14ac:dyDescent="0.25">
      <c r="A127" s="260"/>
      <c r="B127" s="8"/>
      <c r="C127" s="8" t="s">
        <v>323</v>
      </c>
      <c r="D127" s="8"/>
      <c r="E127" s="8"/>
      <c r="F127" s="405">
        <v>0</v>
      </c>
      <c r="G127" s="405">
        <v>0</v>
      </c>
      <c r="H127" s="405">
        <v>0</v>
      </c>
      <c r="I127" s="405">
        <v>6540</v>
      </c>
      <c r="J127" s="157">
        <f>I127</f>
        <v>0</v>
      </c>
      <c r="K127" s="405">
        <v>0</v>
      </c>
      <c r="L127" s="405">
        <v>0</v>
      </c>
      <c r="M127" s="405">
        <v>0</v>
      </c>
      <c r="N127" s="405">
        <v>7439</v>
      </c>
      <c r="O127" s="157">
        <f>N127</f>
        <v>0</v>
      </c>
      <c r="P127" s="405">
        <v>0</v>
      </c>
      <c r="Q127" s="405">
        <v>0</v>
      </c>
      <c r="R127" s="405">
        <v>0</v>
      </c>
      <c r="S127" s="405">
        <v>8034</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22749</v>
      </c>
      <c r="G128" s="405">
        <v>22785</v>
      </c>
      <c r="H128" s="405">
        <v>22749</v>
      </c>
      <c r="I128" s="405">
        <v>22789</v>
      </c>
      <c r="J128" s="157">
        <f>I128</f>
        <v>1847.856</v>
      </c>
      <c r="K128" s="405">
        <v>22770</v>
      </c>
      <c r="L128" s="405">
        <v>22879</v>
      </c>
      <c r="M128" s="405">
        <v>23081</v>
      </c>
      <c r="N128" s="405">
        <v>23074</v>
      </c>
      <c r="O128" s="157">
        <f>N128</f>
        <v>1827.938</v>
      </c>
      <c r="P128" s="405">
        <v>23089</v>
      </c>
      <c r="Q128" s="405">
        <v>23155</v>
      </c>
      <c r="R128" s="405">
        <v>23260</v>
      </c>
      <c r="S128" s="405">
        <v>23273</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46392</v>
      </c>
      <c r="G129" s="406">
        <v>50224</v>
      </c>
      <c r="H129" s="406">
        <v>53913</v>
      </c>
      <c r="I129" s="406">
        <v>121997</v>
      </c>
      <c r="J129" s="357">
        <f>I129</f>
        <v>4196.112</v>
      </c>
      <c r="K129" s="406">
        <v>60947</v>
      </c>
      <c r="L129" s="406">
        <v>63340</v>
      </c>
      <c r="M129" s="406">
        <v>71309</v>
      </c>
      <c r="N129" s="406">
        <v>150849</v>
      </c>
      <c r="O129" s="357">
        <f>N129</f>
        <v>3124.187</v>
      </c>
      <c r="P129" s="406">
        <v>84246</v>
      </c>
      <c r="Q129" s="406">
        <v>87854</v>
      </c>
      <c r="R129" s="406">
        <v>99904</v>
      </c>
      <c r="S129" s="406">
        <v>200627</v>
      </c>
      <c r="T129" s="350">
        <f t="shared" si="270"/>
        <v>3246.706</v>
      </c>
      <c r="U129" s="351">
        <f t="shared" ref="U129:X129" si="282">U222</f>
        <v>3311.64012</v>
      </c>
      <c r="V129" s="351">
        <f t="shared" si="282"/>
        <v>3377.8729224</v>
      </c>
      <c r="W129" s="351">
        <f t="shared" si="282"/>
        <v>3445.430380848</v>
      </c>
      <c r="X129" s="351">
        <f t="shared" si="282"/>
        <v>3514.33898846496</v>
      </c>
      <c r="Y129" s="350">
        <f t="shared" si="272"/>
        <v>3514.33898846496</v>
      </c>
      <c r="Z129" s="351">
        <f t="shared" ref="Z129:AC129" si="283">Z222</f>
        <v>3584.6257682342593</v>
      </c>
      <c r="AA129" s="351">
        <f t="shared" si="283"/>
        <v>3656.3182835989446</v>
      </c>
      <c r="AB129" s="351">
        <f t="shared" si="283"/>
        <v>3729.4446492709235</v>
      </c>
      <c r="AC129" s="351">
        <f t="shared" si="283"/>
        <v>3804.033542256342</v>
      </c>
      <c r="AD129" s="350">
        <f t="shared" si="274"/>
        <v>3804.033542256342</v>
      </c>
      <c r="AE129" s="350">
        <f t="shared" ref="AE129:AG129" si="284">AE222</f>
        <v>4089.3360579255677</v>
      </c>
      <c r="AF129" s="350">
        <f t="shared" si="284"/>
        <v>4498.269663718125</v>
      </c>
      <c r="AG129" s="350">
        <f t="shared" si="284"/>
        <v>4880.622585134166</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6330.746</v>
      </c>
      <c r="T130" s="278">
        <f t="shared" si="270"/>
        <v>6330.746</v>
      </c>
      <c r="U130" s="277">
        <f t="shared" ref="U130:X130" si="290">SUM(U126:U129)</f>
        <v>6399.72186985</v>
      </c>
      <c r="V130" s="277">
        <f t="shared" si="290"/>
        <v>6469.844149856987</v>
      </c>
      <c r="W130" s="277">
        <f t="shared" si="290"/>
        <v>6535.1228121640315</v>
      </c>
      <c r="X130" s="277">
        <f t="shared" si="290"/>
        <v>6602.700741405342</v>
      </c>
      <c r="Y130" s="278">
        <f t="shared" si="272"/>
        <v>6602.700741405342</v>
      </c>
      <c r="Z130" s="277">
        <f t="shared" ref="Z130:AC130" si="291">SUM(Z126:Z129)</f>
        <v>6674.098050962231</v>
      </c>
      <c r="AA130" s="277">
        <f t="shared" si="291"/>
        <v>6745.4934040851695</v>
      </c>
      <c r="AB130" s="277">
        <f t="shared" si="291"/>
        <v>6811.944986892517</v>
      </c>
      <c r="AC130" s="277">
        <f t="shared" si="291"/>
        <v>6880.179134935529</v>
      </c>
      <c r="AD130" s="278">
        <f t="shared" si="274"/>
        <v>6880.179134935529</v>
      </c>
      <c r="AE130" s="278">
        <f t="shared" ref="AE130:AG130" si="292">SUM(AE126:AE129)</f>
        <v>7139.127400682335</v>
      </c>
      <c r="AF130" s="278">
        <f t="shared" si="292"/>
        <v>7507.993795364959</v>
      </c>
      <c r="AG130" s="278">
        <f t="shared" si="292"/>
        <v>7835.652181940843</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76012.347</v>
      </c>
      <c r="T132" s="278">
        <f t="shared" si="293"/>
        <v>76012.347</v>
      </c>
      <c r="U132" s="277">
        <f t="shared" si="293"/>
        <v>88243.88810342095</v>
      </c>
      <c r="V132" s="277">
        <f t="shared" si="293"/>
        <v>94035.50284473019</v>
      </c>
      <c r="W132" s="277">
        <f t="shared" si="293"/>
        <v>97895.44719787876</v>
      </c>
      <c r="X132" s="277">
        <f t="shared" si="293"/>
        <v>101113.21091446062</v>
      </c>
      <c r="Y132" s="278">
        <f t="shared" ref="Y132:AG132" si="295">SUM(Y124,Y130)</f>
        <v>101113.21091446062</v>
      </c>
      <c r="Z132" s="277">
        <f t="shared" si="295"/>
        <v>96411.04580168606</v>
      </c>
      <c r="AA132" s="277">
        <f t="shared" si="295"/>
        <v>100809.07479087335</v>
      </c>
      <c r="AB132" s="277">
        <f t="shared" si="295"/>
        <v>104382.06141766525</v>
      </c>
      <c r="AC132" s="277">
        <f t="shared" si="295"/>
        <v>107314.86206089603</v>
      </c>
      <c r="AD132" s="278">
        <f t="shared" si="295"/>
        <v>107314.86206089603</v>
      </c>
      <c r="AE132" s="278">
        <f t="shared" si="295"/>
        <v>111675.08277690806</v>
      </c>
      <c r="AF132" s="278">
        <f t="shared" si="295"/>
        <v>117278.5309571681</v>
      </c>
      <c r="AG132" s="278">
        <f t="shared" si="295"/>
        <v>122824.37524538682</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1100</v>
      </c>
      <c r="G134" s="359">
        <v>1100</v>
      </c>
      <c r="H134" s="359">
        <v>166</v>
      </c>
      <c r="I134" s="359">
        <v>147</v>
      </c>
      <c r="J134" s="278">
        <f t="shared" ref="J134:J138" si="296">I134</f>
        <v>989.715</v>
      </c>
      <c r="K134" s="359">
        <v>50</v>
      </c>
      <c r="L134" s="359">
        <v>76</v>
      </c>
      <c r="M134" s="359">
        <v>88</v>
      </c>
      <c r="N134" s="359">
        <v>151</v>
      </c>
      <c r="O134" s="278">
        <f t="shared" ref="O134:O138" si="297">N134</f>
        <v>443.16</v>
      </c>
      <c r="P134" s="359">
        <v>76</v>
      </c>
      <c r="Q134" s="359">
        <v>173</v>
      </c>
      <c r="R134" s="359">
        <v>220</v>
      </c>
      <c r="S134" s="359">
        <v>455</v>
      </c>
      <c r="T134" s="278">
        <f t="shared" ref="T134:T138" si="298">S134</f>
        <v>1767.206</v>
      </c>
      <c r="U134" s="277">
        <f t="shared" ref="U134:X134" si="299">U168</f>
        <v>1368.2222459999998</v>
      </c>
      <c r="V134" s="277">
        <f t="shared" si="299"/>
        <v>1588.3899858615769</v>
      </c>
      <c r="W134" s="277">
        <f t="shared" si="299"/>
        <v>1692.6390512051432</v>
      </c>
      <c r="X134" s="277">
        <f t="shared" si="299"/>
        <v>1762.1180495618175</v>
      </c>
      <c r="Y134" s="278">
        <f t="shared" ref="Y134:Y138" si="300">X134</f>
        <v>1762.1180495618175</v>
      </c>
      <c r="Z134" s="277">
        <f t="shared" ref="Z134:AC134" si="301">Z168</f>
        <v>1820.037796460291</v>
      </c>
      <c r="AA134" s="277">
        <f t="shared" si="301"/>
        <v>1735.3988244303491</v>
      </c>
      <c r="AB134" s="277">
        <f t="shared" si="301"/>
        <v>1814.56334623572</v>
      </c>
      <c r="AC134" s="277">
        <f t="shared" si="301"/>
        <v>1878.8771055179743</v>
      </c>
      <c r="AD134" s="278">
        <f t="shared" ref="AD134:AD138" si="302">AC134</f>
        <v>1878.8771055179743</v>
      </c>
      <c r="AE134" s="278">
        <f t="shared" ref="AE134:AG134" si="303">AE168</f>
        <v>1931.6675170961284</v>
      </c>
      <c r="AF134" s="278">
        <f t="shared" si="303"/>
        <v>2010.151489984345</v>
      </c>
      <c r="AG134" s="278">
        <f t="shared" si="303"/>
        <v>2111.0135572290255</v>
      </c>
      <c r="AH134" s="8"/>
      <c r="AI134" s="8"/>
      <c r="AJ134" s="8"/>
      <c r="AK134" s="8"/>
    </row>
    <row r="135" ht="15.75" customHeight="1" spans="1:37" x14ac:dyDescent="0.25">
      <c r="A135" s="260"/>
      <c r="B135" s="8"/>
      <c r="C135" s="8" t="s">
        <v>329</v>
      </c>
      <c r="D135" s="8"/>
      <c r="E135" s="8"/>
      <c r="F135" s="359">
        <v>66907</v>
      </c>
      <c r="G135" s="359">
        <v>69481</v>
      </c>
      <c r="H135" s="359">
        <v>72004</v>
      </c>
      <c r="I135" s="359">
        <v>84981</v>
      </c>
      <c r="J135" s="278">
        <f t="shared" si="296"/>
        <v>7698.367</v>
      </c>
      <c r="K135" s="359">
        <v>73068</v>
      </c>
      <c r="L135" s="359">
        <v>81817</v>
      </c>
      <c r="M135" s="359">
        <v>84570</v>
      </c>
      <c r="N135" s="359">
        <v>94363</v>
      </c>
      <c r="O135" s="278">
        <f t="shared" si="297"/>
        <v>7760.342</v>
      </c>
      <c r="P135" s="359">
        <v>89241</v>
      </c>
      <c r="Q135" s="359">
        <v>98285</v>
      </c>
      <c r="R135" s="359">
        <v>106032</v>
      </c>
      <c r="S135" s="359">
        <v>121909</v>
      </c>
      <c r="T135" s="278">
        <f t="shared" si="298"/>
        <v>12171.814</v>
      </c>
      <c r="U135" s="277">
        <f t="shared" ref="U135:X135" si="304">U169</f>
        <v>7679.987028000001</v>
      </c>
      <c r="V135" s="277">
        <f t="shared" si="304"/>
        <v>7712.25202</v>
      </c>
      <c r="W135" s="277">
        <f t="shared" si="304"/>
        <v>8063.006875000001</v>
      </c>
      <c r="X135" s="277">
        <f t="shared" si="304"/>
        <v>8530.397620499996</v>
      </c>
      <c r="Y135" s="278">
        <f t="shared" si="300"/>
        <v>8530.397620499996</v>
      </c>
      <c r="Z135" s="277">
        <f t="shared" ref="Z135:AC135" si="305">Z169</f>
        <v>8256.391967880001</v>
      </c>
      <c r="AA135" s="277">
        <f t="shared" si="305"/>
        <v>8489.171374200001</v>
      </c>
      <c r="AB135" s="277">
        <f t="shared" si="305"/>
        <v>8778.545173750003</v>
      </c>
      <c r="AC135" s="277">
        <f t="shared" si="305"/>
        <v>9205.381823499996</v>
      </c>
      <c r="AD135" s="278">
        <f t="shared" si="302"/>
        <v>9205.381823499996</v>
      </c>
      <c r="AE135" s="278">
        <f t="shared" ref="AE135:AG135" si="306">AE169</f>
        <v>10143.34328625132</v>
      </c>
      <c r="AF135" s="278">
        <f t="shared" si="306"/>
        <v>10767.678259095477</v>
      </c>
      <c r="AG135" s="278">
        <f t="shared" si="306"/>
        <v>11157.958568471093</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2605.7098845000005</v>
      </c>
      <c r="V136" s="277">
        <f t="shared" si="307"/>
        <v>2580.0988576000004</v>
      </c>
      <c r="W136" s="277">
        <f t="shared" si="307"/>
        <v>2838.17842</v>
      </c>
      <c r="X136" s="277">
        <f t="shared" si="307"/>
        <v>2832.735813599999</v>
      </c>
      <c r="Y136" s="157">
        <f t="shared" si="300"/>
        <v>2832.735813599999</v>
      </c>
      <c r="Z136" s="277">
        <f t="shared" ref="Z136:AC136" si="308">Z170</f>
        <v>2801.2758462450006</v>
      </c>
      <c r="AA136" s="277">
        <f t="shared" si="308"/>
        <v>2840.013696096001</v>
      </c>
      <c r="AB136" s="277">
        <f t="shared" si="308"/>
        <v>3090.047901160001</v>
      </c>
      <c r="AC136" s="277">
        <f t="shared" si="308"/>
        <v>3056.881511199999</v>
      </c>
      <c r="AD136" s="157">
        <f t="shared" si="302"/>
        <v>3056.881511199999</v>
      </c>
      <c r="AE136" s="278">
        <f t="shared" ref="AE136:AG136" si="309">AE170</f>
        <v>3543.2226547864207</v>
      </c>
      <c r="AF136" s="278">
        <f t="shared" si="309"/>
        <v>3783.238307249763</v>
      </c>
      <c r="AG136" s="278">
        <f t="shared" si="309"/>
        <v>3894.052654768435</v>
      </c>
      <c r="AH136" s="8"/>
      <c r="AI136" s="8"/>
      <c r="AJ136" s="8"/>
      <c r="AK136" s="8"/>
    </row>
    <row r="137" ht="15.75" customHeight="1" spans="1:37" x14ac:dyDescent="0.25">
      <c r="A137" s="260"/>
      <c r="B137" s="8"/>
      <c r="C137" s="8" t="s">
        <v>331</v>
      </c>
      <c r="D137" s="8"/>
      <c r="E137" s="8"/>
      <c r="F137" s="359">
        <v>85529</v>
      </c>
      <c r="G137" s="359">
        <v>87892</v>
      </c>
      <c r="H137" s="349">
        <v>88300</v>
      </c>
      <c r="I137" s="349">
        <v>90866</v>
      </c>
      <c r="J137" s="350">
        <f t="shared" si="296"/>
        <v>27875.268</v>
      </c>
      <c r="K137" s="349">
        <v>91946</v>
      </c>
      <c r="L137" s="349">
        <v>93436</v>
      </c>
      <c r="M137" s="349">
        <v>95982</v>
      </c>
      <c r="N137" s="349">
        <v>97699</v>
      </c>
      <c r="O137" s="350">
        <f t="shared" si="297"/>
        <v>29859.988</v>
      </c>
      <c r="P137" s="349">
        <v>102330</v>
      </c>
      <c r="Q137" s="349">
        <v>106653</v>
      </c>
      <c r="R137" s="349">
        <v>107346</v>
      </c>
      <c r="S137" s="349">
        <v>109828</v>
      </c>
      <c r="T137" s="407">
        <f t="shared" si="298"/>
        <v>32994.068</v>
      </c>
      <c r="U137" s="351">
        <f t="shared" ref="U137:X137" si="310">U171</f>
        <v>30171.377610000007</v>
      </c>
      <c r="V137" s="351">
        <f t="shared" si="310"/>
        <v>30849.00808</v>
      </c>
      <c r="W137" s="351">
        <f t="shared" si="310"/>
        <v>30639.426125000005</v>
      </c>
      <c r="X137" s="351">
        <f t="shared" si="310"/>
        <v>28971.161729999993</v>
      </c>
      <c r="Y137" s="350">
        <f t="shared" si="300"/>
        <v>28971.161729999993</v>
      </c>
      <c r="Z137" s="351">
        <f t="shared" ref="Z137:AC137" si="311">Z171</f>
        <v>32435.825588100008</v>
      </c>
      <c r="AA137" s="351">
        <f t="shared" si="311"/>
        <v>33956.685496800004</v>
      </c>
      <c r="AB137" s="351">
        <f t="shared" si="311"/>
        <v>33358.47166025001</v>
      </c>
      <c r="AC137" s="351">
        <f t="shared" si="311"/>
        <v>31263.56090999999</v>
      </c>
      <c r="AD137" s="350">
        <f t="shared" si="302"/>
        <v>31263.56090999999</v>
      </c>
      <c r="AE137" s="350">
        <f t="shared" ref="AE137:AG137" si="312">AE171</f>
        <v>35154.326731802525</v>
      </c>
      <c r="AF137" s="350">
        <f t="shared" si="312"/>
        <v>36668.309747190004</v>
      </c>
      <c r="AG137" s="350">
        <f t="shared" si="312"/>
        <v>38341.44152387382</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41825.296768500004</v>
      </c>
      <c r="V138" s="277">
        <f t="shared" si="316"/>
        <v>65692.86131346159</v>
      </c>
      <c r="W138" s="277">
        <f t="shared" si="316"/>
        <v>68878.03887120515</v>
      </c>
      <c r="X138" s="277">
        <f t="shared" si="316"/>
        <v>71375.81553366181</v>
      </c>
      <c r="Y138" s="278">
        <f t="shared" si="300"/>
        <v>71375.81553366181</v>
      </c>
      <c r="Z138" s="277">
        <f t="shared" ref="Z138:AC138" si="317">SUM(Z134:Z137)</f>
        <v>63962.5461986853</v>
      </c>
      <c r="AA138" s="277">
        <f t="shared" si="317"/>
        <v>69984.38176152635</v>
      </c>
      <c r="AB138" s="277">
        <f t="shared" si="317"/>
        <v>72686.41648139572</v>
      </c>
      <c r="AC138" s="277">
        <f t="shared" si="317"/>
        <v>74684.10367021794</v>
      </c>
      <c r="AD138" s="278">
        <f t="shared" si="302"/>
        <v>74684.10367021794</v>
      </c>
      <c r="AE138" s="278">
        <f t="shared" ref="AE138:AG138" si="318">SUM(AE134:AE137)</f>
        <v>75930.99693993639</v>
      </c>
      <c r="AF138" s="278">
        <f t="shared" si="318"/>
        <v>78423.60180351959</v>
      </c>
      <c r="AG138" s="278">
        <f t="shared" si="318"/>
        <v>81020.77555434238</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2269.889743639064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69472</v>
      </c>
      <c r="G141" s="359">
        <v>67472</v>
      </c>
      <c r="H141" s="359">
        <v>67472</v>
      </c>
      <c r="I141" s="359">
        <v>67182</v>
      </c>
      <c r="J141" s="157">
        <f t="shared" si="319"/>
        <v>9698.752</v>
      </c>
      <c r="K141" s="359">
        <v>66852</v>
      </c>
      <c r="L141" s="359">
        <v>62683</v>
      </c>
      <c r="M141" s="359">
        <v>60500</v>
      </c>
      <c r="N141" s="359">
        <v>58000</v>
      </c>
      <c r="O141" s="157">
        <f t="shared" si="320"/>
        <v>13530.565</v>
      </c>
      <c r="P141" s="359">
        <v>58750</v>
      </c>
      <c r="Q141" s="359">
        <v>56082</v>
      </c>
      <c r="R141" s="359">
        <v>55097</v>
      </c>
      <c r="S141" s="359">
        <v>68836</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24626</v>
      </c>
      <c r="G143" s="349">
        <v>29103</v>
      </c>
      <c r="H143" s="349">
        <v>29960</v>
      </c>
      <c r="I143" s="349">
        <v>35419</v>
      </c>
      <c r="J143" s="350">
        <f t="shared" si="319"/>
        <v>0</v>
      </c>
      <c r="K143" s="349">
        <v>36807</v>
      </c>
      <c r="L143" s="349">
        <v>42551</v>
      </c>
      <c r="M143" s="349">
        <v>48520</v>
      </c>
      <c r="N143" s="349">
        <v>48719</v>
      </c>
      <c r="O143" s="350">
        <f t="shared" si="320"/>
        <v>0</v>
      </c>
      <c r="P143" s="349">
        <v>49018</v>
      </c>
      <c r="Q143" s="349">
        <v>54501</v>
      </c>
      <c r="R143" s="349">
        <v>57035</v>
      </c>
      <c r="S143" s="349">
        <v>54033</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19415.780743639065</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76620.2027685</v>
      </c>
      <c r="V146" s="277">
        <f t="shared" si="342"/>
        <v>82088.75231346159</v>
      </c>
      <c r="W146" s="277">
        <f t="shared" si="342"/>
        <v>85523.92987120515</v>
      </c>
      <c r="X146" s="277">
        <f t="shared" si="342"/>
        <v>88271.70653366181</v>
      </c>
      <c r="Y146" s="278">
        <f t="shared" ref="Y146:AG146" si="344">SUM(Y138,Y144)</f>
        <v>88271.70653366181</v>
      </c>
      <c r="Z146" s="277">
        <f t="shared" si="344"/>
        <v>83378.32694232436</v>
      </c>
      <c r="AA146" s="277">
        <f t="shared" si="344"/>
        <v>87380.27276152636</v>
      </c>
      <c r="AB146" s="277">
        <f t="shared" si="344"/>
        <v>90332.30748139572</v>
      </c>
      <c r="AC146" s="277">
        <f t="shared" si="344"/>
        <v>92579.99467021794</v>
      </c>
      <c r="AD146" s="278">
        <f t="shared" si="344"/>
        <v>92579.99467021794</v>
      </c>
      <c r="AE146" s="278">
        <f t="shared" si="344"/>
        <v>95326.8879399364</v>
      </c>
      <c r="AF146" s="278">
        <f t="shared" si="344"/>
        <v>99319.49280351959</v>
      </c>
      <c r="AG146" s="278">
        <f t="shared" si="344"/>
        <v>103416.66655434239</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72134</v>
      </c>
      <c r="G148" s="405">
        <v>79167</v>
      </c>
      <c r="H148" s="405">
        <v>84982</v>
      </c>
      <c r="I148" s="405">
        <v>91297</v>
      </c>
      <c r="J148" s="278">
        <f>I148</f>
        <v>2255.528</v>
      </c>
      <c r="K148" s="405">
        <v>96210</v>
      </c>
      <c r="L148" s="405">
        <v>102906</v>
      </c>
      <c r="M148" s="405">
        <v>108207</v>
      </c>
      <c r="N148" s="405">
        <v>113138</v>
      </c>
      <c r="O148" s="278">
        <f>N148</f>
        <v>2309.758</v>
      </c>
      <c r="P148" s="405">
        <v>116788</v>
      </c>
      <c r="Q148" s="405">
        <v>123198</v>
      </c>
      <c r="R148" s="405">
        <v>127954</v>
      </c>
      <c r="S148" s="405">
        <v>132299</v>
      </c>
      <c r="T148" s="278">
        <f t="shared" ref="T148:T151" si="350">S148</f>
        <v>2384.305</v>
      </c>
      <c r="U148" s="277">
        <f t="shared" ref="U148:X148" si="351">U250</f>
        <v>3095.5358993200916</v>
      </c>
      <c r="V148" s="277">
        <f t="shared" si="351"/>
        <v>3114.953322486669</v>
      </c>
      <c r="W148" s="277">
        <f t="shared" si="351"/>
        <v>3137.283907339054</v>
      </c>
      <c r="X148" s="277">
        <f t="shared" si="351"/>
        <v>3159.571670153481</v>
      </c>
      <c r="Y148" s="278">
        <f t="shared" ref="Y148:Y152" si="352">X148</f>
        <v>3159.571670153481</v>
      </c>
      <c r="Z148" s="277">
        <f t="shared" ref="Z148:AC148" si="353">Z250</f>
        <v>3098.5478906545795</v>
      </c>
      <c r="AA148" s="277">
        <f t="shared" si="353"/>
        <v>3160.6413925161587</v>
      </c>
      <c r="AB148" s="277">
        <f t="shared" si="353"/>
        <v>3266.3936684352984</v>
      </c>
      <c r="AC148" s="277">
        <f t="shared" si="353"/>
        <v>3331.1649935699384</v>
      </c>
      <c r="AD148" s="278">
        <f t="shared" ref="AD148:AD152" si="354">AC148</f>
        <v>3331.1649935699384</v>
      </c>
      <c r="AE148" s="278">
        <f t="shared" ref="AE148:AG148" si="355">AE250</f>
        <v>3427.3708123053284</v>
      </c>
      <c r="AF148" s="278">
        <f t="shared" si="355"/>
        <v>3528.1181148011947</v>
      </c>
      <c r="AG148" s="278">
        <f t="shared" si="355"/>
        <v>3631.816393599281</v>
      </c>
      <c r="AH148" s="8"/>
      <c r="AI148" s="8"/>
      <c r="AJ148" s="8"/>
      <c r="AK148" s="8"/>
    </row>
    <row r="149" ht="15.75" customHeight="1" spans="1:37" x14ac:dyDescent="0.25">
      <c r="A149" s="260"/>
      <c r="B149" s="8"/>
      <c r="C149" s="8" t="s">
        <v>341</v>
      </c>
      <c r="D149" s="8"/>
      <c r="E149" s="8"/>
      <c r="F149" s="405">
        <v>86365</v>
      </c>
      <c r="G149" s="405">
        <v>93115</v>
      </c>
      <c r="H149" s="405">
        <v>102994</v>
      </c>
      <c r="I149" s="405">
        <v>113618</v>
      </c>
      <c r="J149" s="157">
        <f>I149</f>
        <v>7849.844</v>
      </c>
      <c r="K149" s="405">
        <v>124049</v>
      </c>
      <c r="L149" s="405">
        <v>137534</v>
      </c>
      <c r="M149" s="405">
        <v>152862</v>
      </c>
      <c r="N149" s="405">
        <v>172866</v>
      </c>
      <c r="O149" s="157">
        <f>N149</f>
        <v>8270.145</v>
      </c>
      <c r="P149" s="405">
        <v>189993</v>
      </c>
      <c r="Q149" s="405">
        <v>208157</v>
      </c>
      <c r="R149" s="405">
        <v>229344</v>
      </c>
      <c r="S149" s="405">
        <v>250536</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-3973</v>
      </c>
      <c r="G151" s="406">
        <v>-3680</v>
      </c>
      <c r="H151" s="406">
        <v>-5003</v>
      </c>
      <c r="I151" s="406">
        <v>-3040</v>
      </c>
      <c r="J151" s="357">
        <f>I151</f>
        <v>-395.545</v>
      </c>
      <c r="K151" s="406">
        <v>-3598</v>
      </c>
      <c r="L151" s="406">
        <v>-3993</v>
      </c>
      <c r="M151" s="406">
        <v>-1918</v>
      </c>
      <c r="N151" s="406">
        <v>-34</v>
      </c>
      <c r="O151" s="357">
        <f>N151</f>
        <v>-423.131</v>
      </c>
      <c r="P151" s="406">
        <v>-914</v>
      </c>
      <c r="Q151" s="406">
        <v>2420</v>
      </c>
      <c r="R151" s="406">
        <v>12333</v>
      </c>
      <c r="S151" s="406">
        <v>28230</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88243.88810342093</v>
      </c>
      <c r="V157" s="277">
        <f t="shared" si="387"/>
        <v>94035.5028447302</v>
      </c>
      <c r="W157" s="277">
        <f t="shared" si="387"/>
        <v>97895.44719787876</v>
      </c>
      <c r="X157" s="277">
        <f t="shared" si="387"/>
        <v>101113.21091446064</v>
      </c>
      <c r="Y157" s="278">
        <f t="shared" ref="Y157:AG157" si="389">SUM(Y146,Y155)</f>
        <v>101113.21091446064</v>
      </c>
      <c r="Z157" s="277">
        <f t="shared" si="389"/>
        <v>96411.04580168606</v>
      </c>
      <c r="AA157" s="277">
        <f t="shared" si="389"/>
        <v>100809.07479087333</v>
      </c>
      <c r="AB157" s="277">
        <f t="shared" si="389"/>
        <v>104382.06141766525</v>
      </c>
      <c r="AC157" s="277">
        <f t="shared" si="389"/>
        <v>107314.86206089605</v>
      </c>
      <c r="AD157" s="278">
        <f t="shared" si="389"/>
        <v>107314.86206089605</v>
      </c>
      <c r="AE157" s="278">
        <f t="shared" si="389"/>
        <v>111675.08277690808</v>
      </c>
      <c r="AF157" s="278">
        <f t="shared" si="389"/>
        <v>117278.53095716811</v>
      </c>
      <c r="AG157" s="278">
        <f t="shared" si="389"/>
        <v>122824.37524538682</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0</v>
      </c>
      <c r="T159" s="412">
        <f t="shared" si="390"/>
        <v>0</v>
      </c>
      <c r="U159" s="413">
        <f t="shared" si="390"/>
        <v>0</v>
      </c>
      <c r="V159" s="413">
        <f t="shared" si="390"/>
        <v>0</v>
      </c>
      <c r="W159" s="413">
        <f t="shared" si="390"/>
        <v>0</v>
      </c>
      <c r="X159" s="413">
        <f t="shared" si="390"/>
        <v>0</v>
      </c>
      <c r="Y159" s="412">
        <f t="shared" ref="Y159:AG159" si="392">Y132-Y157</f>
        <v>0</v>
      </c>
      <c r="Z159" s="413">
        <f t="shared" si="392"/>
        <v>0</v>
      </c>
      <c r="AA159" s="413">
        <f t="shared" si="392"/>
        <v>0</v>
      </c>
      <c r="AB159" s="413">
        <f t="shared" si="392"/>
        <v>0</v>
      </c>
      <c r="AC159" s="413">
        <f t="shared" si="392"/>
        <v>0</v>
      </c>
      <c r="AD159" s="412">
        <f t="shared" si="392"/>
        <v>0</v>
      </c>
      <c r="AE159" s="412">
        <f t="shared" si="392"/>
        <v>0</v>
      </c>
      <c r="AF159" s="412">
        <f t="shared" si="392"/>
        <v>0</v>
      </c>
      <c r="AG159" s="414">
        <f t="shared" si="392"/>
        <v>0</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6911.988325200002</v>
      </c>
      <c r="V163" s="377">
        <f t="shared" si="399"/>
        <v>6955.0490944</v>
      </c>
      <c r="W163" s="377">
        <f t="shared" si="399"/>
        <v>7869.494710000001</v>
      </c>
      <c r="X163" s="377">
        <f t="shared" si="399"/>
        <v>7725.643127999997</v>
      </c>
      <c r="Y163" s="278">
        <f t="shared" ref="Y163:Y165" si="400">X163</f>
        <v>7725.643127999997</v>
      </c>
      <c r="Z163" s="377">
        <f t="shared" ref="Z163:AC163" si="401">Z184*Z28*4</f>
        <v>7430.752771092002</v>
      </c>
      <c r="AA163" s="377">
        <f t="shared" si="401"/>
        <v>7655.689093824001</v>
      </c>
      <c r="AB163" s="377">
        <f t="shared" si="401"/>
        <v>8567.860089580003</v>
      </c>
      <c r="AC163" s="377">
        <f t="shared" si="401"/>
        <v>8336.949575999997</v>
      </c>
      <c r="AD163" s="278">
        <f t="shared" ref="AD163:AD165" si="402">AC163</f>
        <v>8336.949575999997</v>
      </c>
      <c r="AE163" s="117">
        <f t="shared" ref="AE163:AG163" si="403">AE184*AE28</f>
        <v>9170.69393003544</v>
      </c>
      <c r="AF163" s="117">
        <f t="shared" si="403"/>
        <v>9458.095768124407</v>
      </c>
      <c r="AG163" s="117">
        <f t="shared" si="403"/>
        <v>9735.131636921087</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47081.324</v>
      </c>
      <c r="T165" s="350">
        <f t="shared" si="398"/>
        <v>47081.324</v>
      </c>
      <c r="U165" s="351">
        <f t="shared" ref="U165" si="414">U186*T146</f>
        <v>50334.69826</v>
      </c>
      <c r="V165" s="351">
        <f t="shared" ref="V165" si="415">V186*U146</f>
        <v>58997.556131745005</v>
      </c>
      <c r="W165" s="351">
        <f t="shared" ref="W165" si="416">W186*V146</f>
        <v>63208.33928136543</v>
      </c>
      <c r="X165" s="351">
        <f t="shared" ref="X165" si="417">X186*W146</f>
        <v>66708.66529954002</v>
      </c>
      <c r="Y165" s="350">
        <f t="shared" si="400"/>
        <v>66708.66529954002</v>
      </c>
      <c r="Z165" s="351">
        <f t="shared" ref="Z165:AC165" si="418">Z186*Y146</f>
        <v>67969.2140309196</v>
      </c>
      <c r="AA165" s="351">
        <f t="shared" si="418"/>
        <v>64201.31174558976</v>
      </c>
      <c r="AB165" s="351">
        <f t="shared" si="418"/>
        <v>67282.8100263753</v>
      </c>
      <c r="AC165" s="351">
        <f t="shared" si="418"/>
        <v>70459.19983548866</v>
      </c>
      <c r="AD165" s="350">
        <f t="shared" si="402"/>
        <v>70459.19983548866</v>
      </c>
      <c r="AE165" s="350">
        <f>AE186*AD146</f>
        <v>77211.71555496176</v>
      </c>
      <c r="AF165" s="350">
        <f t="shared" ref="AF165:AG165" si="419">AF186*AE146</f>
        <v>78168.04811074784</v>
      </c>
      <c r="AG165" s="350">
        <f t="shared" si="419"/>
        <v>80448.78917085087</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55637.712</v>
      </c>
      <c r="T166" s="278">
        <f t="shared" si="420"/>
        <v>55637.712</v>
      </c>
      <c r="U166" s="277">
        <f t="shared" si="420"/>
        <v>57246.6865852</v>
      </c>
      <c r="V166" s="277">
        <f t="shared" si="420"/>
        <v>69834.57650614501</v>
      </c>
      <c r="W166" s="277">
        <f t="shared" si="420"/>
        <v>75936.00819136543</v>
      </c>
      <c r="X166" s="277">
        <f t="shared" si="420"/>
        <v>80042.49402754001</v>
      </c>
      <c r="Y166" s="278">
        <f t="shared" ref="Y166:AG166" si="422">SUM(Y163:Y165)</f>
        <v>80042.49402754001</v>
      </c>
      <c r="Z166" s="277">
        <f t="shared" si="422"/>
        <v>78586.1036020116</v>
      </c>
      <c r="AA166" s="277">
        <f t="shared" si="422"/>
        <v>75738.97211941375</v>
      </c>
      <c r="AB166" s="277">
        <f t="shared" si="422"/>
        <v>80708.8443159553</v>
      </c>
      <c r="AC166" s="277">
        <f t="shared" si="422"/>
        <v>84404.33501148866</v>
      </c>
      <c r="AD166" s="278">
        <f t="shared" si="422"/>
        <v>84404.33501148866</v>
      </c>
      <c r="AE166" s="278">
        <f t="shared" si="422"/>
        <v>91106.3264849972</v>
      </c>
      <c r="AF166" s="278">
        <f t="shared" si="422"/>
        <v>92278.48637887224</v>
      </c>
      <c r="AG166" s="278">
        <f t="shared" si="422"/>
        <v>94836.26330777197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1368.2222459999998</v>
      </c>
      <c r="V168" s="277">
        <f t="shared" ref="V168" si="428">U132*V188</f>
        <v>1588.3899858615769</v>
      </c>
      <c r="W168" s="277">
        <f t="shared" ref="W168" si="429">V132*W188</f>
        <v>1692.6390512051432</v>
      </c>
      <c r="X168" s="277">
        <f t="shared" ref="X168" si="430">W132*X188</f>
        <v>1762.1180495618175</v>
      </c>
      <c r="Y168" s="117">
        <f t="shared" ref="Y168:Y171" si="431">X168</f>
        <v>1762.1180495618175</v>
      </c>
      <c r="Z168" s="277">
        <f t="shared" ref="Z168:AC168" si="432">Y132*Z188</f>
        <v>1820.037796460291</v>
      </c>
      <c r="AA168" s="277">
        <f t="shared" si="432"/>
        <v>1735.3988244303491</v>
      </c>
      <c r="AB168" s="277">
        <f t="shared" si="432"/>
        <v>1814.56334623572</v>
      </c>
      <c r="AC168" s="277">
        <f t="shared" si="432"/>
        <v>1878.8771055179743</v>
      </c>
      <c r="AD168" s="278">
        <f t="shared" ref="AD168:AD171" si="433">AC168</f>
        <v>1878.8771055179743</v>
      </c>
      <c r="AE168" s="117">
        <f t="shared" ref="AE168:AG168" si="434">AE188*AD132</f>
        <v>1931.6675170961284</v>
      </c>
      <c r="AF168" s="117">
        <f t="shared" si="434"/>
        <v>2010.151489984345</v>
      </c>
      <c r="AG168" s="117">
        <f t="shared" si="434"/>
        <v>2111.0135572290255</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7679.987028000001</v>
      </c>
      <c r="V169" s="277">
        <f t="shared" si="437"/>
        <v>7712.25202</v>
      </c>
      <c r="W169" s="277">
        <f t="shared" si="437"/>
        <v>8063.006875000001</v>
      </c>
      <c r="X169" s="277">
        <f t="shared" si="437"/>
        <v>8530.397620499996</v>
      </c>
      <c r="Y169" s="278">
        <f t="shared" si="431"/>
        <v>8530.397620499996</v>
      </c>
      <c r="Z169" s="277">
        <f t="shared" ref="Z169:AC169" si="438">Z28*Z189</f>
        <v>8256.391967880001</v>
      </c>
      <c r="AA169" s="277">
        <f t="shared" si="438"/>
        <v>8489.171374200001</v>
      </c>
      <c r="AB169" s="277">
        <f t="shared" si="438"/>
        <v>8778.545173750003</v>
      </c>
      <c r="AC169" s="277">
        <f t="shared" si="438"/>
        <v>9205.381823499996</v>
      </c>
      <c r="AD169" s="278">
        <f t="shared" si="433"/>
        <v>9205.381823499996</v>
      </c>
      <c r="AE169" s="278">
        <f t="shared" ref="AE169:AG169" si="439">AE28*AE189</f>
        <v>10143.34328625132</v>
      </c>
      <c r="AF169" s="278">
        <f t="shared" si="439"/>
        <v>10767.678259095477</v>
      </c>
      <c r="AG169" s="278">
        <f t="shared" si="439"/>
        <v>11157.958568471093</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2605.7098845000005</v>
      </c>
      <c r="V170" s="355">
        <f t="shared" si="442"/>
        <v>2580.0988576000004</v>
      </c>
      <c r="W170" s="355">
        <f t="shared" si="442"/>
        <v>2838.17842</v>
      </c>
      <c r="X170" s="355">
        <f t="shared" si="442"/>
        <v>2832.735813599999</v>
      </c>
      <c r="Y170" s="157">
        <f t="shared" si="431"/>
        <v>2832.735813599999</v>
      </c>
      <c r="Z170" s="355">
        <f t="shared" ref="Z170:AC170" si="443">Z190*Z28</f>
        <v>2801.2758462450006</v>
      </c>
      <c r="AA170" s="355">
        <f t="shared" si="443"/>
        <v>2840.013696096001</v>
      </c>
      <c r="AB170" s="355">
        <f t="shared" si="443"/>
        <v>3090.047901160001</v>
      </c>
      <c r="AC170" s="355">
        <f t="shared" si="443"/>
        <v>3056.881511199999</v>
      </c>
      <c r="AD170" s="157">
        <f t="shared" si="433"/>
        <v>3056.881511199999</v>
      </c>
      <c r="AE170" s="157">
        <f t="shared" ref="AE170:AG170" si="444">AE190*AE28</f>
        <v>3543.2226547864207</v>
      </c>
      <c r="AF170" s="157">
        <f t="shared" si="444"/>
        <v>3783.238307249763</v>
      </c>
      <c r="AG170" s="157">
        <f t="shared" si="444"/>
        <v>3894.052654768435</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30171.377610000007</v>
      </c>
      <c r="V171" s="351">
        <f t="shared" si="447"/>
        <v>30849.00808</v>
      </c>
      <c r="W171" s="351">
        <f t="shared" si="447"/>
        <v>30639.426125000005</v>
      </c>
      <c r="X171" s="351">
        <f t="shared" si="447"/>
        <v>28971.161729999993</v>
      </c>
      <c r="Y171" s="350">
        <f t="shared" si="431"/>
        <v>28971.161729999993</v>
      </c>
      <c r="Z171" s="351">
        <f t="shared" ref="Z171:AC171" si="448">Z191*Z28</f>
        <v>32435.825588100008</v>
      </c>
      <c r="AA171" s="351">
        <f t="shared" si="448"/>
        <v>33956.685496800004</v>
      </c>
      <c r="AB171" s="351">
        <f t="shared" si="448"/>
        <v>33358.47166025001</v>
      </c>
      <c r="AC171" s="351">
        <f t="shared" si="448"/>
        <v>31263.56090999999</v>
      </c>
      <c r="AD171" s="350">
        <f t="shared" si="433"/>
        <v>31263.56090999999</v>
      </c>
      <c r="AE171" s="350">
        <f t="shared" ref="AE171:AG171" si="449">AE191*AE28</f>
        <v>35154.326731802525</v>
      </c>
      <c r="AF171" s="350">
        <f t="shared" si="449"/>
        <v>36668.309747190004</v>
      </c>
      <c r="AG171" s="350">
        <f t="shared" si="449"/>
        <v>38341.44152387382</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41825.296768500004</v>
      </c>
      <c r="V172" s="277">
        <f t="shared" si="450"/>
        <v>65692.86131346159</v>
      </c>
      <c r="W172" s="277">
        <f t="shared" si="450"/>
        <v>68878.03887120515</v>
      </c>
      <c r="X172" s="277">
        <f t="shared" si="450"/>
        <v>71375.81553366181</v>
      </c>
      <c r="Y172" s="278">
        <f t="shared" ref="Y172:AG172" si="452">SUM(Y168:Y171)</f>
        <v>71375.81553366181</v>
      </c>
      <c r="Z172" s="277">
        <f t="shared" si="452"/>
        <v>63962.5461986853</v>
      </c>
      <c r="AA172" s="277">
        <f t="shared" si="452"/>
        <v>69984.38176152635</v>
      </c>
      <c r="AB172" s="277">
        <f t="shared" si="452"/>
        <v>72686.41648139572</v>
      </c>
      <c r="AC172" s="277">
        <f t="shared" si="452"/>
        <v>74684.10367021794</v>
      </c>
      <c r="AD172" s="278">
        <f t="shared" si="452"/>
        <v>74684.10367021794</v>
      </c>
      <c r="AE172" s="278">
        <f t="shared" si="452"/>
        <v>75930.99693993639</v>
      </c>
      <c r="AF172" s="278">
        <f t="shared" si="452"/>
        <v>78423.60180351959</v>
      </c>
      <c r="AG172" s="278">
        <f t="shared" si="452"/>
        <v>81020.77555434238</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6163.864999999998</v>
      </c>
      <c r="T174" s="278">
        <f t="shared" si="453"/>
        <v>6163.864999999998</v>
      </c>
      <c r="U174" s="277">
        <f>U166-U172</f>
        <v>15421.389816699993</v>
      </c>
      <c r="V174" s="277">
        <f t="shared" ref="V174:X174" si="455">V166-V172</f>
        <v>4141.715192683419</v>
      </c>
      <c r="W174" s="277">
        <f t="shared" si="455"/>
        <v>7057.969320160279</v>
      </c>
      <c r="X174" s="277">
        <f t="shared" si="455"/>
        <v>8666.678493878208</v>
      </c>
      <c r="Y174" s="278">
        <f t="shared" ref="Y174:AG174" si="456">Y166-Y172</f>
        <v>8666.678493878208</v>
      </c>
      <c r="Z174" s="277">
        <f>Z166-Z172</f>
        <v>14623.557403326304</v>
      </c>
      <c r="AA174" s="277">
        <f t="shared" si="456"/>
        <v>5754.590357887399</v>
      </c>
      <c r="AB174" s="277">
        <f t="shared" si="456"/>
        <v>8022.427834559581</v>
      </c>
      <c r="AC174" s="277">
        <f t="shared" si="456"/>
        <v>9720.231341270715</v>
      </c>
      <c r="AD174" s="278">
        <f t="shared" si="456"/>
        <v>9720.231341270715</v>
      </c>
      <c r="AE174" s="278">
        <f t="shared" si="456"/>
        <v>15175.329545060813</v>
      </c>
      <c r="AF174" s="278">
        <f t="shared" si="456"/>
        <v>13854.884575352655</v>
      </c>
      <c r="AG174" s="278">
        <f t="shared" si="456"/>
        <v>13815.487753429581</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2492.732999999993</v>
      </c>
      <c r="T176" s="394">
        <f>-(T174-O174)</f>
        <v>-708.1660000000047</v>
      </c>
      <c r="U176" s="395">
        <f>-(U174-S174)</f>
        <v>-9257.524816699995</v>
      </c>
      <c r="V176" s="395">
        <f>-(V174-U174)</f>
        <v>-4183.2035759834325</v>
      </c>
      <c r="W176" s="395">
        <f t="shared" ref="W176" si="466">-(W174-V174)</f>
        <v>-2916.254127476859</v>
      </c>
      <c r="X176" s="395">
        <f t="shared" ref="X176" si="467">-(X174-W174)</f>
        <v>-1608.709173717929</v>
      </c>
      <c r="Y176" s="394">
        <f>-(Y174-T174)</f>
        <v>-12806.179493878211</v>
      </c>
      <c r="Z176" s="395">
        <f>-(Z174-X174)</f>
        <v>-5956.878909448096</v>
      </c>
      <c r="AA176" s="395">
        <f>-(AA174-Z174)</f>
        <v>8868.967045438905</v>
      </c>
      <c r="AB176" s="395">
        <f t="shared" ref="AB176:AC176" si="468">-(AB174-AA174)</f>
        <v>-2267.8374766721827</v>
      </c>
      <c r="AC176" s="395">
        <f t="shared" si="468"/>
        <v>-1697.803506711134</v>
      </c>
      <c r="AD176" s="394">
        <f>-(AD174-Y174)</f>
        <v>-1053.5528473925078</v>
      </c>
      <c r="AE176" s="394">
        <f t="shared" ref="AE176:AG176" si="469">-(AE174-AD174)</f>
        <v>-5455.098203790098</v>
      </c>
      <c r="AF176" s="394">
        <f t="shared" si="469"/>
        <v>1320.4449697081582</v>
      </c>
      <c r="AG176" s="416">
        <f t="shared" si="469"/>
        <v>39.39682192307373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-767.9987027999996</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-2847.4272972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0.5262239127016219</v>
      </c>
      <c r="G184" s="419">
        <f t="shared" si="489"/>
        <v>0.5105325264255633</v>
      </c>
      <c r="H184" s="419">
        <f t="shared" si="489"/>
        <v>0.4797698354833778</v>
      </c>
      <c r="I184" s="419">
        <f t="shared" si="489"/>
        <v>0.5989133637088621</v>
      </c>
      <c r="J184" s="144">
        <f>J163/J28</f>
        <v>0.6337935974241337</v>
      </c>
      <c r="K184" s="419">
        <f t="shared" ref="K184:N184" si="490">K163/(K28*4)</f>
        <v>0.5369280732003605</v>
      </c>
      <c r="L184" s="419">
        <f t="shared" si="490"/>
        <v>0.6074928563764044</v>
      </c>
      <c r="M184" s="419">
        <f t="shared" si="490"/>
        <v>0.5110044192211075</v>
      </c>
      <c r="N184" s="419">
        <f t="shared" si="490"/>
        <v>0.510689790735199</v>
      </c>
      <c r="O184" s="144">
        <f>O163/O28</f>
        <v>0.5539520472951722</v>
      </c>
      <c r="P184" s="419">
        <f t="shared" ref="P184:S184" si="491">P163/(P28*4)</f>
        <v>0.6776816274570698</v>
      </c>
      <c r="Q184" s="419">
        <f t="shared" si="491"/>
        <v>0.6239377344080439</v>
      </c>
      <c r="R184" s="419">
        <f t="shared" si="491"/>
        <v>0.5698403603705229</v>
      </c>
      <c r="S184" s="419">
        <f t="shared" si="491"/>
        <v>0.7254068062386908</v>
      </c>
      <c r="T184" s="144">
        <f>T163/T28</f>
        <v>0.7905250683293673</v>
      </c>
      <c r="U184" s="420">
        <f>Drivers!U113</f>
        <v>0.63</v>
      </c>
      <c r="V184" s="420">
        <f>Drivers!V113</f>
        <v>0.62</v>
      </c>
      <c r="W184" s="420">
        <f>Drivers!W113</f>
        <v>0.61</v>
      </c>
      <c r="X184" s="420">
        <f>Drivers!X113</f>
        <v>0.6</v>
      </c>
      <c r="Y184" s="144">
        <f>Y163/Y28</f>
        <v>0.6442584130586366</v>
      </c>
      <c r="Z184" s="420">
        <f>Drivers!Z113</f>
        <v>0.63</v>
      </c>
      <c r="AA184" s="420">
        <f>Drivers!AA113</f>
        <v>0.62</v>
      </c>
      <c r="AB184" s="420">
        <f>Drivers!AB113</f>
        <v>0.61</v>
      </c>
      <c r="AC184" s="420">
        <f>Drivers!AC113</f>
        <v>0.6</v>
      </c>
      <c r="AD184" s="144">
        <f>AD163/AD28</f>
        <v>0.6402778969832064</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0.8004524027033516</v>
      </c>
      <c r="T186" s="144">
        <f>T165/S146</f>
        <v>0.7202311870976139</v>
      </c>
      <c r="U186" s="420">
        <f>Drivers!U135</f>
        <v>0.77</v>
      </c>
      <c r="V186" s="420">
        <f>Drivers!V135</f>
        <v>0.77</v>
      </c>
      <c r="W186" s="420">
        <f>Drivers!W135</f>
        <v>0.77</v>
      </c>
      <c r="X186" s="420">
        <f>Drivers!X135</f>
        <v>0.78</v>
      </c>
      <c r="Y186" s="144">
        <f>Y165/X146</f>
        <v>0.7557196741642367</v>
      </c>
      <c r="Z186" s="420">
        <f>Drivers!Z135</f>
        <v>0.77</v>
      </c>
      <c r="AA186" s="420">
        <f>Drivers!AA135</f>
        <v>0.77</v>
      </c>
      <c r="AB186" s="420">
        <f>Drivers!AB135</f>
        <v>0.77</v>
      </c>
      <c r="AC186" s="420">
        <f>Drivers!AC135</f>
        <v>0.78</v>
      </c>
      <c r="AD186" s="144">
        <f>AD165/AC146</f>
        <v>0.761062906586607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-0.3442707938813113</v>
      </c>
      <c r="H187" s="353">
        <f t="shared" si="512"/>
        <v>-0.3636522873293871</v>
      </c>
      <c r="I187" s="353">
        <f t="shared" si="512"/>
        <v>-0.21252223256271863</v>
      </c>
      <c r="J187" s="157">
        <f t="shared" si="512"/>
        <v>-0.1468799916651925</v>
      </c>
      <c r="K187" s="388">
        <f t="shared" si="512"/>
        <v>-0.2971386158905871</v>
      </c>
      <c r="L187" s="353">
        <f t="shared" si="512"/>
        <v>-0.15983533483041235</v>
      </c>
      <c r="M187" s="353">
        <f t="shared" si="512"/>
        <v>-0.2632085011755345</v>
      </c>
      <c r="N187" s="353">
        <f t="shared" si="512"/>
        <v>-0.2461820367149996</v>
      </c>
      <c r="O187" s="157">
        <f t="shared" si="512"/>
        <v>-0.18927991781954223</v>
      </c>
      <c r="P187" s="388">
        <f t="shared" si="512"/>
        <v>-0.17113430124964502</v>
      </c>
      <c r="Q187" s="353">
        <f t="shared" si="512"/>
        <v>-0.10064027509006401</v>
      </c>
      <c r="R187" s="353">
        <f t="shared" si="512"/>
        <v>-0.21805301858730775</v>
      </c>
      <c r="S187" s="353">
        <f t="shared" ref="S187" si="513">SUM(S184:S185)-S186</f>
        <v>-0.0750386938619324</v>
      </c>
      <c r="T187" s="157">
        <f t="shared" si="512"/>
        <v>0.0702938812317534</v>
      </c>
      <c r="U187" s="355">
        <f t="shared" si="512"/>
        <v>-0.14</v>
      </c>
      <c r="V187" s="355">
        <f t="shared" si="512"/>
        <v>-0.15000000000000002</v>
      </c>
      <c r="W187" s="355">
        <f t="shared" si="512"/>
        <v>-0.16000000000000003</v>
      </c>
      <c r="X187" s="355">
        <f t="shared" si="512"/>
        <v>-0.18000000000000005</v>
      </c>
      <c r="Y187" s="157">
        <f t="shared" ref="Y187:AG187" si="514">SUM(Y184:Y185)-Y186</f>
        <v>-0.05939904687663544</v>
      </c>
      <c r="Z187" s="355">
        <f t="shared" si="514"/>
        <v>-0.14</v>
      </c>
      <c r="AA187" s="355">
        <f t="shared" si="514"/>
        <v>-0.15000000000000002</v>
      </c>
      <c r="AB187" s="355">
        <f t="shared" si="514"/>
        <v>-0.16000000000000003</v>
      </c>
      <c r="AC187" s="355">
        <f t="shared" si="514"/>
        <v>-0.18000000000000005</v>
      </c>
      <c r="AD187" s="157">
        <f t="shared" si="514"/>
        <v>-0.06996657651290228</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0.023248933492344342</v>
      </c>
      <c r="U188" s="431">
        <f>Drivers!U123</f>
        <v>0.018</v>
      </c>
      <c r="V188" s="431">
        <f>Drivers!V123</f>
        <v>0.018</v>
      </c>
      <c r="W188" s="431">
        <f>Drivers!W123</f>
        <v>0.018</v>
      </c>
      <c r="X188" s="431">
        <f>Drivers!X123</f>
        <v>0.018</v>
      </c>
      <c r="Y188" s="430">
        <f>Y168/X132</f>
        <v>0.01742717923429934</v>
      </c>
      <c r="Z188" s="431">
        <f>Drivers!Z123</f>
        <v>0.018</v>
      </c>
      <c r="AA188" s="431">
        <f>Drivers!AA123</f>
        <v>0.018</v>
      </c>
      <c r="AB188" s="431">
        <f>Drivers!AB123</f>
        <v>0.018</v>
      </c>
      <c r="AC188" s="431">
        <f>Drivers!AC123</f>
        <v>0.018</v>
      </c>
      <c r="AD188" s="430">
        <f>AD168/AC132</f>
        <v>0.017508079211356595</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4.048102844049064</v>
      </c>
      <c r="G189" s="429">
        <f t="shared" si="527"/>
        <v>4.574611110909243</v>
      </c>
      <c r="H189" s="429">
        <f t="shared" si="527"/>
        <v>3.5141252239221354</v>
      </c>
      <c r="I189" s="429">
        <f t="shared" si="527"/>
        <v>3.9104008249140283</v>
      </c>
      <c r="J189" s="430">
        <f t="shared" si="527"/>
        <v>1.0345348577817555</v>
      </c>
      <c r="K189" s="429">
        <f t="shared" si="527"/>
        <v>3.1936756926211842</v>
      </c>
      <c r="L189" s="429">
        <f t="shared" si="527"/>
        <v>3.250254547477774</v>
      </c>
      <c r="M189" s="429">
        <f t="shared" si="527"/>
        <v>3.205388598640714</v>
      </c>
      <c r="N189" s="429">
        <f t="shared" si="527"/>
        <v>2.7215337832316715</v>
      </c>
      <c r="O189" s="430">
        <f t="shared" si="527"/>
        <v>0.7380210248739213</v>
      </c>
      <c r="P189" s="429">
        <f t="shared" si="527"/>
        <v>3.3742615849476554</v>
      </c>
      <c r="Q189" s="429">
        <f t="shared" si="527"/>
        <v>3.2380320849612017</v>
      </c>
      <c r="R189" s="429">
        <f t="shared" si="527"/>
        <v>2.7955475751408168</v>
      </c>
      <c r="S189" s="429">
        <f t="shared" ref="S189" si="528">S169/S28</f>
        <v>4.127684120856316</v>
      </c>
      <c r="T189" s="430">
        <f>T169/T28</f>
        <v>1.1245544374615022</v>
      </c>
      <c r="U189" s="431">
        <f>Drivers!U140</f>
        <v>2.8</v>
      </c>
      <c r="V189" s="431">
        <f>Drivers!V140</f>
        <v>2.75</v>
      </c>
      <c r="W189" s="431">
        <f>Drivers!W140</f>
        <v>2.5</v>
      </c>
      <c r="X189" s="431">
        <f>Drivers!X140</f>
        <v>2.65</v>
      </c>
      <c r="Y189" s="430">
        <f>Y169/Y28</f>
        <v>0.7113686644189112</v>
      </c>
      <c r="Z189" s="431">
        <f>Drivers!Z140</f>
        <v>2.8</v>
      </c>
      <c r="AA189" s="431">
        <f>Drivers!AA140</f>
        <v>2.75</v>
      </c>
      <c r="AB189" s="431">
        <f>Drivers!AB140</f>
        <v>2.5</v>
      </c>
      <c r="AC189" s="431">
        <f>Drivers!AC140</f>
        <v>2.65</v>
      </c>
      <c r="AD189" s="430">
        <f>AD169/AD28</f>
        <v>0.7069735112522902</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0.8711568270656422</v>
      </c>
      <c r="G190" s="429">
        <f t="shared" si="529"/>
        <v>0.739760132070284</v>
      </c>
      <c r="H190" s="429">
        <f t="shared" si="529"/>
        <v>0.6940522948834036</v>
      </c>
      <c r="I190" s="429">
        <f t="shared" si="529"/>
        <v>0.9348947777456073</v>
      </c>
      <c r="J190" s="430">
        <f t="shared" si="529"/>
        <v>0.24733557485305144</v>
      </c>
      <c r="K190" s="429">
        <f t="shared" si="529"/>
        <v>1.0616285904620086</v>
      </c>
      <c r="L190" s="429">
        <f t="shared" si="529"/>
        <v>0.8918608394304177</v>
      </c>
      <c r="M190" s="429">
        <f t="shared" si="529"/>
        <v>0.9825161434493813</v>
      </c>
      <c r="N190" s="429">
        <f t="shared" si="529"/>
        <v>0.8910740080779698</v>
      </c>
      <c r="O190" s="430">
        <f t="shared" si="529"/>
        <v>0.24163997402204393</v>
      </c>
      <c r="P190" s="429">
        <f t="shared" si="529"/>
        <v>1.0116379226678052</v>
      </c>
      <c r="Q190" s="429">
        <f t="shared" si="529"/>
        <v>0.8185794496685462</v>
      </c>
      <c r="R190" s="429">
        <f t="shared" si="529"/>
        <v>0.8591104092136875</v>
      </c>
      <c r="S190" s="429">
        <f t="shared" ref="S190" si="530">S170/S28</f>
        <v>0.8616177160793594</v>
      </c>
      <c r="T190" s="430">
        <f>T170/T28</f>
        <v>0.23474083714804128</v>
      </c>
      <c r="U190" s="431">
        <f>Drivers!U145</f>
        <v>0.95</v>
      </c>
      <c r="V190" s="431">
        <f>Drivers!V145</f>
        <v>0.92</v>
      </c>
      <c r="W190" s="431">
        <f>Drivers!W145</f>
        <v>0.88</v>
      </c>
      <c r="X190" s="431">
        <f>Drivers!X145</f>
        <v>0.88</v>
      </c>
      <c r="Y190" s="430">
        <f>Y170/Y28</f>
        <v>0.23622808478816676</v>
      </c>
      <c r="Z190" s="431">
        <f>Drivers!Z145</f>
        <v>0.95</v>
      </c>
      <c r="AA190" s="431">
        <f>Drivers!AA145</f>
        <v>0.92</v>
      </c>
      <c r="AB190" s="431">
        <f>Drivers!AB145</f>
        <v>0.88</v>
      </c>
      <c r="AC190" s="431">
        <f>Drivers!AC145</f>
        <v>0.88</v>
      </c>
      <c r="AD190" s="430">
        <f>AD170/AD28</f>
        <v>0.23476856222717565</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13.67960585433796</v>
      </c>
      <c r="G191" s="429">
        <f t="shared" si="531"/>
        <v>15.483255028639048</v>
      </c>
      <c r="H191" s="429">
        <f t="shared" si="531"/>
        <v>13.378107470865622</v>
      </c>
      <c r="I191" s="429">
        <f t="shared" si="531"/>
        <v>14.159297807171262</v>
      </c>
      <c r="J191" s="430">
        <f t="shared" si="531"/>
        <v>3.7459809873974987</v>
      </c>
      <c r="K191" s="429">
        <f t="shared" si="531"/>
        <v>11.377572005172615</v>
      </c>
      <c r="L191" s="429">
        <f t="shared" si="531"/>
        <v>11.2603033109056</v>
      </c>
      <c r="M191" s="429">
        <f t="shared" si="531"/>
        <v>10.649988441444357</v>
      </c>
      <c r="N191" s="429">
        <f t="shared" si="531"/>
        <v>10.471827930894325</v>
      </c>
      <c r="O191" s="430">
        <f t="shared" si="531"/>
        <v>2.8397329584808237</v>
      </c>
      <c r="P191" s="429">
        <f t="shared" si="531"/>
        <v>13.40387259469182</v>
      </c>
      <c r="Q191" s="429">
        <f t="shared" si="531"/>
        <v>12.07434786704967</v>
      </c>
      <c r="R191" s="429">
        <f t="shared" si="531"/>
        <v>10.643172859130699</v>
      </c>
      <c r="S191" s="429">
        <f t="shared" ref="S191" si="532">S171/S28</f>
        <v>11.188890215218004</v>
      </c>
      <c r="T191" s="430">
        <f>T171/T28</f>
        <v>3.048323411720435</v>
      </c>
      <c r="U191" s="431">
        <f>Drivers!U150</f>
        <v>11</v>
      </c>
      <c r="V191" s="431">
        <f>Drivers!V150</f>
        <v>11</v>
      </c>
      <c r="W191" s="431">
        <f>Drivers!W152</f>
        <v>9.5</v>
      </c>
      <c r="X191" s="431">
        <f>Drivers!X150</f>
        <v>9</v>
      </c>
      <c r="Y191" s="430">
        <f>Y171/Y28</f>
        <v>2.4159690489698877</v>
      </c>
      <c r="Z191" s="431">
        <f>Drivers!Z150</f>
        <v>11</v>
      </c>
      <c r="AA191" s="431">
        <f>Drivers!AA150</f>
        <v>11</v>
      </c>
      <c r="AB191" s="431">
        <f>Drivers!AB152</f>
        <v>9.5</v>
      </c>
      <c r="AC191" s="431">
        <f>Drivers!AC150</f>
        <v>9</v>
      </c>
      <c r="AD191" s="430">
        <f>AD171/AD28</f>
        <v>2.4010421136870237</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1250.5117498500001</v>
      </c>
      <c r="W195" s="277">
        <f t="shared" ref="W195" si="537">V199</f>
        <v>1254.4012274569875</v>
      </c>
      <c r="X195" s="277">
        <f t="shared" ref="X195" si="538">W199</f>
        <v>1252.1224313160317</v>
      </c>
      <c r="Y195" s="278">
        <f>U195</f>
        <v>1246.47</v>
      </c>
      <c r="Z195" s="277">
        <f t="shared" ref="Z195:AC195" si="539">Y199</f>
        <v>1250.7917529403828</v>
      </c>
      <c r="AA195" s="277">
        <f t="shared" si="539"/>
        <v>1251.9022827279716</v>
      </c>
      <c r="AB195" s="277">
        <f t="shared" si="539"/>
        <v>1251.6051204862245</v>
      </c>
      <c r="AC195" s="277">
        <f t="shared" si="539"/>
        <v>1244.9303376215933</v>
      </c>
      <c r="AD195" s="278">
        <f>Y199</f>
        <v>1250.7917529403828</v>
      </c>
      <c r="AE195" s="278">
        <f t="shared" ref="AE195:AG195" si="540">AD199</f>
        <v>1238.575592679187</v>
      </c>
      <c r="AF195" s="278">
        <f t="shared" si="540"/>
        <v>1212.2213427567674</v>
      </c>
      <c r="AG195" s="278">
        <f t="shared" si="540"/>
        <v>1172.1541316468335</v>
      </c>
      <c r="AH195" s="8"/>
      <c r="AI195" s="8"/>
      <c r="AJ195" s="8"/>
      <c r="AK195" s="8"/>
    </row>
    <row r="196" ht="15.75" customHeight="1" spans="1:37" x14ac:dyDescent="0.25">
      <c r="A196" s="260"/>
      <c r="B196" s="8"/>
      <c r="C196" s="130" t="s">
        <v>118</v>
      </c>
      <c r="D196" s="8"/>
      <c r="E196" s="8"/>
      <c r="F196" s="433"/>
      <c r="G196" s="433"/>
      <c r="H196" s="433"/>
      <c r="I196" s="433"/>
      <c r="J196" s="324">
        <f t="shared" ref="J196:J198" si="541">SUM(F196:I196)</f>
        <v>-91</v>
      </c>
      <c r="K196" s="433"/>
      <c r="L196" s="433"/>
      <c r="M196" s="433"/>
      <c r="N196" s="433"/>
      <c r="O196" s="324">
        <f t="shared" ref="O196:O198" si="542">SUM(K196:N196)</f>
        <v>-173</v>
      </c>
      <c r="P196" s="433"/>
      <c r="Q196" s="433"/>
      <c r="R196" s="433"/>
      <c r="S196" s="433"/>
      <c r="T196" s="324">
        <f t="shared" ref="T196:T198" si="543">SUM(P196:S196)</f>
        <v>-173</v>
      </c>
      <c r="U196" s="325">
        <f t="shared" ref="U196:X196" si="544">U203*U28</f>
        <v>-41.14278765000001</v>
      </c>
      <c r="V196" s="325">
        <f t="shared" si="544"/>
        <v>-42.0668292</v>
      </c>
      <c r="W196" s="325">
        <f t="shared" si="544"/>
        <v>-48.37804125</v>
      </c>
      <c r="X196" s="325">
        <f t="shared" si="544"/>
        <v>-48.28526954999998</v>
      </c>
      <c r="Y196" s="324">
        <f t="shared" ref="Y196:Y198" si="545">SUM(U196:X196)</f>
        <v>-179.87292764999998</v>
      </c>
      <c r="Z196" s="325">
        <f t="shared" ref="Z196:AC196" si="546">Z203*Z28</f>
        <v>-44.23067125650001</v>
      </c>
      <c r="AA196" s="325">
        <f t="shared" si="546"/>
        <v>-46.30457113200001</v>
      </c>
      <c r="AB196" s="325">
        <f t="shared" si="546"/>
        <v>-52.67127104250001</v>
      </c>
      <c r="AC196" s="325">
        <f t="shared" si="546"/>
        <v>-52.105934849999976</v>
      </c>
      <c r="AD196" s="324">
        <f t="shared" ref="AD196:AD198" si="547">SUM(Z196:AC196)</f>
        <v>-195.312448281</v>
      </c>
      <c r="AE196" s="324">
        <f t="shared" ref="AE196:AG196" si="548">AE203*AE28</f>
        <v>-208.42486204626002</v>
      </c>
      <c r="AF196" s="324">
        <f t="shared" si="548"/>
        <v>-218.2637484951786</v>
      </c>
      <c r="AG196" s="324">
        <f t="shared" si="548"/>
        <v>-224.65688392894816</v>
      </c>
      <c r="AH196" s="8"/>
      <c r="AI196" s="8"/>
      <c r="AJ196" s="8"/>
      <c r="AK196" s="8"/>
    </row>
    <row r="197" ht="15.75" customHeight="1" spans="1:37" x14ac:dyDescent="0.25">
      <c r="A197" s="260"/>
      <c r="B197" s="8"/>
      <c r="C197" s="130" t="s">
        <v>366</v>
      </c>
      <c r="D197" s="8"/>
      <c r="E197" s="8"/>
      <c r="F197" s="359"/>
      <c r="G197" s="359"/>
      <c r="H197" s="359"/>
      <c r="I197" s="359"/>
      <c r="J197" s="372">
        <f t="shared" si="541"/>
        <v>145</v>
      </c>
      <c r="K197" s="359"/>
      <c r="L197" s="359"/>
      <c r="M197" s="359"/>
      <c r="N197" s="359"/>
      <c r="O197" s="372">
        <f t="shared" si="542"/>
        <v>165</v>
      </c>
      <c r="P197" s="359"/>
      <c r="Q197" s="359"/>
      <c r="R197" s="359"/>
      <c r="S197" s="359"/>
      <c r="T197" s="324">
        <f t="shared" si="543"/>
        <v>165</v>
      </c>
      <c r="U197" s="355">
        <f t="shared" ref="U197:X197" si="549">-U204*U195/4</f>
        <v>45.1845375</v>
      </c>
      <c r="V197" s="355">
        <f t="shared" si="549"/>
        <v>45.9563068069875</v>
      </c>
      <c r="W197" s="355">
        <f t="shared" si="549"/>
        <v>46.09924510904429</v>
      </c>
      <c r="X197" s="355">
        <f t="shared" si="549"/>
        <v>46.95459117435119</v>
      </c>
      <c r="Y197" s="324">
        <f t="shared" si="545"/>
        <v>184.19468059038297</v>
      </c>
      <c r="Z197" s="355">
        <f t="shared" ref="Z197:AC197" si="550">-Z204*Z195/4</f>
        <v>45.341201044088876</v>
      </c>
      <c r="AA197" s="355">
        <f t="shared" si="550"/>
        <v>46.007408890252954</v>
      </c>
      <c r="AB197" s="355">
        <f t="shared" si="550"/>
        <v>45.99648817786875</v>
      </c>
      <c r="AC197" s="355">
        <f t="shared" si="550"/>
        <v>45.75118990759355</v>
      </c>
      <c r="AD197" s="324">
        <f t="shared" si="547"/>
        <v>183.09628801980412</v>
      </c>
      <c r="AE197" s="157">
        <f t="shared" ref="AE197:AG197" si="551">-AE204*AE195</f>
        <v>182.07061212384048</v>
      </c>
      <c r="AF197" s="157">
        <f t="shared" si="551"/>
        <v>178.1965373852448</v>
      </c>
      <c r="AG197" s="157">
        <f t="shared" si="551"/>
        <v>169.96234908879086</v>
      </c>
      <c r="AH197" s="8"/>
      <c r="AI197" s="8"/>
      <c r="AJ197" s="8"/>
      <c r="AK197" s="8"/>
    </row>
    <row r="198" ht="15.75" customHeight="1" spans="1:37" x14ac:dyDescent="0.25">
      <c r="A198" s="260"/>
      <c r="B198" s="8"/>
      <c r="C198" s="130" t="s">
        <v>367</v>
      </c>
      <c r="D198" s="8"/>
      <c r="E198" s="8"/>
      <c r="F198" s="349"/>
      <c r="G198" s="349"/>
      <c r="H198" s="349"/>
      <c r="I198" s="349"/>
      <c r="J198" s="434">
        <f t="shared" si="541"/>
        <v>0</v>
      </c>
      <c r="K198" s="349"/>
      <c r="L198" s="349"/>
      <c r="M198" s="349"/>
      <c r="N198" s="349"/>
      <c r="O198" s="434">
        <f t="shared" si="542"/>
        <v>0</v>
      </c>
      <c r="P198" s="349"/>
      <c r="Q198" s="349"/>
      <c r="R198" s="349"/>
      <c r="S198" s="349"/>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1250.5117498500001</v>
      </c>
      <c r="V199" s="277">
        <f t="shared" si="554"/>
        <v>1254.4012274569875</v>
      </c>
      <c r="W199" s="277">
        <f t="shared" si="554"/>
        <v>1252.1224313160317</v>
      </c>
      <c r="X199" s="277">
        <f t="shared" si="554"/>
        <v>1250.7917529403828</v>
      </c>
      <c r="Y199" s="278">
        <f>X199</f>
        <v>1250.7917529403828</v>
      </c>
      <c r="Z199" s="277">
        <f t="shared" ref="Z199:AG199" si="555">SUM(Z195:Z198)</f>
        <v>1251.9022827279716</v>
      </c>
      <c r="AA199" s="277">
        <f t="shared" si="555"/>
        <v>1251.6051204862245</v>
      </c>
      <c r="AB199" s="277">
        <f t="shared" si="555"/>
        <v>1244.9303376215933</v>
      </c>
      <c r="AC199" s="277">
        <f t="shared" si="555"/>
        <v>1238.5755926791867</v>
      </c>
      <c r="AD199" s="278">
        <f t="shared" si="555"/>
        <v>1238.575592679187</v>
      </c>
      <c r="AE199" s="278">
        <f t="shared" si="555"/>
        <v>1212.2213427567674</v>
      </c>
      <c r="AF199" s="278">
        <f t="shared" si="555"/>
        <v>1172.1541316468335</v>
      </c>
      <c r="AG199" s="278">
        <f t="shared" si="555"/>
        <v>1117.4595968066762</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-0.014125892977490229</v>
      </c>
      <c r="G203" s="429">
        <f t="shared" si="556"/>
        <v>-0.010203228842289622</v>
      </c>
      <c r="H203" s="429">
        <f t="shared" si="556"/>
        <v>-0.012739552586913146</v>
      </c>
      <c r="I203" s="429">
        <f t="shared" si="556"/>
        <v>-0.011682895732695342</v>
      </c>
      <c r="J203" s="430">
        <f t="shared" si="556"/>
        <v>-0.012228914529294298</v>
      </c>
      <c r="K203" s="429">
        <f t="shared" si="556"/>
        <v>-0.03771346839609702</v>
      </c>
      <c r="L203" s="429">
        <f t="shared" si="556"/>
        <v>0.010826116849413607</v>
      </c>
      <c r="M203" s="429">
        <f t="shared" si="556"/>
        <v>-0.020420114969100126</v>
      </c>
      <c r="N203" s="429">
        <f>N196/N28</f>
        <v>-0.017885580679925607</v>
      </c>
      <c r="O203" s="430">
        <f t="shared" ref="O203:R203" si="557">O196/O28</f>
        <v>-0.01645257867542286</v>
      </c>
      <c r="P203" s="429">
        <f t="shared" si="557"/>
        <v>-0.0200488178888932</v>
      </c>
      <c r="Q203" s="429">
        <f t="shared" si="557"/>
        <v>-0.019813856710158898</v>
      </c>
      <c r="R203" s="429">
        <f t="shared" si="557"/>
        <v>-0.019259380522025506</v>
      </c>
      <c r="S203" s="429">
        <f>S196/S28</f>
        <v>-0.006104128289786032</v>
      </c>
      <c r="T203" s="430">
        <f>T196/T28</f>
        <v>-0.01598347770355675</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-0.014999999999999998</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-0.1475173200194207</v>
      </c>
      <c r="Z204" s="431">
        <f>Drivers!Z72</f>
        <v>-0.145</v>
      </c>
      <c r="AA204" s="431">
        <f>Drivers!AA72</f>
        <v>-0.147</v>
      </c>
      <c r="AB204" s="431">
        <f>Drivers!AB72</f>
        <v>-0.147</v>
      </c>
      <c r="AC204" s="431">
        <f>Drivers!AC72</f>
        <v>-0.147</v>
      </c>
      <c r="AD204" s="430">
        <f>-AD197/AVERAGE(Y199,AD199)</f>
        <v>-0.14710266714311218</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0.018697488430606105</v>
      </c>
      <c r="G205" s="429">
        <f t="shared" si="568"/>
        <v>-0.06194852117375891</v>
      </c>
      <c r="H205" s="429">
        <f t="shared" si="568"/>
        <v>-0.017639380504956663</v>
      </c>
      <c r="I205" s="429">
        <f t="shared" si="568"/>
        <v>-0.020318079535122335</v>
      </c>
      <c r="J205" s="430">
        <f t="shared" si="568"/>
        <v>-0.019485633041183222</v>
      </c>
      <c r="K205" s="429">
        <f t="shared" si="568"/>
        <v>0.016929346761236724</v>
      </c>
      <c r="L205" s="429">
        <f t="shared" si="568"/>
        <v>-0.04936035259097936</v>
      </c>
      <c r="M205" s="429">
        <f t="shared" si="568"/>
        <v>-0.01618197790004161</v>
      </c>
      <c r="N205" s="429">
        <f t="shared" si="568"/>
        <v>-0.014729301736409324</v>
      </c>
      <c r="O205" s="430">
        <f t="shared" si="568"/>
        <v>-0.015691765788698103</v>
      </c>
      <c r="P205" s="429">
        <f t="shared" si="568"/>
        <v>0.012531218862015862</v>
      </c>
      <c r="Q205" s="429">
        <f t="shared" si="568"/>
        <v>-0.047302766491000535</v>
      </c>
      <c r="R205" s="429">
        <f t="shared" si="568"/>
        <v>-0.015476287919484782</v>
      </c>
      <c r="S205" s="429">
        <f t="shared" ref="S205" si="569">-S197/S28</f>
        <v>-0.011190901864607727</v>
      </c>
      <c r="T205" s="430">
        <f t="shared" si="568"/>
        <v>-0.015244357347322912</v>
      </c>
      <c r="U205" s="435">
        <f t="shared" si="568"/>
        <v>-0.01647355712174257</v>
      </c>
      <c r="V205" s="435">
        <f t="shared" si="568"/>
        <v>-0.016386892361851993</v>
      </c>
      <c r="W205" s="435">
        <f t="shared" si="568"/>
        <v>-0.014293440965546828</v>
      </c>
      <c r="X205" s="435">
        <f t="shared" si="568"/>
        <v>-0.014586619774089425</v>
      </c>
      <c r="Y205" s="430">
        <f t="shared" ref="Y205:AG205" si="570">-Y197/Y28</f>
        <v>-0.015360400505805324</v>
      </c>
      <c r="Z205" s="435">
        <f t="shared" si="570"/>
        <v>-0.01537661528393343</v>
      </c>
      <c r="AA205" s="435">
        <f t="shared" si="570"/>
        <v>-0.0149037366394454</v>
      </c>
      <c r="AB205" s="435">
        <f t="shared" si="570"/>
        <v>-0.013099120431540724</v>
      </c>
      <c r="AC205" s="435">
        <f t="shared" si="570"/>
        <v>-0.01317062731125538</v>
      </c>
      <c r="AD205" s="430">
        <f t="shared" si="570"/>
        <v>-0.014061798643503234</v>
      </c>
      <c r="AE205" s="430">
        <f t="shared" si="570"/>
        <v>-0.013103327285645255</v>
      </c>
      <c r="AF205" s="430">
        <f t="shared" si="570"/>
        <v>-0.012246413246392663</v>
      </c>
      <c r="AG205" s="430">
        <f t="shared" si="570"/>
        <v>-0.011348128718540263</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F34-F197</f>
        <v>0</v>
      </c>
      <c r="G211" s="323">
        <f>G34-G197</f>
        <v>-127.602</v>
      </c>
      <c r="H211" s="323">
        <f t="shared" ref="F211:I211" si="601">H34-H197</f>
        <v>-61.288</v>
      </c>
      <c r="I211" s="323">
        <f t="shared" si="601"/>
        <v>-68.311</v>
      </c>
      <c r="J211" s="324">
        <f t="shared" si="590"/>
        <v>-257.201</v>
      </c>
      <c r="K211" s="323">
        <f t="shared" ref="K211:N211" si="602">K34-K197</f>
        <v>0</v>
      </c>
      <c r="L211" s="323">
        <f t="shared" si="602"/>
        <v>-174.148</v>
      </c>
      <c r="M211" s="323">
        <f t="shared" si="602"/>
        <v>-87.977</v>
      </c>
      <c r="N211" s="323">
        <f t="shared" si="602"/>
        <v>-93.201</v>
      </c>
      <c r="O211" s="324">
        <f t="shared" si="591"/>
        <v>-355.326</v>
      </c>
      <c r="P211" s="323">
        <f t="shared" ref="P211:S211" si="603">P34-P197</f>
        <v>0</v>
      </c>
      <c r="Q211" s="323">
        <f t="shared" si="603"/>
        <v>-170.24099999999999</v>
      </c>
      <c r="R211" s="323">
        <f t="shared" si="603"/>
        <v>-98.22999999999999</v>
      </c>
      <c r="S211" s="323">
        <f t="shared" si="603"/>
        <v>-88.81</v>
      </c>
      <c r="T211" s="324">
        <f t="shared" si="592"/>
        <v>-357.281</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3246.706</v>
      </c>
      <c r="T222" s="350">
        <f t="shared" si="632"/>
        <v>3246.706</v>
      </c>
      <c r="U222" s="351">
        <f t="shared" ref="U222" si="637">T222*(1+U235)</f>
        <v>3311.64012</v>
      </c>
      <c r="V222" s="351">
        <f t="shared" ref="V222" si="638">U222*(1+V235)</f>
        <v>3377.8729224</v>
      </c>
      <c r="W222" s="351">
        <f t="shared" ref="W222" si="639">V222*(1+W235)</f>
        <v>3445.430380848</v>
      </c>
      <c r="X222" s="351">
        <f t="shared" ref="X222" si="640">W222*(1+X235)</f>
        <v>3514.33898846496</v>
      </c>
      <c r="Y222" s="350">
        <f t="shared" si="633"/>
        <v>3514.33898846496</v>
      </c>
      <c r="Z222" s="351">
        <f t="shared" ref="Z222:AC222" si="641">Y222*(1+Z235)</f>
        <v>3584.6257682342593</v>
      </c>
      <c r="AA222" s="351">
        <f t="shared" si="641"/>
        <v>3656.3182835989446</v>
      </c>
      <c r="AB222" s="351">
        <f t="shared" si="641"/>
        <v>3729.4446492709235</v>
      </c>
      <c r="AC222" s="351">
        <f t="shared" si="641"/>
        <v>3804.033542256342</v>
      </c>
      <c r="AD222" s="350">
        <f t="shared" si="634"/>
        <v>3804.033542256342</v>
      </c>
      <c r="AE222" s="350">
        <f t="shared" ref="AE222:AG222" si="642">AD222*(1+AE235)</f>
        <v>4089.3360579255677</v>
      </c>
      <c r="AF222" s="350">
        <f t="shared" si="642"/>
        <v>4498.269663718125</v>
      </c>
      <c r="AG222" s="350">
        <f t="shared" si="642"/>
        <v>4880.622585134166</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5084.276</v>
      </c>
      <c r="T223" s="278">
        <f t="shared" si="643"/>
        <v>5084.276</v>
      </c>
      <c r="U223" s="277">
        <f t="shared" si="643"/>
        <v>5149.21012</v>
      </c>
      <c r="V223" s="277">
        <f t="shared" si="643"/>
        <v>5215.4429224</v>
      </c>
      <c r="W223" s="277">
        <f t="shared" si="643"/>
        <v>5283.000380848</v>
      </c>
      <c r="X223" s="277">
        <f t="shared" si="643"/>
        <v>5351.90898846496</v>
      </c>
      <c r="Y223" s="278">
        <f t="shared" ref="Y223:AG223" si="645">SUM(Y221:Y222)</f>
        <v>5351.90898846496</v>
      </c>
      <c r="Z223" s="277">
        <f t="shared" si="645"/>
        <v>5422.195768234259</v>
      </c>
      <c r="AA223" s="277">
        <f t="shared" si="645"/>
        <v>5493.888283598944</v>
      </c>
      <c r="AB223" s="277">
        <f t="shared" si="645"/>
        <v>5567.014649270924</v>
      </c>
      <c r="AC223" s="277">
        <f t="shared" si="645"/>
        <v>5641.603542256342</v>
      </c>
      <c r="AD223" s="278">
        <f t="shared" si="645"/>
        <v>5641.603542256342</v>
      </c>
      <c r="AE223" s="278">
        <f t="shared" si="645"/>
        <v>5926.906057925567</v>
      </c>
      <c r="AF223" s="278">
        <f t="shared" si="645"/>
        <v>6335.839663718125</v>
      </c>
      <c r="AG223" s="278">
        <f t="shared" si="645"/>
        <v>6718.192585134166</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-60.60400000000027</v>
      </c>
      <c r="T224" s="446">
        <f>T223-O223</f>
        <v>132.15099999999984</v>
      </c>
      <c r="U224" s="447">
        <f t="shared" ref="U224" si="656">U223-T223</f>
        <v>64.9341199999999</v>
      </c>
      <c r="V224" s="447">
        <f t="shared" ref="V224" si="657">V223-U223</f>
        <v>66.23280239999985</v>
      </c>
      <c r="W224" s="447">
        <f t="shared" ref="W224" si="658">W223-V223</f>
        <v>67.55745844800003</v>
      </c>
      <c r="X224" s="447">
        <f t="shared" ref="X224" si="659">X223-W223</f>
        <v>68.90860761696058</v>
      </c>
      <c r="Y224" s="446">
        <f>Y223-T223</f>
        <v>267.63298846496036</v>
      </c>
      <c r="Z224" s="447">
        <f t="shared" ref="Z224:AC224" si="660">Z223-Y223</f>
        <v>70.28677976929885</v>
      </c>
      <c r="AA224" s="447">
        <f t="shared" si="660"/>
        <v>71.69251536468528</v>
      </c>
      <c r="AB224" s="447">
        <f t="shared" si="660"/>
        <v>73.12636567197933</v>
      </c>
      <c r="AC224" s="447">
        <f t="shared" si="660"/>
        <v>74.58889298541817</v>
      </c>
      <c r="AD224" s="446">
        <f>AD223-Y223</f>
        <v>289.6945537913816</v>
      </c>
      <c r="AE224" s="446">
        <f t="shared" ref="AE224:AG224" si="661">AE223-AD223</f>
        <v>285.3025156692256</v>
      </c>
      <c r="AF224" s="446">
        <f t="shared" si="661"/>
        <v>408.9336057925575</v>
      </c>
      <c r="AG224" s="446">
        <f t="shared" si="661"/>
        <v>382.3529214160408</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60.60400000000027</v>
      </c>
      <c r="T231" s="394">
        <f t="shared" si="692"/>
        <v>-132.15099999999984</v>
      </c>
      <c r="U231" s="395">
        <f t="shared" si="692"/>
        <v>-64.9341199999999</v>
      </c>
      <c r="V231" s="395">
        <f t="shared" si="692"/>
        <v>-66.23280239999985</v>
      </c>
      <c r="W231" s="395">
        <f t="shared" si="692"/>
        <v>-67.55745844800003</v>
      </c>
      <c r="X231" s="395">
        <f t="shared" si="692"/>
        <v>-68.90860761696058</v>
      </c>
      <c r="Y231" s="394">
        <f t="shared" ref="Y231:AG231" si="694">Y229-Y224</f>
        <v>-267.63298846496036</v>
      </c>
      <c r="Z231" s="395">
        <f t="shared" si="694"/>
        <v>-70.28677976929885</v>
      </c>
      <c r="AA231" s="395">
        <f t="shared" si="694"/>
        <v>-71.69251536468528</v>
      </c>
      <c r="AB231" s="395">
        <f t="shared" si="694"/>
        <v>-73.12636567197933</v>
      </c>
      <c r="AC231" s="395">
        <f t="shared" si="694"/>
        <v>-74.58889298541817</v>
      </c>
      <c r="AD231" s="394">
        <f t="shared" si="694"/>
        <v>-289.6945537913816</v>
      </c>
      <c r="AE231" s="394">
        <f t="shared" si="694"/>
        <v>-285.3025156692256</v>
      </c>
      <c r="AF231" s="394">
        <f t="shared" si="694"/>
        <v>-408.9336057925575</v>
      </c>
      <c r="AG231" s="416">
        <f t="shared" si="694"/>
        <v>-382.3529214160408</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-0.01747402289277955</v>
      </c>
      <c r="T235" s="403">
        <f>T222/O222-1</f>
        <v>0.03921628250805731</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0.0824321600000002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0.540859302135917</v>
      </c>
      <c r="G240" s="376">
        <f t="shared" si="705"/>
        <v>0.03604762375911102</v>
      </c>
      <c r="H240" s="376">
        <f t="shared" si="705"/>
        <v>0.23612564757196136</v>
      </c>
      <c r="I240" s="376">
        <f t="shared" si="705"/>
        <v>0.12524450902587717</v>
      </c>
      <c r="J240" s="117">
        <f t="shared" si="705"/>
        <v>0.943935965848454</v>
      </c>
      <c r="K240" s="376">
        <f t="shared" si="705"/>
        <v>0.7463939358134211</v>
      </c>
      <c r="L240" s="376">
        <f t="shared" si="705"/>
        <v>0.7027335421487383</v>
      </c>
      <c r="M240" s="376">
        <f t="shared" si="705"/>
        <v>0.81401432488389</v>
      </c>
      <c r="N240" s="376">
        <f t="shared" si="705"/>
        <v>0.7734972060862647</v>
      </c>
      <c r="O240" s="117">
        <f t="shared" si="705"/>
        <v>3.054498845265591</v>
      </c>
      <c r="P240" s="376">
        <f t="shared" si="705"/>
        <v>0.6378836186001441</v>
      </c>
      <c r="Q240" s="376">
        <f t="shared" si="705"/>
        <v>0.4249013235888938</v>
      </c>
      <c r="R240" s="376">
        <f t="shared" si="705"/>
        <v>1.1263905468361743</v>
      </c>
      <c r="S240" s="376">
        <f t="shared" ref="S240" si="706">S53</f>
        <v>0.7576523970692098</v>
      </c>
      <c r="T240" s="117">
        <f t="shared" si="705"/>
        <v>2.9474408794193643</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70.27705699041144</v>
      </c>
      <c r="G241" s="449">
        <f>G242/SUM(F240:G240,C240:D240)</f>
        <v>60.235019619651766</v>
      </c>
      <c r="H241" s="449">
        <f>H242/SUM(F240:H240,D240)</f>
        <v>42.72891533959003</v>
      </c>
      <c r="I241" s="449">
        <f>I242/SUM(F240:I240)</f>
        <v>38.005830756578355</v>
      </c>
      <c r="J241" s="450">
        <f>J242/J240</f>
        <v>37.81113886114907</v>
      </c>
      <c r="K241" s="449">
        <f>K242/SUM(K240,G240:I240)</f>
        <v>35.521580541275185</v>
      </c>
      <c r="L241" s="449">
        <f>L242/SUM(K240:L240,H240:I240)</f>
        <v>22.457913903809946</v>
      </c>
      <c r="M241" s="449">
        <f>M242/SUM(K240:M240,I240)</f>
        <v>17.049168217718183</v>
      </c>
      <c r="N241" s="449">
        <f>N242/SUM(K240:N240)</f>
        <v>13.409562308928251</v>
      </c>
      <c r="O241" s="450">
        <f>O242/O240</f>
        <v>13.30212153695331</v>
      </c>
      <c r="P241" s="449">
        <f>P242/SUM(P240,L240:N240)</f>
        <v>27.625151937058934</v>
      </c>
      <c r="Q241" s="449">
        <f>Q242/SUM(P240:Q240,M240:N240)</f>
        <v>30.226807004918847</v>
      </c>
      <c r="R241" s="449">
        <f>R242/SUM(P240:R240,N240)</f>
        <v>26.935138711634615</v>
      </c>
      <c r="S241" s="449">
        <f>S242/SUM(P240:S240)</f>
        <v>13.818248494304923</v>
      </c>
      <c r="T241" s="450">
        <f>T242/T240</f>
        <v>27.17426615577543</v>
      </c>
      <c r="U241" s="451">
        <f>U242/SUM(U240,Q240:S240)</f>
        <v>0.9321175972303029</v>
      </c>
      <c r="V241" s="451">
        <f>V242/SUM(U240:V240,R240:S240)</f>
        <v>1.1984209953155225</v>
      </c>
      <c r="W241" s="451">
        <f>W242/SUM(U240:W240,S240)</f>
        <v>1.8481710064478374</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35.69129388072876</v>
      </c>
      <c r="K242" s="452">
        <v>40.63</v>
      </c>
      <c r="L242" s="452">
        <v>40.66</v>
      </c>
      <c r="M242" s="453">
        <v>40.72</v>
      </c>
      <c r="N242" s="452">
        <v>40.72</v>
      </c>
      <c r="O242" s="117">
        <f>K242*(K243/(SUM(K243:N243)))+L242*(L243/(SUM(K243:N243)))+M242*(M243/(SUM(K243:N243)))+N242*(N243/(SUM(K243:N243)))</f>
        <v>40.63131487420643</v>
      </c>
      <c r="P242" s="452">
        <v>80.89</v>
      </c>
      <c r="Q242" s="452">
        <v>80.11</v>
      </c>
      <c r="R242" s="452">
        <v>79.8</v>
      </c>
      <c r="S242" s="452">
        <v>40.72</v>
      </c>
      <c r="T242" s="117">
        <f>P242*(P243/(SUM(P243:S243)))+Q242*(Q243/(SUM(P243:S243)))+R242*(R243/(SUM(P243:S243)))+S242*(S243/(SUM(P243:S243)))</f>
        <v>80.0945429357546</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G243:I243" si="714">G244/G242</f>
        <v>-3.284287769784173</v>
      </c>
      <c r="H243" s="353">
        <f t="shared" si="714"/>
        <v>-0.00805987334484744</v>
      </c>
      <c r="I243" s="456">
        <f t="shared" si="714"/>
        <v>-0.1158160403813797</v>
      </c>
      <c r="J243" s="157">
        <f t="shared" ref="J243:J244" si="715">SUM(F243:I243)</f>
        <v>-4.746311539337814</v>
      </c>
      <c r="K243" s="353">
        <f t="shared" ref="K243:N243" si="716">K244/K242</f>
        <v>-1.059143490031996</v>
      </c>
      <c r="L243" s="353">
        <f t="shared" si="716"/>
        <v>-0.023266109198229218</v>
      </c>
      <c r="M243" s="456">
        <f t="shared" si="716"/>
        <v>-0.008153241650294697</v>
      </c>
      <c r="N243" s="353">
        <f t="shared" si="716"/>
        <v>-0.000024557956777996073</v>
      </c>
      <c r="O243" s="157">
        <f t="shared" ref="O243:O244" si="717">SUM(K243:N243)</f>
        <v>-1.0905873988372978</v>
      </c>
      <c r="P243" s="353">
        <f>P244/P242</f>
        <v>-0.6962294473977005</v>
      </c>
      <c r="Q243" s="353">
        <f>33.1-P243</f>
        <v>33.7962294473977</v>
      </c>
      <c r="R243" s="456">
        <f t="shared" ref="R243:S243" si="718">R244/R242</f>
        <v>-0.011503759398496242</v>
      </c>
      <c r="S243" s="353">
        <f t="shared" si="718"/>
        <v>-0.0007121807465618861</v>
      </c>
      <c r="T243" s="157">
        <f t="shared" ref="T243:T244" si="719">SUM(P243:S243)</f>
        <v>33.08778405985495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-4.13</v>
      </c>
      <c r="J244" s="157">
        <f t="shared" si="715"/>
        <v>-169.40200000000002</v>
      </c>
      <c r="K244" s="359">
        <v>-43.033</v>
      </c>
      <c r="L244" s="359">
        <v>-0.946</v>
      </c>
      <c r="M244" s="458">
        <v>-0.332</v>
      </c>
      <c r="N244" s="359">
        <v>-0.001</v>
      </c>
      <c r="O244" s="157">
        <f t="shared" si="717"/>
        <v>-44.312</v>
      </c>
      <c r="P244" s="359">
        <v>-56.318</v>
      </c>
      <c r="Q244" s="359">
        <v>-1.25</v>
      </c>
      <c r="R244" s="458">
        <v>-0.918</v>
      </c>
      <c r="S244" s="359">
        <v>-0.029</v>
      </c>
      <c r="T244" s="157">
        <f t="shared" si="719"/>
        <v>-58.515</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3095.5358993200916</v>
      </c>
      <c r="W247" s="277">
        <f t="shared" ref="W247" si="730">V250</f>
        <v>3114.953322486669</v>
      </c>
      <c r="X247" s="277">
        <f t="shared" ref="X247" si="731">W250</f>
        <v>3137.283907339054</v>
      </c>
      <c r="Y247" s="278"/>
      <c r="Z247" s="277">
        <f t="shared" ref="Z247:AC247" si="732">Y250</f>
        <v>3159.571670153481</v>
      </c>
      <c r="AA247" s="277">
        <f t="shared" si="732"/>
        <v>3098.5478906545795</v>
      </c>
      <c r="AB247" s="277">
        <f t="shared" si="732"/>
        <v>3160.6413925161587</v>
      </c>
      <c r="AC247" s="277">
        <f t="shared" si="732"/>
        <v>3266.3936684352984</v>
      </c>
      <c r="AD247" s="278">
        <f>Y250</f>
        <v>3159.571670153481</v>
      </c>
      <c r="AE247" s="278">
        <f t="shared" ref="AE247:AG247" si="733">AD250</f>
        <v>3331.164993569939</v>
      </c>
      <c r="AF247" s="278">
        <f t="shared" si="733"/>
        <v>3427.3708123053284</v>
      </c>
      <c r="AG247" s="278">
        <f t="shared" si="733"/>
        <v>3528.1181148011947</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4748</v>
      </c>
      <c r="G249" s="349">
        <v>7127</v>
      </c>
      <c r="H249" s="349">
        <v>5829</v>
      </c>
      <c r="I249" s="463">
        <v>713</v>
      </c>
      <c r="J249" s="350">
        <f t="shared" si="734"/>
        <v>45.36</v>
      </c>
      <c r="K249" s="349">
        <v>4961</v>
      </c>
      <c r="L249" s="349">
        <v>6722</v>
      </c>
      <c r="M249" s="463">
        <v>5333</v>
      </c>
      <c r="N249" s="349">
        <v>-1324</v>
      </c>
      <c r="O249" s="350">
        <f t="shared" si="735"/>
        <v>63.11900000000001</v>
      </c>
      <c r="P249" s="349">
        <v>3689</v>
      </c>
      <c r="Q249" s="349">
        <v>6534</v>
      </c>
      <c r="R249" s="349">
        <v>4847</v>
      </c>
      <c r="S249" s="349">
        <f>88.227-SUM(P249:R249)</f>
        <v>20.417</v>
      </c>
      <c r="T249" s="350">
        <f t="shared" si="736"/>
        <v>88.227</v>
      </c>
      <c r="U249" s="351">
        <f t="shared" ref="U249:X249" si="739">U252*U28</f>
        <v>18.990899320091682</v>
      </c>
      <c r="V249" s="351">
        <f t="shared" si="739"/>
        <v>19.417423166577603</v>
      </c>
      <c r="W249" s="351">
        <f t="shared" si="739"/>
        <v>22.330584852385236</v>
      </c>
      <c r="X249" s="351">
        <f t="shared" si="739"/>
        <v>22.287762814427044</v>
      </c>
      <c r="Y249" s="350">
        <f t="shared" si="737"/>
        <v>83.02667015348156</v>
      </c>
      <c r="Z249" s="351">
        <f t="shared" ref="Z249:AC249" si="740">Z252*Z28</f>
        <v>20.416220501098316</v>
      </c>
      <c r="AA249" s="351">
        <f t="shared" si="740"/>
        <v>21.373501861579275</v>
      </c>
      <c r="AB249" s="351">
        <f t="shared" si="740"/>
        <v>24.312275919139818</v>
      </c>
      <c r="AC249" s="351">
        <f t="shared" si="740"/>
        <v>24.051325134640116</v>
      </c>
      <c r="AD249" s="350">
        <f t="shared" si="738"/>
        <v>90.15332341645754</v>
      </c>
      <c r="AE249" s="350">
        <f t="shared" ref="AE249:AG249" si="741">AE252*AE28</f>
        <v>96.2058187353895</v>
      </c>
      <c r="AF249" s="350">
        <f t="shared" si="741"/>
        <v>100.74730249586646</v>
      </c>
      <c r="AG249" s="350">
        <f t="shared" si="741"/>
        <v>103.69827879808666</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3095.5358993200916</v>
      </c>
      <c r="V250" s="277">
        <f t="shared" si="744"/>
        <v>3114.953322486669</v>
      </c>
      <c r="W250" s="277">
        <f t="shared" si="744"/>
        <v>3137.283907339054</v>
      </c>
      <c r="X250" s="277">
        <f t="shared" si="744"/>
        <v>3159.571670153481</v>
      </c>
      <c r="Y250" s="278">
        <f>X250</f>
        <v>3159.571670153481</v>
      </c>
      <c r="Z250" s="277">
        <f t="shared" ref="Z250:AG250" si="745">SUM(Z247:Z249)</f>
        <v>3098.5478906545795</v>
      </c>
      <c r="AA250" s="277">
        <f t="shared" si="745"/>
        <v>3160.6413925161587</v>
      </c>
      <c r="AB250" s="277">
        <f t="shared" si="745"/>
        <v>3266.3936684352984</v>
      </c>
      <c r="AC250" s="277">
        <f t="shared" si="745"/>
        <v>3331.1649935699384</v>
      </c>
      <c r="AD250" s="278">
        <f t="shared" si="745"/>
        <v>3331.164993569939</v>
      </c>
      <c r="AE250" s="278">
        <f t="shared" si="745"/>
        <v>3427.3708123053284</v>
      </c>
      <c r="AF250" s="278">
        <f t="shared" si="745"/>
        <v>3528.1181148011947</v>
      </c>
      <c r="AG250" s="278">
        <f t="shared" si="745"/>
        <v>3631.816393599281</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0.007708810711236915</v>
      </c>
      <c r="G252" s="465">
        <f t="shared" si="746"/>
        <v>0.006354005045898785</v>
      </c>
      <c r="H252" s="465">
        <f t="shared" si="746"/>
        <v>0.005516226270133392</v>
      </c>
      <c r="I252" s="466">
        <f t="shared" si="746"/>
        <v>0.005020597453128729</v>
      </c>
      <c r="J252" s="467">
        <f t="shared" si="746"/>
        <v>0.0060956435499866955</v>
      </c>
      <c r="K252" s="465">
        <f t="shared" si="746"/>
        <v>0.007921548650025471</v>
      </c>
      <c r="L252" s="465">
        <f t="shared" si="746"/>
        <v>0.005705758217651009</v>
      </c>
      <c r="M252" s="466">
        <f t="shared" si="746"/>
        <v>0.005153959961163254</v>
      </c>
      <c r="N252" s="465">
        <f t="shared" si="746"/>
        <v>0.005320083508126892</v>
      </c>
      <c r="O252" s="467">
        <f t="shared" si="746"/>
        <v>0.006002718574647489</v>
      </c>
      <c r="P252" s="465">
        <f t="shared" si="746"/>
        <v>0.014411225202841722</v>
      </c>
      <c r="Q252" s="465">
        <f t="shared" si="746"/>
        <v>0.007293786069522094</v>
      </c>
      <c r="R252" s="466">
        <f t="shared" si="746"/>
        <v>0.004807966780319939</v>
      </c>
      <c r="S252" s="465">
        <f t="shared" ref="S252" si="747">S249/S28</f>
        <v>0.006923777071808968</v>
      </c>
      <c r="T252" s="467">
        <f>T249/T28</f>
        <v>0.008151296458680355</v>
      </c>
      <c r="U252" s="468">
        <f>S252</f>
        <v>0.006923777071808968</v>
      </c>
      <c r="V252" s="468">
        <f t="shared" ref="V252" si="748">U252</f>
        <v>0.006923777071808968</v>
      </c>
      <c r="W252" s="468">
        <f t="shared" ref="W252" si="749">V252</f>
        <v>0.006923777071808968</v>
      </c>
      <c r="X252" s="468">
        <f t="shared" ref="X252" si="750">W252</f>
        <v>0.006923777071808968</v>
      </c>
      <c r="Y252" s="467">
        <f>Y249/Y28</f>
        <v>0.006923777071808968</v>
      </c>
      <c r="Z252" s="468">
        <f>X252</f>
        <v>0.006923777071808968</v>
      </c>
      <c r="AA252" s="468">
        <f t="shared" ref="AA252:AC252" si="751">Z252</f>
        <v>0.006923777071808968</v>
      </c>
      <c r="AB252" s="468">
        <f t="shared" si="751"/>
        <v>0.006923777071808968</v>
      </c>
      <c r="AC252" s="468">
        <f t="shared" si="751"/>
        <v>0.006923777071808968</v>
      </c>
      <c r="AD252" s="467">
        <f>AD249/AD28</f>
        <v>0.006923777071808969</v>
      </c>
      <c r="AE252" s="469">
        <f>AC252</f>
        <v>0.006923777071808968</v>
      </c>
      <c r="AF252" s="469">
        <f t="shared" ref="AF252:AG252" si="752">AE252</f>
        <v>0.006923777071808968</v>
      </c>
      <c r="AG252" s="469">
        <f t="shared" si="752"/>
        <v>0.006923777071808968</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v>86365</v>
      </c>
      <c r="G254" s="308">
        <v>93115</v>
      </c>
      <c r="H254" s="308">
        <v>102994</v>
      </c>
      <c r="I254" s="460">
        <v>113618</v>
      </c>
      <c r="J254" s="8"/>
      <c r="K254" s="308">
        <v>124049</v>
      </c>
      <c r="L254" s="308">
        <v>137534</v>
      </c>
      <c r="M254" s="460">
        <v>152862</v>
      </c>
      <c r="N254" s="308">
        <v>172866</v>
      </c>
      <c r="O254" s="8"/>
      <c r="P254" s="308">
        <v>189993</v>
      </c>
      <c r="Q254" s="308">
        <v>208157</v>
      </c>
      <c r="R254" s="456">
        <v>229344</v>
      </c>
      <c r="S254" s="308">
        <v>250536</v>
      </c>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8574.825000000003</v>
      </c>
      <c r="V255" s="277">
        <f t="shared" ref="V255" si="764">U259</f>
        <v>8888.18242149542</v>
      </c>
      <c r="W255" s="277">
        <f t="shared" ref="W255" si="765">V259</f>
        <v>9234.368160774577</v>
      </c>
      <c r="X255" s="277">
        <f t="shared" ref="X255" si="766">W259</f>
        <v>9678.985686605942</v>
      </c>
      <c r="Y255" s="278">
        <f>T259</f>
        <v>8574.825000000003</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129.3199999999999</v>
      </c>
      <c r="G256" s="353">
        <f t="shared" si="769"/>
        <v>8.744000000000042</v>
      </c>
      <c r="H256" s="353">
        <f t="shared" si="769"/>
        <v>53.920000000000094</v>
      </c>
      <c r="I256" s="456">
        <f t="shared" si="769"/>
        <v>29.133000000000266</v>
      </c>
      <c r="J256" s="157">
        <f t="shared" ref="J256:J258" si="770">SUM(F256:I256)</f>
        <v>221.11700000000033</v>
      </c>
      <c r="K256" s="353">
        <f t="shared" ref="K256:N256" si="771">K45</f>
        <v>164.24100000000004</v>
      </c>
      <c r="L256" s="353">
        <f t="shared" si="771"/>
        <v>154.5810000000001</v>
      </c>
      <c r="M256" s="456">
        <f t="shared" si="771"/>
        <v>174.56699999999998</v>
      </c>
      <c r="N256" s="353">
        <f t="shared" si="771"/>
        <v>167.91000000000025</v>
      </c>
      <c r="O256" s="157">
        <f t="shared" ref="O256:O258" si="772">SUM(K256:N256)</f>
        <v>661.2990000000004</v>
      </c>
      <c r="P256" s="353">
        <f t="shared" ref="P256:S256" si="773">P45</f>
        <v>136.8490000000005</v>
      </c>
      <c r="Q256" s="353">
        <f t="shared" si="773"/>
        <v>91.3950000000003</v>
      </c>
      <c r="R256" s="456">
        <f t="shared" si="773"/>
        <v>242.5040000000005</v>
      </c>
      <c r="S256" s="353">
        <f t="shared" si="773"/>
        <v>162.96799999999877</v>
      </c>
      <c r="T256" s="157">
        <f t="shared" ref="T256:T258" si="774">SUM(P256:S256)</f>
        <v>633.7160000000001</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-132.9359999999997</v>
      </c>
      <c r="G258" s="378">
        <f>G259-SUM(G255:G257)</f>
        <v>-0.6620000000002619</v>
      </c>
      <c r="H258" s="378">
        <f>H259-SUM(H255:H257)</f>
        <v>-0.2640000000001237</v>
      </c>
      <c r="I258" s="470">
        <f>I259-SUM(I255:I257)</f>
        <v>-71.01100000000042</v>
      </c>
      <c r="J258" s="350">
        <f t="shared" si="770"/>
        <v>-204.8730000000005</v>
      </c>
      <c r="K258" s="378">
        <f>K259-SUM(K255:K257)</f>
        <v>-6.277000000000044</v>
      </c>
      <c r="L258" s="378">
        <f>L259-SUM(L255:L257)</f>
        <v>-0.0430000000005748</v>
      </c>
      <c r="M258" s="470">
        <f>M259-SUM(M255:M257)</f>
        <v>8.621000000001004</v>
      </c>
      <c r="N258" s="378">
        <f>N259-SUM(N255:N257)</f>
        <v>59.66100000000006</v>
      </c>
      <c r="O258" s="350">
        <f t="shared" si="772"/>
        <v>61.962000000000444</v>
      </c>
      <c r="P258" s="378">
        <f>P259-SUM(P255:P257)</f>
        <v>-2.436999999999898</v>
      </c>
      <c r="Q258" s="378">
        <f>Q259-SUM(Q255:Q257)</f>
        <v>0.18299999999908323</v>
      </c>
      <c r="R258" s="470">
        <f>R259-SUM(R255:R257)</f>
        <v>3.867999999998574</v>
      </c>
      <c r="S258" s="378">
        <f>S259-SUM(S255:S257)</f>
        <v>43.4800000000032</v>
      </c>
      <c r="T258" s="350">
        <f t="shared" si="774"/>
        <v>45.09400000000096</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8574.825000000003</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F270/F269</f>
        <v>0.2876148573197101</v>
      </c>
      <c r="G267" s="376">
        <f t="shared" ref="F267:X267" si="812">G270/G269</f>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0.020261496278605743</v>
      </c>
      <c r="K268" s="402">
        <f>4*K267/K242</f>
        <v>0.031273527219374125</v>
      </c>
      <c r="L268" s="402">
        <f>4*L267/L242</f>
        <v>0.031261107769822445</v>
      </c>
      <c r="M268" s="402">
        <f>4*M267/M242</f>
        <v>0.0373776746886852</v>
      </c>
      <c r="N268" s="402">
        <f>4*N267/N242</f>
        <v>0.03690724491661301</v>
      </c>
      <c r="O268" s="403">
        <f>O267/O242</f>
        <v>0.03444026739134966</v>
      </c>
      <c r="P268" s="402">
        <f>4*P267/P242</f>
        <v>0.021367057123243705</v>
      </c>
      <c r="Q268" s="402">
        <f>4*Q267/Q242</f>
        <v>0.02191345723788194</v>
      </c>
      <c r="R268" s="402">
        <f>4*R267/R242</f>
        <v>0.02176901614070105</v>
      </c>
      <c r="S268" s="402">
        <f>4*S267/S242</f>
        <v>0.042714056931713686</v>
      </c>
      <c r="T268" s="403">
        <f>T267/T242</f>
        <v>0.021725512838256817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F285</f>
        <v>239.101</v>
      </c>
      <c r="G269" s="353">
        <f t="shared" ref="F269:X269" si="815">G285</f>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-4.13</v>
      </c>
      <c r="J275" s="157">
        <f t="shared" si="827"/>
        <v>-169.40200000000002</v>
      </c>
      <c r="K275" s="353">
        <f t="shared" si="827"/>
        <v>-43.033</v>
      </c>
      <c r="L275" s="353">
        <f t="shared" si="827"/>
        <v>-0.946</v>
      </c>
      <c r="M275" s="353">
        <f t="shared" si="827"/>
        <v>-0.332</v>
      </c>
      <c r="N275" s="353">
        <f t="shared" si="827"/>
        <v>-0.001</v>
      </c>
      <c r="O275" s="157">
        <f t="shared" si="827"/>
        <v>-44.312</v>
      </c>
      <c r="P275" s="353">
        <f t="shared" si="827"/>
        <v>-56.318</v>
      </c>
      <c r="Q275" s="353">
        <f t="shared" si="827"/>
        <v>-1.25</v>
      </c>
      <c r="R275" s="353">
        <f t="shared" si="827"/>
        <v>-0.918</v>
      </c>
      <c r="S275" s="353">
        <f t="shared" ref="S275" si="828">S244</f>
        <v>-0.029</v>
      </c>
      <c r="T275" s="157">
        <f t="shared" si="824"/>
        <v>-58.515</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410</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415</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416</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417</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-3914.014371629057</v>
      </c>
      <c r="V291" s="277">
        <f>V87</f>
        <v>-3962.99269361774</v>
      </c>
      <c r="W291" s="277">
        <f>W87</f>
        <v>-2587.5071504402904</v>
      </c>
      <c r="X291" s="277">
        <f>X87</f>
        <v>-1234.895939253153</v>
      </c>
      <c r="Y291" s="8"/>
      <c r="Z291" s="277">
        <f>Z87</f>
        <v>-5782.146533470545</v>
      </c>
      <c r="AA291" s="277">
        <f>AA87</f>
        <v>9129.814537565513</v>
      </c>
      <c r="AB291" s="277">
        <f>AB87</f>
        <v>-1816.3117614427563</v>
      </c>
      <c r="AC291" s="277">
        <f>AC87</f>
        <v>-1141.2725978082133</v>
      </c>
      <c r="AD291" s="8"/>
      <c r="AE291" s="278">
        <f>AE87</f>
        <v>-4062.0434221092532</v>
      </c>
      <c r="AF291" s="278">
        <f>AF87</f>
        <v>2325.9391728521978</v>
      </c>
      <c r="AG291" s="278">
        <f>AG87</f>
        <v>1105.014668252201</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v>-68.769</v>
      </c>
      <c r="G293" s="308">
        <v>-69.929</v>
      </c>
      <c r="H293" s="308">
        <v>-69.919</v>
      </c>
      <c r="I293" s="308">
        <v>-69.978</v>
      </c>
      <c r="J293" s="8"/>
      <c r="K293" s="308">
        <v>-69.909</v>
      </c>
      <c r="L293" s="308">
        <v>-69.914</v>
      </c>
      <c r="M293" s="308">
        <v>-81.569</v>
      </c>
      <c r="N293" s="308">
        <v>-81.572</v>
      </c>
      <c r="O293" s="8"/>
      <c r="P293" s="308">
        <v>-92.735</v>
      </c>
      <c r="Q293" s="308">
        <v>-94.319</v>
      </c>
      <c r="R293" s="308">
        <v>-93.535</v>
      </c>
      <c r="S293" s="308">
        <v>-93.541</v>
      </c>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v>53888</v>
      </c>
      <c r="G295" s="308">
        <v>49343</v>
      </c>
      <c r="H295" s="308">
        <v>49529</v>
      </c>
      <c r="I295" s="308">
        <v>49605</v>
      </c>
      <c r="J295" s="8"/>
      <c r="K295" s="308">
        <v>73387</v>
      </c>
      <c r="L295" s="308">
        <v>72852</v>
      </c>
      <c r="M295" s="308">
        <v>71178</v>
      </c>
      <c r="N295" s="308">
        <v>75091</v>
      </c>
      <c r="O295" s="8"/>
      <c r="P295" s="308">
        <v>78779</v>
      </c>
      <c r="Q295" s="308">
        <v>66207</v>
      </c>
      <c r="R295" s="308">
        <v>57741</v>
      </c>
      <c r="S295" s="308">
        <v>66922</v>
      </c>
      <c r="T295" s="8"/>
      <c r="U295" s="355">
        <f>U102</f>
        <v>14043.889</v>
      </c>
      <c r="V295" s="355">
        <f>V102</f>
        <v>10920.874628370942</v>
      </c>
      <c r="W295" s="355">
        <f>W102</f>
        <v>7054.601934753202</v>
      </c>
      <c r="X295" s="355">
        <f>X102</f>
        <v>4564.894784312912</v>
      </c>
      <c r="Y295" s="8"/>
      <c r="Z295" s="355">
        <f>Z102</f>
        <v>3427.7628450597585</v>
      </c>
      <c r="AA295" s="355">
        <f>AA102</f>
        <v>-89.42194477172279</v>
      </c>
      <c r="AB295" s="355">
        <f>AB102</f>
        <v>6885.286849154727</v>
      </c>
      <c r="AC295" s="355">
        <f>AC102</f>
        <v>5225.775087711971</v>
      </c>
      <c r="AD295" s="8"/>
      <c r="AE295" s="157">
        <f>AE102</f>
        <v>4200.539289903757</v>
      </c>
      <c r="AF295" s="157">
        <f>AF102</f>
        <v>837.3866997945038</v>
      </c>
      <c r="AG295" s="157">
        <f>AG102</f>
        <v>3766.0503294467017</v>
      </c>
      <c r="AH295" s="8"/>
      <c r="AI295" s="8"/>
      <c r="AJ295" s="8"/>
      <c r="AK295" s="8"/>
    </row>
    <row r="296" ht="15.75" customHeight="1" spans="1:37" x14ac:dyDescent="0.25">
      <c r="A296" s="260"/>
      <c r="B296" s="8"/>
      <c r="C296" s="130" t="s">
        <v>418</v>
      </c>
      <c r="D296" s="8"/>
      <c r="E296" s="8"/>
      <c r="F296" s="308"/>
      <c r="G296" s="308"/>
      <c r="H296" s="308"/>
      <c r="I296" s="308"/>
      <c r="J296" s="8"/>
      <c r="K296" s="308"/>
      <c r="L296" s="308"/>
      <c r="M296" s="308"/>
      <c r="N296" s="308"/>
      <c r="O296" s="8"/>
      <c r="P296" s="308"/>
      <c r="Q296" s="308"/>
      <c r="R296" s="308"/>
      <c r="S296" s="308"/>
      <c r="T296" s="8"/>
      <c r="U296" s="355">
        <f>U302*U28</f>
        <v>89.09890833241504</v>
      </c>
      <c r="V296" s="355">
        <f>V302*V28</f>
        <v>97.17334898772317</v>
      </c>
      <c r="W296" s="355">
        <f>W302*W28</f>
        <v>25.221893895921447</v>
      </c>
      <c r="X296" s="355">
        <f>X302*X28</f>
        <v>124.26660021311125</v>
      </c>
      <c r="Y296" s="8"/>
      <c r="Z296" s="355">
        <f>Z302*Z28</f>
        <v>96.16166714236367</v>
      </c>
      <c r="AA296" s="355">
        <f>AA302*AA28</f>
        <v>100.67052183185953</v>
      </c>
      <c r="AB296" s="355">
        <f>AB302*AB28</f>
        <v>114.5123302466221</v>
      </c>
      <c r="AC296" s="355">
        <f>AC302*AC28</f>
        <v>113.28323583719167</v>
      </c>
      <c r="AD296" s="8"/>
      <c r="AE296" s="157">
        <f>AE302*AE28</f>
        <v>453.13538408803004</v>
      </c>
      <c r="AF296" s="157">
        <f>AF302*AF28</f>
        <v>474.52605478949226</v>
      </c>
      <c r="AG296" s="157">
        <f>AG302*AG28</f>
        <v>488.42533653480046</v>
      </c>
      <c r="AH296" s="8"/>
      <c r="AI296" s="8"/>
      <c r="AJ296" s="8"/>
      <c r="AK296" s="8"/>
    </row>
    <row r="297" ht="15.75" customHeight="1" spans="1:37" x14ac:dyDescent="0.25">
      <c r="A297" s="260"/>
      <c r="B297" s="8"/>
      <c r="C297" s="130" t="s">
        <v>419</v>
      </c>
      <c r="D297" s="8"/>
      <c r="E297" s="8"/>
      <c r="F297" s="308"/>
      <c r="G297" s="308"/>
      <c r="H297" s="308"/>
      <c r="I297" s="308"/>
      <c r="J297" s="8"/>
      <c r="K297" s="308"/>
      <c r="L297" s="308"/>
      <c r="M297" s="308"/>
      <c r="N297" s="308"/>
      <c r="O297" s="8"/>
      <c r="P297" s="308"/>
      <c r="Q297" s="308"/>
      <c r="R297" s="308"/>
      <c r="S297" s="308"/>
      <c r="T297" s="8"/>
      <c r="U297" s="277">
        <f t="shared" ref="U297:X297" si="871">SUM(U291:U296)</f>
        <v>10755.594984644593</v>
      </c>
      <c r="V297" s="277">
        <f t="shared" si="871"/>
        <v>6903.146913270459</v>
      </c>
      <c r="W297" s="277">
        <f t="shared" si="871"/>
        <v>4348.287096767506</v>
      </c>
      <c r="X297" s="277">
        <f t="shared" si="871"/>
        <v>3321.6308102994058</v>
      </c>
      <c r="Y297" s="8"/>
      <c r="Z297" s="277">
        <f t="shared" ref="Z297:AC297" si="872">SUM(Z291:Z296)</f>
        <v>-2519.889743639064</v>
      </c>
      <c r="AA297" s="277">
        <f t="shared" si="872"/>
        <v>9003.921207904263</v>
      </c>
      <c r="AB297" s="277">
        <f t="shared" si="872"/>
        <v>5092.564985155807</v>
      </c>
      <c r="AC297" s="277">
        <f t="shared" si="872"/>
        <v>4073.8664804290074</v>
      </c>
      <c r="AD297" s="8"/>
      <c r="AE297" s="278">
        <f t="shared" ref="AE297:AG297" si="873">SUM(AE291:AE296)</f>
        <v>-215.7756017234845</v>
      </c>
      <c r="AF297" s="278">
        <f t="shared" si="873"/>
        <v>2726.8100411134155</v>
      </c>
      <c r="AG297" s="278">
        <f t="shared" si="873"/>
        <v>4369.867891245489</v>
      </c>
      <c r="AH297" s="8"/>
      <c r="AI297" s="8"/>
      <c r="AJ297" s="8"/>
      <c r="AK297" s="8"/>
    </row>
    <row r="298" ht="15.75" customHeight="1" spans="1:37" x14ac:dyDescent="0.25">
      <c r="A298" s="260"/>
      <c r="B298" s="8"/>
      <c r="C298" s="130" t="s">
        <v>420</v>
      </c>
      <c r="D298" s="8"/>
      <c r="E298" s="8"/>
      <c r="F298" s="308">
        <v>69472</v>
      </c>
      <c r="G298" s="308">
        <v>67472</v>
      </c>
      <c r="H298" s="308">
        <v>67472</v>
      </c>
      <c r="I298" s="308">
        <v>67182</v>
      </c>
      <c r="J298" s="8"/>
      <c r="K298" s="308">
        <v>66852</v>
      </c>
      <c r="L298" s="308">
        <v>62683</v>
      </c>
      <c r="M298" s="308">
        <v>60500</v>
      </c>
      <c r="N298" s="308">
        <v>58000</v>
      </c>
      <c r="O298" s="8"/>
      <c r="P298" s="308">
        <v>58750</v>
      </c>
      <c r="Q298" s="308">
        <v>56082</v>
      </c>
      <c r="R298" s="308">
        <v>55097</v>
      </c>
      <c r="S298" s="308">
        <v>68836</v>
      </c>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421</v>
      </c>
      <c r="D299" s="8"/>
      <c r="E299" s="8"/>
      <c r="F299" s="308">
        <v>69472</v>
      </c>
      <c r="G299" s="308">
        <v>67472</v>
      </c>
      <c r="H299" s="308">
        <v>67472</v>
      </c>
      <c r="I299" s="308">
        <v>67182</v>
      </c>
      <c r="J299" s="8"/>
      <c r="K299" s="308">
        <v>66852</v>
      </c>
      <c r="L299" s="308">
        <v>62683</v>
      </c>
      <c r="M299" s="308">
        <v>60500</v>
      </c>
      <c r="N299" s="308">
        <v>58000</v>
      </c>
      <c r="O299" s="8"/>
      <c r="P299" s="308">
        <v>58750</v>
      </c>
      <c r="Q299" s="308">
        <v>56082</v>
      </c>
      <c r="R299" s="308">
        <v>55097</v>
      </c>
      <c r="S299" s="308">
        <v>68836</v>
      </c>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422</v>
      </c>
      <c r="D300" s="8"/>
      <c r="E300" s="8"/>
      <c r="F300" s="308"/>
      <c r="G300" s="308"/>
      <c r="H300" s="308"/>
      <c r="I300" s="308"/>
      <c r="J300" s="8"/>
      <c r="K300" s="308"/>
      <c r="L300" s="308"/>
      <c r="M300" s="308"/>
      <c r="N300" s="308"/>
      <c r="O300" s="8"/>
      <c r="P300" s="308"/>
      <c r="Q300" s="308"/>
      <c r="R300" s="308"/>
      <c r="S300" s="308"/>
      <c r="T300" s="8"/>
      <c r="U300" s="277">
        <f t="shared" ref="U300:X300" si="874">SUM(U297:U299)</f>
        <v>11005.594984644593</v>
      </c>
      <c r="V300" s="277">
        <f t="shared" si="874"/>
        <v>7153.146913270459</v>
      </c>
      <c r="W300" s="277">
        <f t="shared" si="874"/>
        <v>4598.287096767506</v>
      </c>
      <c r="X300" s="277">
        <f t="shared" si="874"/>
        <v>3571.6308102994058</v>
      </c>
      <c r="Y300" s="8"/>
      <c r="Z300" s="277">
        <f t="shared" ref="Z300:AC300" si="875">SUM(Z297:Z299)</f>
        <v>-2269.889743639064</v>
      </c>
      <c r="AA300" s="277">
        <f t="shared" si="875"/>
        <v>9253.921207904263</v>
      </c>
      <c r="AB300" s="277">
        <f t="shared" si="875"/>
        <v>5342.564985155807</v>
      </c>
      <c r="AC300" s="277">
        <f t="shared" si="875"/>
        <v>4323.866480429007</v>
      </c>
      <c r="AD300" s="8"/>
      <c r="AE300" s="278">
        <f t="shared" ref="AE300:AG300" si="876">SUM(AE297:AE299)</f>
        <v>1284.2243982765156</v>
      </c>
      <c r="AF300" s="278">
        <f t="shared" si="876"/>
        <v>4226.8100411134155</v>
      </c>
      <c r="AG300" s="278">
        <f t="shared" si="876"/>
        <v>5869.867891245489</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423</v>
      </c>
      <c r="D302" s="8"/>
      <c r="E302" s="8"/>
      <c r="F302" s="484">
        <f t="shared" ref="F302:T302" si="877">F180/F28</f>
        <v>0</v>
      </c>
      <c r="G302" s="484">
        <f t="shared" si="877"/>
        <v>0.43709038408664463</v>
      </c>
      <c r="H302" s="484">
        <f t="shared" si="877"/>
        <v>-0.45393426782851387</v>
      </c>
      <c r="I302" s="484">
        <f t="shared" si="877"/>
        <v>-0.13879381720839706</v>
      </c>
      <c r="J302" s="485">
        <f t="shared" si="877"/>
        <v>0.40074126035762186</v>
      </c>
      <c r="K302" s="484">
        <f t="shared" si="877"/>
        <v>-0.12260433402562823</v>
      </c>
      <c r="L302" s="484">
        <f t="shared" si="877"/>
        <v>-0.2405078232117095</v>
      </c>
      <c r="M302" s="484">
        <f t="shared" si="877"/>
        <v>0.36613420253671797</v>
      </c>
      <c r="N302" s="484">
        <f t="shared" si="877"/>
        <v>-0.3783385978897122</v>
      </c>
      <c r="O302" s="485">
        <f t="shared" si="877"/>
        <v>-0.09953049285744112</v>
      </c>
      <c r="P302" s="484">
        <f t="shared" si="877"/>
        <v>-0.11915980822236856</v>
      </c>
      <c r="Q302" s="484">
        <f t="shared" si="877"/>
        <v>0.08445244485961033</v>
      </c>
      <c r="R302" s="484">
        <f t="shared" si="877"/>
        <v>-0.12057128825308455</v>
      </c>
      <c r="S302" s="484">
        <f t="shared" ref="S302" si="878">S180/S28</f>
        <v>0.7170739928866561</v>
      </c>
      <c r="T302" s="485">
        <f t="shared" si="877"/>
        <v>0.1552086227258999</v>
      </c>
      <c r="U302" s="486">
        <f>+AVERAGE(F302:T302)</f>
        <v>0.032484031863753045</v>
      </c>
      <c r="V302" s="486">
        <f t="shared" ref="V302:X302" si="879">+AVERAGE(G302:U302)</f>
        <v>0.03464963398800325</v>
      </c>
      <c r="W302" s="486">
        <f t="shared" si="879"/>
        <v>0.007820250648093812</v>
      </c>
      <c r="X302" s="486">
        <f t="shared" si="879"/>
        <v>0.038603885213200996</v>
      </c>
      <c r="Y302" s="8"/>
      <c r="Z302" s="486">
        <f t="shared" ref="Z302:AC302" si="880">AVERAGE($F$302:$V$302)</f>
        <v>0.032611420224003054</v>
      </c>
      <c r="AA302" s="486">
        <f t="shared" si="880"/>
        <v>0.032611420224003054</v>
      </c>
      <c r="AB302" s="486">
        <f t="shared" si="880"/>
        <v>0.032611420224003054</v>
      </c>
      <c r="AC302" s="486">
        <f t="shared" si="880"/>
        <v>0.032611420224003054</v>
      </c>
      <c r="AD302" s="8"/>
      <c r="AE302" s="485">
        <f t="shared" ref="AE302:AG302" si="881">AVERAGE($F$302:$V$302)</f>
        <v>0.032611420224003054</v>
      </c>
      <c r="AF302" s="485">
        <f t="shared" si="881"/>
        <v>0.032611420224003054</v>
      </c>
      <c r="AG302" s="485">
        <f t="shared" si="881"/>
        <v>0.032611420224003054</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424</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2269.889743639064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425</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2269.889743639064</v>
      </c>
      <c r="AA306" s="325">
        <f t="shared" si="902"/>
        <v>-2269.889743639064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2269.889743639064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426</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427</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428</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429</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1134.944871819532</v>
      </c>
      <c r="AA316" s="277">
        <f t="shared" ref="AA316:AG316" si="940">IFERROR(AVERAGE(AA307,AA305),0)</f>
        <v>1134.944871819532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430</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v>0</v>
      </c>
      <c r="G318" s="308">
        <v>0</v>
      </c>
      <c r="H318" s="308">
        <v>0</v>
      </c>
      <c r="I318" s="308">
        <v>0</v>
      </c>
      <c r="J318" s="8"/>
      <c r="K318" s="308">
        <v>0</v>
      </c>
      <c r="L318" s="308">
        <v>0</v>
      </c>
      <c r="M318" s="308">
        <v>0</v>
      </c>
      <c r="N318" s="308">
        <v>0</v>
      </c>
      <c r="O318" s="8"/>
      <c r="P318" s="308">
        <v>0</v>
      </c>
      <c r="Q318" s="308">
        <v>0</v>
      </c>
      <c r="R318" s="308">
        <v>0</v>
      </c>
      <c r="S318" s="308">
        <v>0</v>
      </c>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431</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429</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430</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v>0</v>
      </c>
      <c r="G323" s="308">
        <v>0</v>
      </c>
      <c r="H323" s="308">
        <v>0</v>
      </c>
      <c r="I323" s="308">
        <v>0</v>
      </c>
      <c r="J323" s="8"/>
      <c r="K323" s="308">
        <v>0</v>
      </c>
      <c r="L323" s="308">
        <v>0</v>
      </c>
      <c r="M323" s="308">
        <v>0</v>
      </c>
      <c r="N323" s="308">
        <v>0</v>
      </c>
      <c r="O323" s="8"/>
      <c r="P323" s="308">
        <v>0</v>
      </c>
      <c r="Q323" s="308">
        <v>0</v>
      </c>
      <c r="R323" s="308">
        <v>0</v>
      </c>
      <c r="S323" s="308">
        <v>0</v>
      </c>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432</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433</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429</v>
      </c>
      <c r="D328" s="8"/>
      <c r="E328" s="8"/>
      <c r="F328" s="308"/>
      <c r="G328" s="308"/>
      <c r="H328" s="308"/>
      <c r="I328" s="308"/>
      <c r="J328" s="8"/>
      <c r="K328" s="308"/>
      <c r="L328" s="308"/>
      <c r="M328" s="308"/>
      <c r="N328" s="308"/>
      <c r="O328" s="8"/>
      <c r="P328" s="308"/>
      <c r="Q328" s="308"/>
      <c r="R328" s="308"/>
      <c r="S328" s="308"/>
      <c r="T328" s="8"/>
      <c r="U328" s="277">
        <f>IFERROR(AVERAGE(U120,T120),0)</f>
        <v>12482.381814185472</v>
      </c>
      <c r="V328" s="277">
        <f>IFERROR(AVERAGE(V120,U120),0)</f>
        <v>8987.738281562073</v>
      </c>
      <c r="W328" s="277">
        <f>IFERROR(AVERAGE(W120,V120),0)</f>
        <v>5809.748359533057</v>
      </c>
      <c r="X328" s="277">
        <f>IFERROR(AVERAGE(X120,W120),0)</f>
        <v>3996.328814686335</v>
      </c>
      <c r="Y328" s="8"/>
      <c r="Z328" s="277">
        <f>IFERROR(AVERAGE(Z120,Y120),0)</f>
        <v>1669.1704501440179</v>
      </c>
      <c r="AA328" s="277">
        <f>IFERROR(AVERAGE(AA120,Z120),0)</f>
        <v>3397.9324521915023</v>
      </c>
      <c r="AB328" s="277">
        <f>IFERROR(AVERAGE(AB120,AA120),0)</f>
        <v>6055.530968433349</v>
      </c>
      <c r="AC328" s="277">
        <f>IFERROR(AVERAGE(AC120,AB120),0)</f>
        <v>4713.157188807864</v>
      </c>
      <c r="AD328" s="8"/>
      <c r="AE328" s="278">
        <f>IFERROR(AVERAGE(AE120,AD120),0)</f>
        <v>2518.962994849131</v>
      </c>
      <c r="AF328" s="278">
        <f>IFERROR(AVERAGE(AF120,AE120),0)</f>
        <v>2301.718514620603</v>
      </c>
      <c r="AG328" s="278">
        <f>IFERROR(AVERAGE(AG120,AF120),0)</f>
        <v>4583.056114812802</v>
      </c>
      <c r="AH328" s="8"/>
      <c r="AI328" s="8"/>
      <c r="AJ328" s="8"/>
      <c r="AK328" s="8"/>
    </row>
    <row r="329" ht="15.75" customHeight="1" spans="1:37" x14ac:dyDescent="0.25">
      <c r="A329" s="260"/>
      <c r="B329" s="8"/>
      <c r="C329" s="130" t="s">
        <v>430</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434</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30:S146 D147:E147 U147:X147 Z147:AC147 AE147:AG147 C148:E151 T148:AG159 C152:S153 C154:F154 C155:S159 C127:E129 D126:E126 C124:S125">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1780.56</v>
      </c>
      <c r="G7" s="310">
        <f t="shared" ref="G7:I7" si="0">SUM(G8:G13)</f>
        <v>1651.242</v>
      </c>
      <c r="H7" s="310">
        <f t="shared" si="0"/>
        <v>2040.8880000000001</v>
      </c>
      <c r="I7" s="310">
        <f t="shared" si="0"/>
        <v>1968.6900000000005</v>
      </c>
      <c r="J7" s="283">
        <f>SUM(F7:I7)</f>
        <v>7441.38</v>
      </c>
      <c r="K7" s="310">
        <f t="shared" ref="K7:N7" si="1">SUM(K8:K13)</f>
        <v>2551.9</v>
      </c>
      <c r="L7" s="310">
        <f t="shared" si="1"/>
        <v>2516.23</v>
      </c>
      <c r="M7" s="310">
        <f t="shared" si="1"/>
        <v>2595.48</v>
      </c>
      <c r="N7" s="310">
        <f t="shared" si="1"/>
        <v>2851.4590000000003</v>
      </c>
      <c r="O7" s="283">
        <f t="shared" ref="O7:O13" si="2">SUM(K7:N7)</f>
        <v>10515.069000000001</v>
      </c>
      <c r="P7" s="310">
        <f t="shared" ref="P7:S7" si="3">SUM(P8:P13)</f>
        <v>2472.8640000000005</v>
      </c>
      <c r="Q7" s="310">
        <f t="shared" si="3"/>
        <v>2494.315</v>
      </c>
      <c r="R7" s="310">
        <f t="shared" si="3"/>
        <v>2907.6740000000004</v>
      </c>
      <c r="S7" s="310">
        <f t="shared" si="3"/>
        <v>2948.8239999999987</v>
      </c>
      <c r="T7" s="283">
        <f t="shared" ref="T7:T13" si="4">SUM(P7:S7)</f>
        <v>10823.677</v>
      </c>
      <c r="U7" s="282">
        <f t="shared" ref="U7:X7" si="5">SUM(U8:U13)</f>
        <v>2742.8525100000006</v>
      </c>
      <c r="V7" s="282">
        <f t="shared" si="5"/>
        <v>2804.45528</v>
      </c>
      <c r="W7" s="282">
        <f t="shared" si="5"/>
        <v>3225.2027500000004</v>
      </c>
      <c r="X7" s="282">
        <f t="shared" si="5"/>
        <v>3219.017969999999</v>
      </c>
      <c r="Y7" s="283">
        <f t="shared" ref="Y7:Y13" si="6">SUM(U7:X7)</f>
        <v>11991.52851</v>
      </c>
      <c r="Z7" s="282">
        <f t="shared" ref="Z7:AC7" si="7">SUM(Z8:Z13)</f>
        <v>2948.7114171000007</v>
      </c>
      <c r="AA7" s="282">
        <f t="shared" si="7"/>
        <v>3086.9714088000005</v>
      </c>
      <c r="AB7" s="282">
        <f t="shared" si="7"/>
        <v>3511.418069500001</v>
      </c>
      <c r="AC7" s="282">
        <f t="shared" si="7"/>
        <v>3473.7289899999987</v>
      </c>
      <c r="AD7" s="283">
        <f t="shared" ref="AD7:AD13" si="8">SUM(Z7:AC7)</f>
        <v>13020.829885400002</v>
      </c>
      <c r="AE7" s="283">
        <f t="shared" ref="AE7:AG7" si="9">SUM(AE8:AE13)</f>
        <v>13894.990803084002</v>
      </c>
      <c r="AF7" s="283">
        <f t="shared" si="9"/>
        <v>14550.91656634524</v>
      </c>
      <c r="AG7" s="283">
        <f t="shared" si="9"/>
        <v>14977.125595263211</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8: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0</v>
      </c>
      <c r="K10" s="354">
        <v>0</v>
      </c>
      <c r="L10" s="354">
        <v>0</v>
      </c>
      <c r="M10" s="354">
        <v>0</v>
      </c>
      <c r="N10" s="354">
        <v>0</v>
      </c>
      <c r="O10" s="490">
        <f t="shared" si="2"/>
        <v>0</v>
      </c>
      <c r="P10" s="354">
        <v>0</v>
      </c>
      <c r="Q10" s="354">
        <v>0</v>
      </c>
      <c r="R10" s="354">
        <v>0</v>
      </c>
      <c r="S10" s="354">
        <v>0</v>
      </c>
      <c r="T10" s="490">
        <f t="shared" si="4"/>
        <v>0</v>
      </c>
      <c r="U10" s="491">
        <f>'Revenue Build'!U38</f>
        <v>0</v>
      </c>
      <c r="V10" s="491">
        <f>'Revenue Build'!V38</f>
        <v>0</v>
      </c>
      <c r="W10" s="491">
        <f>'Revenue Build'!W38</f>
        <v>0</v>
      </c>
      <c r="X10" s="491">
        <f>'Revenue Build'!X38</f>
        <v>0</v>
      </c>
      <c r="Y10" s="490">
        <f t="shared" si="6"/>
        <v>0</v>
      </c>
      <c r="Z10" s="491">
        <f>'Revenue Build'!Z38</f>
        <v>0</v>
      </c>
      <c r="AA10" s="491">
        <f>'Revenue Build'!AA38</f>
        <v>0</v>
      </c>
      <c r="AB10" s="491">
        <f>'Revenue Build'!AB38</f>
        <v>0</v>
      </c>
      <c r="AC10" s="491">
        <f>'Revenue Build'!AC38</f>
        <v>0</v>
      </c>
      <c r="AD10" s="490">
        <f t="shared" si="8"/>
        <v>0</v>
      </c>
      <c r="AE10" s="492">
        <f>'Revenue Build'!AE38</f>
        <v>0</v>
      </c>
      <c r="AF10" s="492">
        <f>'Revenue Build'!AF38</f>
        <v>0</v>
      </c>
      <c r="AG10" s="492">
        <f>'Revenue Build'!AG38</f>
        <v>0</v>
      </c>
    </row>
    <row r="11" hidden="1" spans="1:33" x14ac:dyDescent="0.25" outlineLevel="1">
      <c r="C11" s="130" t="str">
        <f t="shared" si="10"/>
        <v> Revenue</v>
      </c>
      <c r="D11" s="8"/>
      <c r="E11" s="8"/>
      <c r="F11" s="354">
        <v>0</v>
      </c>
      <c r="G11" s="354">
        <v>0</v>
      </c>
      <c r="H11" s="354">
        <v>0</v>
      </c>
      <c r="I11" s="354">
        <v>0</v>
      </c>
      <c r="J11" s="490">
        <f t="shared" si="11"/>
        <v>0</v>
      </c>
      <c r="K11" s="354">
        <v>0</v>
      </c>
      <c r="L11" s="354">
        <v>0</v>
      </c>
      <c r="M11" s="354">
        <v>0</v>
      </c>
      <c r="N11" s="354">
        <v>0</v>
      </c>
      <c r="O11" s="490">
        <f t="shared" si="2"/>
        <v>0</v>
      </c>
      <c r="P11" s="354">
        <v>0</v>
      </c>
      <c r="Q11" s="354">
        <v>0</v>
      </c>
      <c r="R11" s="354">
        <v>0</v>
      </c>
      <c r="S11" s="354">
        <v>0</v>
      </c>
      <c r="T11" s="490">
        <f t="shared" si="4"/>
        <v>0</v>
      </c>
      <c r="U11" s="491">
        <f>'Revenue Build'!U41</f>
        <v>0</v>
      </c>
      <c r="V11" s="491">
        <f>'Revenue Build'!V41</f>
        <v>0</v>
      </c>
      <c r="W11" s="491">
        <f>'Revenue Build'!W41</f>
        <v>0</v>
      </c>
      <c r="X11" s="491">
        <f>'Revenue Build'!X41</f>
        <v>0</v>
      </c>
      <c r="Y11" s="490">
        <f t="shared" si="6"/>
        <v>0</v>
      </c>
      <c r="Z11" s="491">
        <f>'Revenue Build'!Z41</f>
        <v>0</v>
      </c>
      <c r="AA11" s="491">
        <f>'Revenue Build'!AA41</f>
        <v>0</v>
      </c>
      <c r="AB11" s="491">
        <f>'Revenue Build'!AB41</f>
        <v>0</v>
      </c>
      <c r="AC11" s="491">
        <f>'Revenue Build'!AC41</f>
        <v>0</v>
      </c>
      <c r="AD11" s="490">
        <f t="shared" si="8"/>
        <v>0</v>
      </c>
      <c r="AE11" s="492">
        <f>'Revenue Build'!AE41</f>
        <v>0</v>
      </c>
      <c r="AF11" s="492">
        <f>'Revenue Build'!AF41</f>
        <v>0</v>
      </c>
      <c r="AG11" s="492">
        <f>'Revenue Build'!AG41</f>
        <v>0</v>
      </c>
    </row>
    <row r="12" hidden="1" spans="1:33" x14ac:dyDescent="0.25" outlineLevel="1">
      <c r="C12" s="130" t="str">
        <f t="shared" si="10"/>
        <v> Revenue</v>
      </c>
      <c r="D12" s="8"/>
      <c r="E12" s="8"/>
      <c r="F12" s="354">
        <v>0</v>
      </c>
      <c r="G12" s="354">
        <v>0</v>
      </c>
      <c r="H12" s="354">
        <v>0</v>
      </c>
      <c r="I12" s="354">
        <v>0</v>
      </c>
      <c r="J12" s="490">
        <f t="shared" si="11"/>
        <v>0</v>
      </c>
      <c r="K12" s="354">
        <v>0</v>
      </c>
      <c r="L12" s="354">
        <v>0</v>
      </c>
      <c r="M12" s="354">
        <v>0</v>
      </c>
      <c r="N12" s="354">
        <v>0</v>
      </c>
      <c r="O12" s="490">
        <f t="shared" si="2"/>
        <v>0</v>
      </c>
      <c r="P12" s="354">
        <v>0</v>
      </c>
      <c r="Q12" s="354">
        <v>0</v>
      </c>
      <c r="R12" s="354">
        <v>0</v>
      </c>
      <c r="S12" s="354">
        <v>0</v>
      </c>
      <c r="T12" s="490">
        <f t="shared" si="4"/>
        <v>0</v>
      </c>
      <c r="U12" s="491">
        <f>'Revenue Build'!U44</f>
        <v>0</v>
      </c>
      <c r="V12" s="491">
        <f>'Revenue Build'!V44</f>
        <v>0</v>
      </c>
      <c r="W12" s="491">
        <f>'Revenue Build'!W44</f>
        <v>0</v>
      </c>
      <c r="X12" s="491">
        <f>'Revenue Build'!X44</f>
        <v>0</v>
      </c>
      <c r="Y12" s="490">
        <f t="shared" si="6"/>
        <v>0</v>
      </c>
      <c r="Z12" s="491">
        <f>'Revenue Build'!Z44</f>
        <v>0</v>
      </c>
      <c r="AA12" s="491">
        <f>'Revenue Build'!AA44</f>
        <v>0</v>
      </c>
      <c r="AB12" s="491">
        <f>'Revenue Build'!AB44</f>
        <v>0</v>
      </c>
      <c r="AC12" s="491">
        <f>'Revenue Build'!AC44</f>
        <v>0</v>
      </c>
      <c r="AD12" s="490">
        <f t="shared" si="8"/>
        <v>0</v>
      </c>
      <c r="AE12" s="492">
        <f>'Revenue Build'!AE44</f>
        <v>0</v>
      </c>
      <c r="AF12" s="492">
        <f>'Revenue Build'!AF44</f>
        <v>0</v>
      </c>
      <c r="AG12" s="492">
        <f>'Revenue Build'!AG44</f>
        <v>0</v>
      </c>
    </row>
    <row r="13" hidden="1" spans="1:33" x14ac:dyDescent="0.25" outlineLevel="2" collapsed="1">
      <c r="C13" s="130" t="str">
        <f t="shared" si="10"/>
        <v> Revenue</v>
      </c>
      <c r="D13" s="8"/>
      <c r="E13" s="8"/>
      <c r="F13" s="354">
        <v>0</v>
      </c>
      <c r="G13" s="354">
        <v>0</v>
      </c>
      <c r="H13" s="354">
        <v>0</v>
      </c>
      <c r="I13" s="354">
        <v>0</v>
      </c>
      <c r="J13" s="490">
        <f t="shared" si="11"/>
        <v>0</v>
      </c>
      <c r="K13" s="354">
        <v>0</v>
      </c>
      <c r="L13" s="354">
        <v>0</v>
      </c>
      <c r="M13" s="354">
        <v>0</v>
      </c>
      <c r="N13" s="354">
        <v>0</v>
      </c>
      <c r="O13" s="490">
        <f t="shared" si="2"/>
        <v>0</v>
      </c>
      <c r="P13" s="354">
        <v>0</v>
      </c>
      <c r="Q13" s="354">
        <v>0</v>
      </c>
      <c r="R13" s="354">
        <v>0</v>
      </c>
      <c r="S13" s="354">
        <v>0</v>
      </c>
      <c r="T13" s="490">
        <f t="shared" si="4"/>
        <v>0</v>
      </c>
      <c r="U13" s="491">
        <f>'Revenue Build'!U47</f>
        <v>0</v>
      </c>
      <c r="V13" s="491">
        <f>'Revenue Build'!V47</f>
        <v>0</v>
      </c>
      <c r="W13" s="491">
        <f>'Revenue Build'!W47</f>
        <v>0</v>
      </c>
      <c r="X13" s="491">
        <f>'Revenue Build'!X47</f>
        <v>0</v>
      </c>
      <c r="Y13" s="490">
        <f t="shared" si="6"/>
        <v>0</v>
      </c>
      <c r="Z13" s="491">
        <f>'Revenue Build'!Z47</f>
        <v>0</v>
      </c>
      <c r="AA13" s="491">
        <f>'Revenue Build'!AA47</f>
        <v>0</v>
      </c>
      <c r="AB13" s="491">
        <f>'Revenue Build'!AB47</f>
        <v>0</v>
      </c>
      <c r="AC13" s="491">
        <f>'Revenue Build'!AC47</f>
        <v>0</v>
      </c>
      <c r="AD13" s="490">
        <f t="shared" si="8"/>
        <v>0</v>
      </c>
      <c r="AE13" s="492">
        <f>'Revenue Build'!AE47</f>
        <v>0</v>
      </c>
      <c r="AF13" s="492">
        <f>'Revenue Build'!AF47</f>
        <v>0</v>
      </c>
      <c r="AG13" s="492">
        <f>'Revenue Build'!AG47</f>
        <v>0</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435</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436</v>
      </c>
      <c r="D16" s="8"/>
      <c r="E16" s="8"/>
      <c r="F16" s="383">
        <f t="shared" ref="F16:AG16" si="12">IFERROR(F8/F$7,"N/A")</f>
        <v>0.9798490362582558</v>
      </c>
      <c r="G16" s="383">
        <f t="shared" si="12"/>
        <v>1.0182710953330887</v>
      </c>
      <c r="H16" s="383">
        <f t="shared" si="12"/>
        <v>1.0168612878315715</v>
      </c>
      <c r="I16" s="383">
        <f t="shared" si="12"/>
        <v>0.942544534690581</v>
      </c>
      <c r="J16" s="384">
        <f t="shared" si="12"/>
        <v>0.9886566738965085</v>
      </c>
      <c r="K16" s="383">
        <f t="shared" si="12"/>
        <v>0.9345193777185626</v>
      </c>
      <c r="L16" s="383">
        <f t="shared" si="12"/>
        <v>0.9165577073637943</v>
      </c>
      <c r="M16" s="383">
        <f t="shared" si="12"/>
        <v>0.9474278360842696</v>
      </c>
      <c r="N16" s="383">
        <f t="shared" si="12"/>
        <v>0.9134863941582186</v>
      </c>
      <c r="O16" s="384">
        <f t="shared" si="12"/>
        <v>0.92770375543898</v>
      </c>
      <c r="P16" s="383">
        <f t="shared" si="12"/>
        <v>0.9180492740401412</v>
      </c>
      <c r="Q16" s="383">
        <f t="shared" si="12"/>
        <v>0.9457642679453077</v>
      </c>
      <c r="R16" s="383">
        <f t="shared" si="12"/>
        <v>0.9447971127437257</v>
      </c>
      <c r="S16" s="383">
        <f t="shared" si="12"/>
        <v>0.9355977162421358</v>
      </c>
      <c r="T16" s="384">
        <f t="shared" si="12"/>
        <v>0.9364026661179929</v>
      </c>
      <c r="U16" s="385">
        <f t="shared" ref="U16:X16" si="13">IFERROR(U8/U$7,"N/A")</f>
        <v>0.9187275658507791</v>
      </c>
      <c r="V16" s="385">
        <f t="shared" si="13"/>
        <v>0.9421145342706267</v>
      </c>
      <c r="W16" s="385">
        <f t="shared" si="13"/>
        <v>0.9497342856972326</v>
      </c>
      <c r="X16" s="385">
        <f t="shared" si="13"/>
        <v>0.9427733328248552</v>
      </c>
      <c r="Y16" s="384">
        <f t="shared" si="12"/>
        <v>0.9389914063590882</v>
      </c>
      <c r="Z16" s="385">
        <f t="shared" si="12"/>
        <v>0.948592987729847</v>
      </c>
      <c r="AA16" s="385">
        <f t="shared" si="12"/>
        <v>0.9500415392379841</v>
      </c>
      <c r="AB16" s="385">
        <f t="shared" si="12"/>
        <v>0.9508304823342825</v>
      </c>
      <c r="AC16" s="385">
        <f t="shared" si="12"/>
        <v>0.952272528030461</v>
      </c>
      <c r="AD16" s="384">
        <f t="shared" si="12"/>
        <v>0.9505214471373757</v>
      </c>
      <c r="AE16" s="384">
        <f t="shared" si="12"/>
        <v>0.9619800761495468</v>
      </c>
      <c r="AF16" s="384">
        <f t="shared" si="12"/>
        <v>0.9691398465276619</v>
      </c>
      <c r="AG16" s="384">
        <f t="shared" si="12"/>
        <v>0.9745153375250305</v>
      </c>
    </row>
    <row r="17" spans="1:33" x14ac:dyDescent="0.25">
      <c r="C17" s="496" t="s">
        <v>437</v>
      </c>
      <c r="D17" s="8"/>
      <c r="E17" s="8"/>
      <c r="F17" s="383">
        <f t="shared" ref="F17:AG17" si="14">IFERROR(F9/F$7,"N/A")</f>
        <v>0.020150963741744167</v>
      </c>
      <c r="G17" s="383">
        <f t="shared" si="14"/>
        <v>-0.01827109533308867</v>
      </c>
      <c r="H17" s="383">
        <f t="shared" si="14"/>
        <v>-0.016861287831571356</v>
      </c>
      <c r="I17" s="383">
        <f t="shared" si="14"/>
        <v>0.057455465309418946</v>
      </c>
      <c r="J17" s="384">
        <f t="shared" si="14"/>
        <v>0.011343326103491556</v>
      </c>
      <c r="K17" s="383">
        <f t="shared" si="14"/>
        <v>0.06548062228143736</v>
      </c>
      <c r="L17" s="383">
        <f t="shared" si="14"/>
        <v>0.08344229263620574</v>
      </c>
      <c r="M17" s="383">
        <f t="shared" si="14"/>
        <v>0.05257216391573042</v>
      </c>
      <c r="N17" s="383">
        <f t="shared" si="14"/>
        <v>0.08651360584178136</v>
      </c>
      <c r="O17" s="384">
        <f t="shared" si="14"/>
        <v>0.07229624456101999</v>
      </c>
      <c r="P17" s="383">
        <f t="shared" si="14"/>
        <v>0.08195072595985868</v>
      </c>
      <c r="Q17" s="383">
        <f t="shared" si="14"/>
        <v>0.05423573205469237</v>
      </c>
      <c r="R17" s="383">
        <f t="shared" si="14"/>
        <v>0.05520288725627425</v>
      </c>
      <c r="S17" s="383">
        <f t="shared" si="14"/>
        <v>0.06440228375786416</v>
      </c>
      <c r="T17" s="384">
        <f t="shared" si="14"/>
        <v>0.06359733388200701</v>
      </c>
      <c r="U17" s="385">
        <f t="shared" ref="U17:X17" si="15">IFERROR(U9/U$7,"N/A")</f>
        <v>0.0812724341492208</v>
      </c>
      <c r="V17" s="385">
        <f t="shared" si="15"/>
        <v>0.057885465729373295</v>
      </c>
      <c r="W17" s="385">
        <f t="shared" si="15"/>
        <v>0.050265714302767474</v>
      </c>
      <c r="X17" s="385">
        <f t="shared" si="15"/>
        <v>0.05722666717514473</v>
      </c>
      <c r="Y17" s="384">
        <f t="shared" si="14"/>
        <v>0.06100859364091193</v>
      </c>
      <c r="Z17" s="385">
        <f t="shared" si="14"/>
        <v>0.05140701227015301</v>
      </c>
      <c r="AA17" s="385">
        <f t="shared" si="14"/>
        <v>0.049958460762015974</v>
      </c>
      <c r="AB17" s="385">
        <f t="shared" si="14"/>
        <v>0.04916951766571752</v>
      </c>
      <c r="AC17" s="385">
        <f t="shared" si="14"/>
        <v>0.047727471969539</v>
      </c>
      <c r="AD17" s="384">
        <f t="shared" si="14"/>
        <v>0.04947855286262413</v>
      </c>
      <c r="AE17" s="384">
        <f t="shared" si="14"/>
        <v>0.038019923850453115</v>
      </c>
      <c r="AF17" s="384">
        <f t="shared" si="14"/>
        <v>0.030860153472338028</v>
      </c>
      <c r="AG17" s="384">
        <f t="shared" si="14"/>
        <v>0.02548466247496953</v>
      </c>
    </row>
    <row r="18" hidden="1" spans="1:33" x14ac:dyDescent="0.25" outlineLevel="1">
      <c r="C18" s="496"/>
      <c r="D18" s="8"/>
      <c r="E18" s="8"/>
      <c r="F18" s="383">
        <f t="shared" ref="F18:AG18" si="16">IFERROR(F10/F$7,"N/A")</f>
        <v>0</v>
      </c>
      <c r="G18" s="383">
        <f t="shared" si="16"/>
        <v>0</v>
      </c>
      <c r="H18" s="383">
        <f t="shared" si="16"/>
        <v>0</v>
      </c>
      <c r="I18" s="383">
        <f t="shared" si="16"/>
        <v>0</v>
      </c>
      <c r="J18" s="384">
        <f t="shared" si="16"/>
        <v>0</v>
      </c>
      <c r="K18" s="383">
        <f t="shared" si="16"/>
        <v>0</v>
      </c>
      <c r="L18" s="383">
        <f t="shared" si="16"/>
        <v>0</v>
      </c>
      <c r="M18" s="383">
        <f t="shared" si="16"/>
        <v>0</v>
      </c>
      <c r="N18" s="383">
        <f t="shared" si="16"/>
        <v>0</v>
      </c>
      <c r="O18" s="384">
        <f t="shared" si="16"/>
        <v>0</v>
      </c>
      <c r="P18" s="383">
        <f t="shared" si="16"/>
        <v>0</v>
      </c>
      <c r="Q18" s="383">
        <f t="shared" si="16"/>
        <v>0</v>
      </c>
      <c r="R18" s="383">
        <f t="shared" si="16"/>
        <v>0</v>
      </c>
      <c r="S18" s="383">
        <f t="shared" si="16"/>
        <v>0</v>
      </c>
      <c r="T18" s="384">
        <f t="shared" si="16"/>
        <v>0</v>
      </c>
      <c r="U18" s="385">
        <f t="shared" ref="U18:X18" si="17">IFERROR(U10/U$7,"N/A")</f>
        <v>0</v>
      </c>
      <c r="V18" s="385">
        <f t="shared" si="17"/>
        <v>0</v>
      </c>
      <c r="W18" s="385">
        <f t="shared" si="17"/>
        <v>0</v>
      </c>
      <c r="X18" s="385">
        <f t="shared" si="17"/>
        <v>0</v>
      </c>
      <c r="Y18" s="384">
        <f t="shared" si="16"/>
        <v>0</v>
      </c>
      <c r="Z18" s="385">
        <f t="shared" si="16"/>
        <v>0</v>
      </c>
      <c r="AA18" s="385">
        <f t="shared" si="16"/>
        <v>0</v>
      </c>
      <c r="AB18" s="385">
        <f t="shared" si="16"/>
        <v>0</v>
      </c>
      <c r="AC18" s="385">
        <f t="shared" si="16"/>
        <v>0</v>
      </c>
      <c r="AD18" s="384">
        <f t="shared" si="16"/>
        <v>0</v>
      </c>
      <c r="AE18" s="384">
        <f t="shared" si="16"/>
        <v>0</v>
      </c>
      <c r="AF18" s="384">
        <f t="shared" si="16"/>
        <v>0</v>
      </c>
      <c r="AG18" s="384">
        <f t="shared" si="16"/>
        <v>0</v>
      </c>
    </row>
    <row r="19" hidden="1" spans="1:33" x14ac:dyDescent="0.25" outlineLevel="1">
      <c r="C19" s="496"/>
      <c r="D19" s="8"/>
      <c r="E19" s="8"/>
      <c r="F19" s="383">
        <f t="shared" ref="F19:AG19" si="18">IFERROR(F11/F$7,"N/A")</f>
        <v>0</v>
      </c>
      <c r="G19" s="383">
        <f t="shared" si="18"/>
        <v>0</v>
      </c>
      <c r="H19" s="383">
        <f t="shared" si="18"/>
        <v>0</v>
      </c>
      <c r="I19" s="383">
        <f t="shared" si="18"/>
        <v>0</v>
      </c>
      <c r="J19" s="384">
        <f t="shared" si="18"/>
        <v>0</v>
      </c>
      <c r="K19" s="383">
        <f t="shared" si="18"/>
        <v>0</v>
      </c>
      <c r="L19" s="383">
        <f t="shared" si="18"/>
        <v>0</v>
      </c>
      <c r="M19" s="383">
        <f t="shared" si="18"/>
        <v>0</v>
      </c>
      <c r="N19" s="383">
        <f t="shared" si="18"/>
        <v>0</v>
      </c>
      <c r="O19" s="384">
        <f t="shared" si="18"/>
        <v>0</v>
      </c>
      <c r="P19" s="383">
        <f t="shared" si="18"/>
        <v>0</v>
      </c>
      <c r="Q19" s="383">
        <f t="shared" si="18"/>
        <v>0</v>
      </c>
      <c r="R19" s="383">
        <f t="shared" si="18"/>
        <v>0</v>
      </c>
      <c r="S19" s="383">
        <f t="shared" si="18"/>
        <v>0</v>
      </c>
      <c r="T19" s="384">
        <f t="shared" si="18"/>
        <v>0</v>
      </c>
      <c r="U19" s="385">
        <f t="shared" ref="U19:X19" si="19">IFERROR(U11/U$7,"N/A")</f>
        <v>0</v>
      </c>
      <c r="V19" s="385">
        <f t="shared" si="19"/>
        <v>0</v>
      </c>
      <c r="W19" s="385">
        <f t="shared" si="19"/>
        <v>0</v>
      </c>
      <c r="X19" s="385">
        <f t="shared" si="19"/>
        <v>0</v>
      </c>
      <c r="Y19" s="384">
        <f t="shared" si="18"/>
        <v>0</v>
      </c>
      <c r="Z19" s="385">
        <f t="shared" si="18"/>
        <v>0</v>
      </c>
      <c r="AA19" s="385">
        <f t="shared" si="18"/>
        <v>0</v>
      </c>
      <c r="AB19" s="385">
        <f t="shared" si="18"/>
        <v>0</v>
      </c>
      <c r="AC19" s="385">
        <f t="shared" si="18"/>
        <v>0</v>
      </c>
      <c r="AD19" s="384">
        <f t="shared" si="18"/>
        <v>0</v>
      </c>
      <c r="AE19" s="384">
        <f t="shared" si="18"/>
        <v>0</v>
      </c>
      <c r="AF19" s="384">
        <f t="shared" si="18"/>
        <v>0</v>
      </c>
      <c r="AG19" s="384">
        <f t="shared" si="18"/>
        <v>0</v>
      </c>
    </row>
    <row r="20" hidden="1" spans="1:33" x14ac:dyDescent="0.25" outlineLevel="1">
      <c r="C20" s="496"/>
      <c r="D20" s="8"/>
      <c r="E20" s="8"/>
      <c r="F20" s="383">
        <f t="shared" ref="F20:AG20" si="20">IFERROR(F12/F$7,"N/A")</f>
        <v>0</v>
      </c>
      <c r="G20" s="383">
        <f t="shared" si="20"/>
        <v>0</v>
      </c>
      <c r="H20" s="383">
        <f t="shared" si="20"/>
        <v>0</v>
      </c>
      <c r="I20" s="383">
        <f t="shared" si="20"/>
        <v>0</v>
      </c>
      <c r="J20" s="384">
        <f t="shared" si="20"/>
        <v>0</v>
      </c>
      <c r="K20" s="383">
        <f t="shared" si="20"/>
        <v>0</v>
      </c>
      <c r="L20" s="383">
        <f t="shared" si="20"/>
        <v>0</v>
      </c>
      <c r="M20" s="383">
        <f t="shared" si="20"/>
        <v>0</v>
      </c>
      <c r="N20" s="383">
        <f t="shared" si="20"/>
        <v>0</v>
      </c>
      <c r="O20" s="384">
        <f t="shared" si="20"/>
        <v>0</v>
      </c>
      <c r="P20" s="383">
        <f t="shared" si="20"/>
        <v>0</v>
      </c>
      <c r="Q20" s="383">
        <f t="shared" si="20"/>
        <v>0</v>
      </c>
      <c r="R20" s="383">
        <f t="shared" si="20"/>
        <v>0</v>
      </c>
      <c r="S20" s="383">
        <f t="shared" si="20"/>
        <v>0</v>
      </c>
      <c r="T20" s="384">
        <f t="shared" si="20"/>
        <v>0</v>
      </c>
      <c r="U20" s="385">
        <f t="shared" ref="U20:X20" si="21">IFERROR(U12/U$7,"N/A")</f>
        <v>0</v>
      </c>
      <c r="V20" s="385">
        <f t="shared" si="21"/>
        <v>0</v>
      </c>
      <c r="W20" s="385">
        <f t="shared" si="21"/>
        <v>0</v>
      </c>
      <c r="X20" s="385">
        <f t="shared" si="21"/>
        <v>0</v>
      </c>
      <c r="Y20" s="384">
        <f t="shared" si="20"/>
        <v>0</v>
      </c>
      <c r="Z20" s="385">
        <f t="shared" si="20"/>
        <v>0</v>
      </c>
      <c r="AA20" s="385">
        <f t="shared" si="20"/>
        <v>0</v>
      </c>
      <c r="AB20" s="385">
        <f t="shared" si="20"/>
        <v>0</v>
      </c>
      <c r="AC20" s="385">
        <f t="shared" si="20"/>
        <v>0</v>
      </c>
      <c r="AD20" s="384">
        <f t="shared" si="20"/>
        <v>0</v>
      </c>
      <c r="AE20" s="384">
        <f t="shared" si="20"/>
        <v>0</v>
      </c>
      <c r="AF20" s="384">
        <f t="shared" si="20"/>
        <v>0</v>
      </c>
      <c r="AG20" s="384">
        <f t="shared" si="20"/>
        <v>0</v>
      </c>
    </row>
    <row r="21" ht="15.75" customHeight="1" hidden="1" spans="1:33" x14ac:dyDescent="0.25" outlineLevel="2" collapsed="1">
      <c r="C21" s="496"/>
      <c r="D21" s="8"/>
      <c r="E21" s="8"/>
      <c r="F21" s="383">
        <f t="shared" ref="F21:AG21" si="22">IFERROR(F13/F$7,"N/A")</f>
        <v>0</v>
      </c>
      <c r="G21" s="383">
        <f t="shared" si="22"/>
        <v>0</v>
      </c>
      <c r="H21" s="383">
        <f t="shared" si="22"/>
        <v>0</v>
      </c>
      <c r="I21" s="383">
        <f t="shared" si="22"/>
        <v>0</v>
      </c>
      <c r="J21" s="384">
        <f t="shared" si="22"/>
        <v>0</v>
      </c>
      <c r="K21" s="383">
        <f t="shared" si="22"/>
        <v>0</v>
      </c>
      <c r="L21" s="383">
        <f t="shared" si="22"/>
        <v>0</v>
      </c>
      <c r="M21" s="383">
        <f t="shared" si="22"/>
        <v>0</v>
      </c>
      <c r="N21" s="383">
        <f t="shared" si="22"/>
        <v>0</v>
      </c>
      <c r="O21" s="384">
        <f t="shared" si="22"/>
        <v>0</v>
      </c>
      <c r="P21" s="383">
        <f t="shared" si="22"/>
        <v>0</v>
      </c>
      <c r="Q21" s="383">
        <f t="shared" si="22"/>
        <v>0</v>
      </c>
      <c r="R21" s="383">
        <f t="shared" si="22"/>
        <v>0</v>
      </c>
      <c r="S21" s="383">
        <f t="shared" si="22"/>
        <v>0</v>
      </c>
      <c r="T21" s="384">
        <f t="shared" si="22"/>
        <v>0</v>
      </c>
      <c r="U21" s="385">
        <f t="shared" ref="U21:X21" si="23">IFERROR(U13/U$7,"N/A")</f>
        <v>0</v>
      </c>
      <c r="V21" s="385">
        <f t="shared" si="23"/>
        <v>0</v>
      </c>
      <c r="W21" s="385">
        <f t="shared" si="23"/>
        <v>0</v>
      </c>
      <c r="X21" s="385">
        <f t="shared" si="23"/>
        <v>0</v>
      </c>
      <c r="Y21" s="384">
        <f t="shared" si="22"/>
        <v>0</v>
      </c>
      <c r="Z21" s="385">
        <f t="shared" si="22"/>
        <v>0</v>
      </c>
      <c r="AA21" s="385">
        <f t="shared" si="22"/>
        <v>0</v>
      </c>
      <c r="AB21" s="385">
        <f t="shared" si="22"/>
        <v>0</v>
      </c>
      <c r="AC21" s="385">
        <f t="shared" si="22"/>
        <v>0</v>
      </c>
      <c r="AD21" s="384">
        <f t="shared" si="22"/>
        <v>0</v>
      </c>
      <c r="AE21" s="384">
        <f t="shared" si="22"/>
        <v>0</v>
      </c>
      <c r="AF21" s="384">
        <f t="shared" si="22"/>
        <v>0</v>
      </c>
      <c r="AG21" s="384">
        <f t="shared" si="22"/>
        <v>0</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438</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438</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439</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440</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441</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442</v>
      </c>
      <c r="D33" s="8"/>
      <c r="E33" s="8"/>
      <c r="F33" s="310">
        <f t="shared" ref="F33:I33" si="42">SUM(F34:F39)</f>
        <v>396</v>
      </c>
      <c r="G33" s="310">
        <f t="shared" si="42"/>
        <v>300</v>
      </c>
      <c r="H33" s="310">
        <f t="shared" si="42"/>
        <v>312</v>
      </c>
      <c r="I33" s="310">
        <f t="shared" si="42"/>
        <v>725</v>
      </c>
      <c r="J33" s="283">
        <f t="shared" ref="J33:J39" si="43">SUM(F33:I33)</f>
        <v>1733</v>
      </c>
      <c r="K33" s="310">
        <f t="shared" ref="K33:N33" si="44">SUM(K34:K39)</f>
        <v>418</v>
      </c>
      <c r="L33" s="310">
        <f t="shared" si="44"/>
        <v>407</v>
      </c>
      <c r="M33" s="310">
        <f t="shared" si="44"/>
        <v>377</v>
      </c>
      <c r="N33" s="310">
        <f t="shared" si="44"/>
        <v>1047</v>
      </c>
      <c r="O33" s="283">
        <f t="shared" ref="O33:O39" si="45">SUM(K33:N33)</f>
        <v>2249</v>
      </c>
      <c r="P33" s="310">
        <f t="shared" ref="P33:S33" si="46">SUM(P34:P39)</f>
        <v>418</v>
      </c>
      <c r="Q33" s="310">
        <f t="shared" si="46"/>
        <v>407</v>
      </c>
      <c r="R33" s="310">
        <f t="shared" si="46"/>
        <v>377</v>
      </c>
      <c r="S33" s="310">
        <f t="shared" si="46"/>
        <v>1078</v>
      </c>
      <c r="T33" s="283">
        <f t="shared" ref="T33:T39" si="47">SUM(P33:S33)</f>
        <v>2280</v>
      </c>
      <c r="U33" s="282">
        <f t="shared" ref="U33:X33" si="48">SUM(U34:U39)</f>
        <v>2551.142772</v>
      </c>
      <c r="V33" s="282">
        <f t="shared" si="48"/>
        <v>2665.656974</v>
      </c>
      <c r="W33" s="282">
        <f t="shared" si="48"/>
        <v>3082.5396844000006</v>
      </c>
      <c r="X33" s="282">
        <f t="shared" si="48"/>
        <v>3059.673145449999</v>
      </c>
      <c r="Y33" s="283">
        <f t="shared" ref="Y33:Y39" si="49">SUM(U33:X33)</f>
        <v>11359.01257585</v>
      </c>
      <c r="Z33" s="282">
        <f t="shared" ref="Z33:AC33" si="50">SUM(Z34:Z39)</f>
        <v>2818.3487952600008</v>
      </c>
      <c r="AA33" s="282">
        <f t="shared" si="50"/>
        <v>2955.1130181000008</v>
      </c>
      <c r="AB33" s="282">
        <f t="shared" si="50"/>
        <v>3359.4819046360008</v>
      </c>
      <c r="AC33" s="282">
        <f t="shared" si="50"/>
        <v>3330.318647904999</v>
      </c>
      <c r="AD33" s="283">
        <f t="shared" ref="AD33:AD39" si="51">SUM(Z33:AC33)</f>
        <v>12463.262365901002</v>
      </c>
      <c r="AE33" s="283">
        <f t="shared" ref="AE33:AG33" si="52">SUM(AE34:AE39)</f>
        <v>13440.136133268805</v>
      </c>
      <c r="AF33" s="283">
        <f t="shared" si="52"/>
        <v>14164.739140520724</v>
      </c>
      <c r="AG33" s="283">
        <f t="shared" si="52"/>
        <v>14649.638157293653</v>
      </c>
    </row>
    <row r="34" ht="15.75" customHeight="1" spans="1:33" x14ac:dyDescent="0.25">
      <c r="C34" s="457" t="str">
        <f t="shared" ref="C34:C39" si="53">C16&amp;" Operating Income"</f>
        <v>Investment Banking Operating Income</v>
      </c>
      <c r="D34" s="8"/>
      <c r="E34" s="8"/>
      <c r="F34" s="497">
        <v>0</v>
      </c>
      <c r="G34" s="497">
        <v>0</v>
      </c>
      <c r="H34" s="497">
        <v>0</v>
      </c>
      <c r="I34" s="497">
        <f>1030-SUM(F34:H34)</f>
        <v>371</v>
      </c>
      <c r="J34" s="490">
        <f t="shared" si="43"/>
        <v>1030</v>
      </c>
      <c r="K34" s="497">
        <v>0</v>
      </c>
      <c r="L34" s="497">
        <v>0</v>
      </c>
      <c r="M34" s="497">
        <v>0</v>
      </c>
      <c r="N34" s="497">
        <f>1763-SUM(K34:M34)</f>
        <v>477</v>
      </c>
      <c r="O34" s="490">
        <f t="shared" si="45"/>
        <v>1763</v>
      </c>
      <c r="P34" s="497">
        <v>0</v>
      </c>
      <c r="Q34" s="497">
        <v>0</v>
      </c>
      <c r="R34" s="497">
        <v>0</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0</v>
      </c>
      <c r="G35" s="497">
        <v>0</v>
      </c>
      <c r="H35" s="497">
        <v>0</v>
      </c>
      <c r="I35" s="497">
        <f>415-SUM(F35:H35)</f>
        <v>66</v>
      </c>
      <c r="J35" s="490">
        <f t="shared" si="43"/>
        <v>415</v>
      </c>
      <c r="K35" s="497">
        <v>0</v>
      </c>
      <c r="L35" s="497">
        <v>0</v>
      </c>
      <c r="M35" s="497">
        <v>0</v>
      </c>
      <c r="N35" s="497">
        <f>-91-SUM(K35:M35)</f>
        <v>-7</v>
      </c>
      <c r="O35" s="490">
        <f t="shared" si="45"/>
        <v>-91</v>
      </c>
      <c r="P35" s="497">
        <v>0</v>
      </c>
      <c r="Q35" s="497">
        <v>0</v>
      </c>
      <c r="R35" s="497">
        <v>0</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284</v>
      </c>
      <c r="J36" s="490">
        <f t="shared" si="43"/>
        <v>284</v>
      </c>
      <c r="K36" s="497">
        <v>0</v>
      </c>
      <c r="L36" s="497">
        <v>0</v>
      </c>
      <c r="M36" s="497">
        <v>0</v>
      </c>
      <c r="N36" s="497">
        <f>386-SUM(K36:M36)</f>
        <v>386</v>
      </c>
      <c r="O36" s="490">
        <f t="shared" si="45"/>
        <v>386</v>
      </c>
      <c r="P36" s="497">
        <v>0</v>
      </c>
      <c r="Q36" s="497">
        <v>0</v>
      </c>
      <c r="R36" s="497">
        <v>0</v>
      </c>
      <c r="S36" s="497">
        <f>351-SUM(P36:R36)</f>
        <v>351</v>
      </c>
      <c r="T36" s="490">
        <f t="shared" si="47"/>
        <v>351</v>
      </c>
      <c r="U36" s="502">
        <f>U10*Drivers!U$17</f>
        <v>0</v>
      </c>
      <c r="V36" s="502">
        <f>V10*Drivers!V$17</f>
        <v>0</v>
      </c>
      <c r="W36" s="502">
        <f>W10*Drivers!W$17</f>
        <v>0</v>
      </c>
      <c r="X36" s="502">
        <f>X10*Drivers!X$17</f>
        <v>0</v>
      </c>
      <c r="Y36" s="490">
        <f t="shared" si="49"/>
        <v>0</v>
      </c>
      <c r="Z36" s="502">
        <f>Z10*Drivers!Z$17</f>
        <v>0</v>
      </c>
      <c r="AA36" s="502">
        <f>AA10*Drivers!AA$17</f>
        <v>0</v>
      </c>
      <c r="AB36" s="502">
        <f>AB10*Drivers!AB$17</f>
        <v>0</v>
      </c>
      <c r="AC36" s="502">
        <f>AC10*Drivers!AC$17</f>
        <v>0</v>
      </c>
      <c r="AD36" s="490">
        <f t="shared" si="51"/>
        <v>0</v>
      </c>
      <c r="AE36" s="490">
        <f>AE10*Drivers!AE$17</f>
        <v>0</v>
      </c>
      <c r="AF36" s="490">
        <f>AF10*Drivers!AF$17</f>
        <v>0</v>
      </c>
      <c r="AG36" s="490">
        <f>AG10*Drivers!AG$17</f>
        <v>0</v>
      </c>
    </row>
    <row r="37" ht="15.75" customHeight="1" hidden="1" spans="1:33" x14ac:dyDescent="0.25" outlineLevel="1">
      <c r="C37" s="130" t="str">
        <f t="shared" si="53"/>
        <v> Operating Income</v>
      </c>
      <c r="D37" s="8"/>
      <c r="E37" s="8"/>
      <c r="F37" s="497">
        <v>0</v>
      </c>
      <c r="G37" s="497">
        <v>0</v>
      </c>
      <c r="H37" s="497">
        <v>0</v>
      </c>
      <c r="I37" s="497">
        <f>196-SUM(F37:H37)</f>
        <v>196</v>
      </c>
      <c r="J37" s="490">
        <f t="shared" si="43"/>
        <v>196</v>
      </c>
      <c r="K37" s="497">
        <v>0</v>
      </c>
      <c r="L37" s="497">
        <v>0</v>
      </c>
      <c r="M37" s="497">
        <v>0</v>
      </c>
      <c r="N37" s="497">
        <f>382-SUM(K37:M37)</f>
        <v>382</v>
      </c>
      <c r="O37" s="490">
        <f t="shared" si="45"/>
        <v>382</v>
      </c>
      <c r="P37" s="497">
        <v>0</v>
      </c>
      <c r="Q37" s="497">
        <v>0</v>
      </c>
      <c r="R37" s="497">
        <v>0</v>
      </c>
      <c r="S37" s="497">
        <f>371-SUM(P37:R37)</f>
        <v>371</v>
      </c>
      <c r="T37" s="490">
        <f t="shared" si="47"/>
        <v>371</v>
      </c>
      <c r="U37" s="502">
        <f>U11*Drivers!U$22</f>
        <v>0</v>
      </c>
      <c r="V37" s="502">
        <f>V11*Drivers!V$22</f>
        <v>0</v>
      </c>
      <c r="W37" s="502">
        <f>W11*Drivers!W$22</f>
        <v>0</v>
      </c>
      <c r="X37" s="502">
        <f>X11*Drivers!X$22</f>
        <v>0</v>
      </c>
      <c r="Y37" s="490">
        <f t="shared" si="49"/>
        <v>0</v>
      </c>
      <c r="Z37" s="502">
        <f>Z11*Drivers!Z$22</f>
        <v>0</v>
      </c>
      <c r="AA37" s="502">
        <f>AA11*Drivers!AA$22</f>
        <v>0</v>
      </c>
      <c r="AB37" s="502">
        <f>AB11*Drivers!AB$22</f>
        <v>0</v>
      </c>
      <c r="AC37" s="502">
        <f>AC11*Drivers!AC$22</f>
        <v>0</v>
      </c>
      <c r="AD37" s="490">
        <f t="shared" si="51"/>
        <v>0</v>
      </c>
      <c r="AE37" s="490">
        <f>AE11*Drivers!AE$22</f>
        <v>0</v>
      </c>
      <c r="AF37" s="490">
        <f>AF11*Drivers!AF$22</f>
        <v>0</v>
      </c>
      <c r="AG37" s="490">
        <f>AG11*Drivers!AG$22</f>
        <v>0</v>
      </c>
    </row>
    <row r="38" ht="15.75" customHeight="1" hidden="1" spans="1:33" x14ac:dyDescent="0.25" outlineLevel="1">
      <c r="C38" s="130" t="str">
        <f t="shared" si="53"/>
        <v> Operating Income</v>
      </c>
      <c r="D38" s="8"/>
      <c r="E38" s="8"/>
      <c r="F38" s="497">
        <v>0</v>
      </c>
      <c r="G38" s="497">
        <v>0</v>
      </c>
      <c r="H38" s="497">
        <v>0</v>
      </c>
      <c r="I38" s="497">
        <f>-192-SUM(F38:H38)</f>
        <v>-192</v>
      </c>
      <c r="J38" s="490">
        <f t="shared" si="43"/>
        <v>-192</v>
      </c>
      <c r="K38" s="497">
        <v>0</v>
      </c>
      <c r="L38" s="497">
        <v>0</v>
      </c>
      <c r="M38" s="497">
        <v>0</v>
      </c>
      <c r="N38" s="497">
        <f>-191-SUM(K38:M38)</f>
        <v>-191</v>
      </c>
      <c r="O38" s="490">
        <f t="shared" si="45"/>
        <v>-191</v>
      </c>
      <c r="P38" s="497">
        <v>0</v>
      </c>
      <c r="Q38" s="497">
        <v>0</v>
      </c>
      <c r="R38" s="497">
        <v>0</v>
      </c>
      <c r="S38" s="497">
        <f>-114-SUM(P38:R38)</f>
        <v>-114</v>
      </c>
      <c r="T38" s="490">
        <f t="shared" si="47"/>
        <v>-114</v>
      </c>
      <c r="U38" s="502">
        <f>U12*Drivers!U$27</f>
        <v>0</v>
      </c>
      <c r="V38" s="502">
        <f>V12*Drivers!V$27</f>
        <v>0</v>
      </c>
      <c r="W38" s="502">
        <f>W12*Drivers!W$27</f>
        <v>0</v>
      </c>
      <c r="X38" s="502">
        <f>X12*Drivers!X$27</f>
        <v>0</v>
      </c>
      <c r="Y38" s="490">
        <f t="shared" si="49"/>
        <v>0</v>
      </c>
      <c r="Z38" s="502">
        <f>Z12*Drivers!Z$27</f>
        <v>0</v>
      </c>
      <c r="AA38" s="502">
        <f>AA12*Drivers!AA$27</f>
        <v>0</v>
      </c>
      <c r="AB38" s="502">
        <f>AB12*Drivers!AB$27</f>
        <v>0</v>
      </c>
      <c r="AC38" s="502">
        <f>AC12*Drivers!AC$27</f>
        <v>0</v>
      </c>
      <c r="AD38" s="490">
        <f t="shared" si="51"/>
        <v>0</v>
      </c>
      <c r="AE38" s="490">
        <f>AE12*Drivers!AE$27</f>
        <v>0</v>
      </c>
      <c r="AF38" s="490">
        <f>AF12*Drivers!AF$27</f>
        <v>0</v>
      </c>
      <c r="AG38" s="490">
        <f>AG12*Drivers!AG$27</f>
        <v>0</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0</v>
      </c>
      <c r="V39" s="502">
        <f>V13*Drivers!V$32</f>
        <v>0</v>
      </c>
      <c r="W39" s="502">
        <f>W13*Drivers!W$32</f>
        <v>0</v>
      </c>
      <c r="X39" s="502">
        <f>X13*Drivers!X$32</f>
        <v>0</v>
      </c>
      <c r="Y39" s="490">
        <f t="shared" si="49"/>
        <v>0</v>
      </c>
      <c r="Z39" s="502">
        <f>Z13*Drivers!Z$32</f>
        <v>0</v>
      </c>
      <c r="AA39" s="502">
        <f>AA13*Drivers!AA$32</f>
        <v>0</v>
      </c>
      <c r="AB39" s="502">
        <f>AB13*Drivers!AB$32</f>
        <v>0</v>
      </c>
      <c r="AC39" s="502">
        <f>AC13*Drivers!AC$32</f>
        <v>0</v>
      </c>
      <c r="AD39" s="490">
        <f t="shared" si="51"/>
        <v>0</v>
      </c>
      <c r="AE39" s="490">
        <f>AE13*Drivers!AE$32</f>
        <v>0</v>
      </c>
      <c r="AF39" s="490">
        <f>AF13*Drivers!AF$32</f>
        <v>0</v>
      </c>
      <c r="AG39" s="490">
        <f>AG13*Drivers!AG$32</f>
        <v>0</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443</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444</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0.49242424242424243</v>
      </c>
      <c r="G44" s="383">
        <f t="shared" si="57"/>
        <v>0.71</v>
      </c>
      <c r="H44" s="383">
        <f t="shared" si="57"/>
        <v>0.8044871794871795</v>
      </c>
      <c r="I44" s="383">
        <f t="shared" si="57"/>
        <v>0.5117241379310344</v>
      </c>
      <c r="J44" s="384">
        <f t="shared" si="57"/>
        <v>0.5943450663589152</v>
      </c>
      <c r="K44" s="383">
        <f t="shared" si="57"/>
        <v>1.0382775119617225</v>
      </c>
      <c r="L44" s="383">
        <f t="shared" si="57"/>
        <v>1.0835380835380835</v>
      </c>
      <c r="M44" s="383">
        <f t="shared" si="57"/>
        <v>1.090185676392573</v>
      </c>
      <c r="N44" s="383">
        <f t="shared" si="57"/>
        <v>0.45558739255014324</v>
      </c>
      <c r="O44" s="384">
        <f t="shared" si="57"/>
        <v>0.7839039573143619</v>
      </c>
      <c r="P44" s="383">
        <f t="shared" si="57"/>
        <v>1.0382775119617225</v>
      </c>
      <c r="Q44" s="383">
        <f t="shared" si="57"/>
        <v>1.0835380835380835</v>
      </c>
      <c r="R44" s="383">
        <f t="shared" si="57"/>
        <v>1.090185676392573</v>
      </c>
      <c r="S44" s="383">
        <f t="shared" si="57"/>
        <v>0.4424860853432282</v>
      </c>
      <c r="T44" s="384">
        <f t="shared" si="57"/>
        <v>0.7732456140350877</v>
      </c>
      <c r="U44" s="385">
        <f t="shared" ref="U44:X44" si="58">IFERROR(U34/U$33,"N/A")</f>
        <v>0.9877668304798428</v>
      </c>
      <c r="V44" s="385">
        <f t="shared" si="58"/>
        <v>0.9911695712428152</v>
      </c>
      <c r="W44" s="385">
        <f t="shared" si="58"/>
        <v>0.9936889524899055</v>
      </c>
      <c r="X44" s="385">
        <f t="shared" si="58"/>
        <v>0.9918720581356926</v>
      </c>
      <c r="Y44" s="384">
        <f t="shared" si="57"/>
        <v>0.991278259867356</v>
      </c>
      <c r="Z44" s="385">
        <f t="shared" si="57"/>
        <v>0.9924701221524845</v>
      </c>
      <c r="AA44" s="385">
        <f t="shared" si="57"/>
        <v>0.9924327938853662</v>
      </c>
      <c r="AB44" s="385">
        <f t="shared" si="57"/>
        <v>0.993832808592477</v>
      </c>
      <c r="AC44" s="385">
        <f t="shared" si="57"/>
        <v>0.993279333519908</v>
      </c>
      <c r="AD44" s="384">
        <f t="shared" si="57"/>
        <v>0.9930448146114482</v>
      </c>
      <c r="AE44" s="384">
        <f t="shared" si="57"/>
        <v>0.9945363780773742</v>
      </c>
      <c r="AF44" s="384">
        <f t="shared" si="57"/>
        <v>0.9955617895993408</v>
      </c>
      <c r="AG44" s="384">
        <f t="shared" si="57"/>
        <v>0.9963002804513661</v>
      </c>
    </row>
    <row r="45" ht="15.75" customHeight="1" spans="1:33" x14ac:dyDescent="0.25">
      <c r="C45" s="130" t="str">
        <f t="shared" si="56"/>
        <v>Principal Transactions Revenue</v>
      </c>
      <c r="D45" s="8"/>
      <c r="E45" s="8"/>
      <c r="F45" s="383">
        <f t="shared" ref="F45:AG45" si="59">IFERROR(F35/F$33,"N/A")</f>
        <v>0.5075757575757576</v>
      </c>
      <c r="G45" s="383">
        <f t="shared" si="59"/>
        <v>0.29</v>
      </c>
      <c r="H45" s="383">
        <f t="shared" si="59"/>
        <v>0.1955128205128205</v>
      </c>
      <c r="I45" s="383">
        <f t="shared" si="59"/>
        <v>0.0910344827586207</v>
      </c>
      <c r="J45" s="384">
        <f t="shared" si="59"/>
        <v>0.23946912867859205</v>
      </c>
      <c r="K45" s="383">
        <f t="shared" si="59"/>
        <v>-0.03827751196172249</v>
      </c>
      <c r="L45" s="383">
        <f t="shared" si="59"/>
        <v>-0.08353808353808354</v>
      </c>
      <c r="M45" s="383">
        <f t="shared" si="59"/>
        <v>-0.09018567639257294</v>
      </c>
      <c r="N45" s="383">
        <f t="shared" si="59"/>
        <v>-0.0066857688634192934</v>
      </c>
      <c r="O45" s="384">
        <f t="shared" si="59"/>
        <v>-0.04046242774566474</v>
      </c>
      <c r="P45" s="383">
        <f t="shared" si="59"/>
        <v>-0.03827751196172249</v>
      </c>
      <c r="Q45" s="383">
        <f t="shared" si="59"/>
        <v>-0.08353808353808354</v>
      </c>
      <c r="R45" s="383">
        <f t="shared" si="59"/>
        <v>-0.09018567639257294</v>
      </c>
      <c r="S45" s="383">
        <f t="shared" si="59"/>
        <v>-0.006493506493506494</v>
      </c>
      <c r="T45" s="384">
        <f t="shared" si="59"/>
        <v>-0.039912280701754385</v>
      </c>
      <c r="U45" s="385">
        <f t="shared" ref="U45:X45" si="60">IFERROR(U35/U$33,"N/A")</f>
        <v>0.012233169520157301</v>
      </c>
      <c r="V45" s="385">
        <f t="shared" si="60"/>
        <v>0.00883042875718487</v>
      </c>
      <c r="W45" s="385">
        <f t="shared" si="60"/>
        <v>0.006311047510094464</v>
      </c>
      <c r="X45" s="385">
        <f t="shared" si="60"/>
        <v>0.00812794186430735</v>
      </c>
      <c r="Y45" s="384">
        <f t="shared" si="59"/>
        <v>0.008721740132644103</v>
      </c>
      <c r="Z45" s="385">
        <f t="shared" si="59"/>
        <v>0.007529877847515403</v>
      </c>
      <c r="AA45" s="385">
        <f t="shared" si="59"/>
        <v>0.007567206114633709</v>
      </c>
      <c r="AB45" s="385">
        <f t="shared" si="59"/>
        <v>0.006167191407522956</v>
      </c>
      <c r="AC45" s="385">
        <f t="shared" si="59"/>
        <v>0.006720666480091866</v>
      </c>
      <c r="AD45" s="384">
        <f t="shared" si="59"/>
        <v>0.006955185388551625</v>
      </c>
      <c r="AE45" s="384">
        <f t="shared" si="59"/>
        <v>0.0054636219226259055</v>
      </c>
      <c r="AF45" s="384">
        <f t="shared" si="59"/>
        <v>0.004438210400659234</v>
      </c>
      <c r="AG45" s="384">
        <f t="shared" si="59"/>
        <v>0.0036997195486338993</v>
      </c>
    </row>
    <row r="46" ht="15.75" customHeight="1" hidden="1" spans="1:33" x14ac:dyDescent="0.25" outlineLevel="1">
      <c r="C46" s="130">
        <f t="shared" si="56"/>
        <v>0</v>
      </c>
      <c r="D46" s="8"/>
      <c r="E46" s="8"/>
      <c r="F46" s="383">
        <f t="shared" ref="F46:AG46" si="61">IFERROR(F36/F$33,"N/A")</f>
        <v>0</v>
      </c>
      <c r="G46" s="383">
        <f t="shared" si="61"/>
        <v>0</v>
      </c>
      <c r="H46" s="383">
        <f t="shared" si="61"/>
        <v>0</v>
      </c>
      <c r="I46" s="383">
        <f t="shared" si="61"/>
        <v>0.3917241379310345</v>
      </c>
      <c r="J46" s="384">
        <f t="shared" si="61"/>
        <v>0.16387766878245816</v>
      </c>
      <c r="K46" s="383">
        <f t="shared" si="61"/>
        <v>0</v>
      </c>
      <c r="L46" s="383">
        <f t="shared" si="61"/>
        <v>0</v>
      </c>
      <c r="M46" s="383">
        <f t="shared" si="61"/>
        <v>0</v>
      </c>
      <c r="N46" s="383">
        <f t="shared" si="61"/>
        <v>0.36867239732569246</v>
      </c>
      <c r="O46" s="384">
        <f t="shared" si="61"/>
        <v>0.17163183637172078</v>
      </c>
      <c r="P46" s="383">
        <f t="shared" si="61"/>
        <v>0</v>
      </c>
      <c r="Q46" s="383">
        <f t="shared" si="61"/>
        <v>0</v>
      </c>
      <c r="R46" s="383">
        <f t="shared" si="61"/>
        <v>0</v>
      </c>
      <c r="S46" s="383">
        <f t="shared" si="61"/>
        <v>0.32560296846011133</v>
      </c>
      <c r="T46" s="384">
        <f t="shared" si="61"/>
        <v>0.15394736842105264</v>
      </c>
      <c r="U46" s="385">
        <f t="shared" ref="U46:X46" si="62">IFERROR(U36/U$33,"N/A")</f>
        <v>0</v>
      </c>
      <c r="V46" s="385">
        <f t="shared" si="62"/>
        <v>0</v>
      </c>
      <c r="W46" s="385">
        <f t="shared" si="62"/>
        <v>0</v>
      </c>
      <c r="X46" s="385">
        <f t="shared" si="62"/>
        <v>0</v>
      </c>
      <c r="Y46" s="384">
        <f t="shared" si="61"/>
        <v>0</v>
      </c>
      <c r="Z46" s="385">
        <f t="shared" si="61"/>
        <v>0</v>
      </c>
      <c r="AA46" s="385">
        <f t="shared" si="61"/>
        <v>0</v>
      </c>
      <c r="AB46" s="385">
        <f t="shared" si="61"/>
        <v>0</v>
      </c>
      <c r="AC46" s="385">
        <f t="shared" si="61"/>
        <v>0</v>
      </c>
      <c r="AD46" s="384">
        <f t="shared" si="61"/>
        <v>0</v>
      </c>
      <c r="AE46" s="384">
        <f t="shared" si="61"/>
        <v>0</v>
      </c>
      <c r="AF46" s="384">
        <f t="shared" si="61"/>
        <v>0</v>
      </c>
      <c r="AG46" s="384">
        <f t="shared" si="61"/>
        <v>0</v>
      </c>
    </row>
    <row r="47" ht="15.75" customHeight="1" hidden="1" spans="1:33" x14ac:dyDescent="0.25" outlineLevel="1">
      <c r="C47" s="130">
        <f t="shared" si="56"/>
        <v>0</v>
      </c>
      <c r="D47" s="8"/>
      <c r="E47" s="8"/>
      <c r="F47" s="383">
        <f t="shared" ref="F47:AG47" si="63">IFERROR(F37/F$33,"N/A")</f>
        <v>0</v>
      </c>
      <c r="G47" s="383">
        <f t="shared" si="63"/>
        <v>0</v>
      </c>
      <c r="H47" s="383">
        <f t="shared" si="63"/>
        <v>0</v>
      </c>
      <c r="I47" s="383">
        <f t="shared" si="63"/>
        <v>0.27034482758620687</v>
      </c>
      <c r="J47" s="384">
        <f t="shared" si="63"/>
        <v>0.11309867282169649</v>
      </c>
      <c r="K47" s="383">
        <f t="shared" si="63"/>
        <v>0</v>
      </c>
      <c r="L47" s="383">
        <f t="shared" si="63"/>
        <v>0</v>
      </c>
      <c r="M47" s="383">
        <f t="shared" si="63"/>
        <v>0</v>
      </c>
      <c r="N47" s="383">
        <f t="shared" si="63"/>
        <v>0.3648519579751671</v>
      </c>
      <c r="O47" s="384">
        <f t="shared" si="63"/>
        <v>0.16985326811916407</v>
      </c>
      <c r="P47" s="383">
        <f t="shared" si="63"/>
        <v>0</v>
      </c>
      <c r="Q47" s="383">
        <f t="shared" si="63"/>
        <v>0</v>
      </c>
      <c r="R47" s="383">
        <f t="shared" si="63"/>
        <v>0</v>
      </c>
      <c r="S47" s="383">
        <f t="shared" si="63"/>
        <v>0.34415584415584416</v>
      </c>
      <c r="T47" s="384">
        <f t="shared" si="63"/>
        <v>0.16271929824561404</v>
      </c>
      <c r="U47" s="385">
        <f t="shared" ref="U47:X47" si="64">IFERROR(U37/U$33,"N/A")</f>
        <v>0</v>
      </c>
      <c r="V47" s="385">
        <f t="shared" si="64"/>
        <v>0</v>
      </c>
      <c r="W47" s="385">
        <f t="shared" si="64"/>
        <v>0</v>
      </c>
      <c r="X47" s="385">
        <f t="shared" si="64"/>
        <v>0</v>
      </c>
      <c r="Y47" s="384">
        <f t="shared" si="63"/>
        <v>0</v>
      </c>
      <c r="Z47" s="385">
        <f t="shared" si="63"/>
        <v>0</v>
      </c>
      <c r="AA47" s="385">
        <f t="shared" si="63"/>
        <v>0</v>
      </c>
      <c r="AB47" s="385">
        <f t="shared" si="63"/>
        <v>0</v>
      </c>
      <c r="AC47" s="385">
        <f t="shared" si="63"/>
        <v>0</v>
      </c>
      <c r="AD47" s="384">
        <f t="shared" si="63"/>
        <v>0</v>
      </c>
      <c r="AE47" s="384">
        <f t="shared" si="63"/>
        <v>0</v>
      </c>
      <c r="AF47" s="384">
        <f t="shared" si="63"/>
        <v>0</v>
      </c>
      <c r="AG47" s="384">
        <f t="shared" si="63"/>
        <v>0</v>
      </c>
    </row>
    <row r="48" ht="15.75" customHeight="1" hidden="1" spans="1:33" x14ac:dyDescent="0.25" outlineLevel="1">
      <c r="C48" s="130">
        <f t="shared" si="56"/>
        <v>0</v>
      </c>
      <c r="D48" s="8"/>
      <c r="E48" s="8"/>
      <c r="F48" s="383">
        <f t="shared" ref="F48:AG48" si="65">IFERROR(F38/F$33,"N/A")</f>
        <v>0</v>
      </c>
      <c r="G48" s="383">
        <f t="shared" si="65"/>
        <v>0</v>
      </c>
      <c r="H48" s="383">
        <f t="shared" si="65"/>
        <v>0</v>
      </c>
      <c r="I48" s="383">
        <f t="shared" si="65"/>
        <v>-0.26482758620689656</v>
      </c>
      <c r="J48" s="384">
        <f t="shared" si="65"/>
        <v>-0.11079053664166186</v>
      </c>
      <c r="K48" s="383">
        <f t="shared" si="65"/>
        <v>0</v>
      </c>
      <c r="L48" s="383">
        <f t="shared" si="65"/>
        <v>0</v>
      </c>
      <c r="M48" s="383">
        <f t="shared" si="65"/>
        <v>0</v>
      </c>
      <c r="N48" s="383">
        <f t="shared" si="65"/>
        <v>-0.18242597898758356</v>
      </c>
      <c r="O48" s="384">
        <f t="shared" si="65"/>
        <v>-0.08492663405958203</v>
      </c>
      <c r="P48" s="383">
        <f t="shared" si="65"/>
        <v>0</v>
      </c>
      <c r="Q48" s="383">
        <f t="shared" si="65"/>
        <v>0</v>
      </c>
      <c r="R48" s="383">
        <f t="shared" si="65"/>
        <v>0</v>
      </c>
      <c r="S48" s="383">
        <f t="shared" si="65"/>
        <v>-0.10575139146567718</v>
      </c>
      <c r="T48" s="384">
        <f t="shared" si="65"/>
        <v>-0.05</v>
      </c>
      <c r="U48" s="385">
        <f t="shared" ref="U48:X48" si="66">IFERROR(U38/U$33,"N/A")</f>
        <v>0</v>
      </c>
      <c r="V48" s="385">
        <f t="shared" si="66"/>
        <v>0</v>
      </c>
      <c r="W48" s="385">
        <f t="shared" si="66"/>
        <v>0</v>
      </c>
      <c r="X48" s="385">
        <f t="shared" si="66"/>
        <v>0</v>
      </c>
      <c r="Y48" s="384">
        <f t="shared" si="65"/>
        <v>0</v>
      </c>
      <c r="Z48" s="385">
        <f t="shared" si="65"/>
        <v>0</v>
      </c>
      <c r="AA48" s="385">
        <f t="shared" si="65"/>
        <v>0</v>
      </c>
      <c r="AB48" s="385">
        <f t="shared" si="65"/>
        <v>0</v>
      </c>
      <c r="AC48" s="385">
        <f t="shared" si="65"/>
        <v>0</v>
      </c>
      <c r="AD48" s="384">
        <f t="shared" si="65"/>
        <v>0</v>
      </c>
      <c r="AE48" s="384">
        <f t="shared" si="65"/>
        <v>0</v>
      </c>
      <c r="AF48" s="384">
        <f t="shared" si="65"/>
        <v>0</v>
      </c>
      <c r="AG48" s="384">
        <f t="shared" si="65"/>
        <v>0</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v>
      </c>
      <c r="V49" s="385">
        <f t="shared" si="68"/>
        <v>0</v>
      </c>
      <c r="W49" s="385">
        <f t="shared" si="68"/>
        <v>0</v>
      </c>
      <c r="X49" s="385">
        <f t="shared" si="68"/>
        <v>0</v>
      </c>
      <c r="Y49" s="384">
        <f t="shared" si="67"/>
        <v>0</v>
      </c>
      <c r="Z49" s="385">
        <f t="shared" si="67"/>
        <v>0</v>
      </c>
      <c r="AA49" s="385">
        <f t="shared" si="67"/>
        <v>0</v>
      </c>
      <c r="AB49" s="385">
        <f t="shared" si="67"/>
        <v>0</v>
      </c>
      <c r="AC49" s="385">
        <f t="shared" si="67"/>
        <v>0</v>
      </c>
      <c r="AD49" s="384">
        <f t="shared" si="67"/>
        <v>0</v>
      </c>
      <c r="AE49" s="384">
        <f t="shared" si="67"/>
        <v>0</v>
      </c>
      <c r="AF49" s="384">
        <f t="shared" si="67"/>
        <v>0</v>
      </c>
      <c r="AG49" s="384">
        <f t="shared" si="67"/>
        <v>0</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445</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-45.9563068069875</v>
      </c>
      <c r="W51" s="508">
        <f>Model!W76</f>
        <v>-46.09924510904429</v>
      </c>
      <c r="X51" s="508">
        <f>Model!X76</f>
        <v>-46.95459117435119</v>
      </c>
      <c r="Y51" s="283">
        <f>SUM(Y52:Y57)</f>
        <v>-184.19468059038297</v>
      </c>
      <c r="Z51" s="508">
        <f>Model!Z76</f>
        <v>-45.341201044088876</v>
      </c>
      <c r="AA51" s="508">
        <f>Model!AA76</f>
        <v>-46.007408890252954</v>
      </c>
      <c r="AB51" s="508">
        <f>Model!AB76</f>
        <v>-45.99648817786875</v>
      </c>
      <c r="AC51" s="508">
        <f>Model!AC76</f>
        <v>-45.75118990759355</v>
      </c>
      <c r="AD51" s="283">
        <f>SUM(AD52:AD57)</f>
        <v>-183.09628801980412</v>
      </c>
      <c r="AE51" s="281">
        <f>Model!AE76</f>
        <v>-182.07061212384048</v>
      </c>
      <c r="AF51" s="281">
        <f>Model!AF76</f>
        <v>-178.1965373852448</v>
      </c>
      <c r="AG51" s="281">
        <f>Model!AG76</f>
        <v>-169.96234908879086</v>
      </c>
    </row>
    <row r="52" ht="15.75" customHeight="1" hidden="1" spans="1:33" x14ac:dyDescent="0.25">
      <c r="C52" s="457" t="str">
        <f t="shared" ref="C52:C57" si="70">C16&amp;" D&amp;A"</f>
        <v>Investment Banking D&amp;A</v>
      </c>
      <c r="D52" s="8"/>
      <c r="E52" s="8"/>
      <c r="F52" s="497">
        <v>0</v>
      </c>
      <c r="G52" s="497">
        <f>64-F52</f>
        <v>32</v>
      </c>
      <c r="H52" s="497">
        <f>97-SUM(F52:G52)</f>
        <v>33</v>
      </c>
      <c r="I52" s="497">
        <f>134-SUM(F52:H52)</f>
        <v>37</v>
      </c>
      <c r="J52" s="509">
        <f t="shared" ref="J52:J57" si="71">SUM(F52:I52)</f>
        <v>134</v>
      </c>
      <c r="K52" s="497">
        <v>0</v>
      </c>
      <c r="L52" s="497">
        <f>69-SUM(K52)</f>
        <v>34</v>
      </c>
      <c r="M52" s="497">
        <f>105-SUM(K52:L52)</f>
        <v>36</v>
      </c>
      <c r="N52" s="497">
        <f>145-SUM(K52:M52)</f>
        <v>40</v>
      </c>
      <c r="O52" s="509">
        <f t="shared" ref="O52:O57" si="72">SUM(K52:N52)</f>
        <v>145</v>
      </c>
      <c r="P52" s="497">
        <v>0</v>
      </c>
      <c r="Q52" s="497">
        <f>81-P52</f>
        <v>41</v>
      </c>
      <c r="R52" s="497">
        <f>123-SUM(P52:Q52)</f>
        <v>42</v>
      </c>
      <c r="S52" s="497">
        <f>165-SUM(P52:R52)</f>
        <v>42</v>
      </c>
      <c r="T52" s="509">
        <f t="shared" ref="T52:T57" si="73">SUM(P52:S52)</f>
        <v>165</v>
      </c>
      <c r="U52" s="510">
        <f t="shared" ref="U52:X52" si="74">U62*U$51</f>
        <v>-45.1845375</v>
      </c>
      <c r="V52" s="510">
        <f t="shared" si="74"/>
        <v>-45.9563068069875</v>
      </c>
      <c r="W52" s="510">
        <f t="shared" si="74"/>
        <v>-46.09924510904429</v>
      </c>
      <c r="X52" s="510">
        <f t="shared" si="74"/>
        <v>-46.95459117435119</v>
      </c>
      <c r="Y52" s="490">
        <f t="shared" ref="Y52:Y57" si="75">SUM(U52:X52)</f>
        <v>-184.19468059038297</v>
      </c>
      <c r="Z52" s="510">
        <f t="shared" ref="Z52:AC52" si="76">Z62*Z$51</f>
        <v>-45.341201044088876</v>
      </c>
      <c r="AA52" s="510">
        <f t="shared" si="76"/>
        <v>-46.007408890252954</v>
      </c>
      <c r="AB52" s="510">
        <f t="shared" si="76"/>
        <v>-45.99648817786875</v>
      </c>
      <c r="AC52" s="510">
        <f t="shared" si="76"/>
        <v>-45.75118990759355</v>
      </c>
      <c r="AD52" s="490">
        <f t="shared" ref="AD52:AD57" si="77">SUM(Z52:AC52)</f>
        <v>-183.09628801980412</v>
      </c>
      <c r="AE52" s="490">
        <f t="shared" ref="AE52:AG52" si="78">AE62*AE$51</f>
        <v>-182.07061212384048</v>
      </c>
      <c r="AF52" s="490">
        <f t="shared" si="78"/>
        <v>-178.1965373852448</v>
      </c>
      <c r="AG52" s="490">
        <f t="shared" si="78"/>
        <v>-169.96234908879086</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0</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446</v>
      </c>
      <c r="D59" s="8"/>
      <c r="E59" s="8"/>
      <c r="F59" s="511">
        <f>F51-Model!F60</f>
        <v>-1.2920000000000016</v>
      </c>
      <c r="G59" s="511">
        <f>G51-Model!G60</f>
        <v>6.690000000000001</v>
      </c>
      <c r="H59" s="511">
        <f>H51-Model!H60</f>
        <v>7.712</v>
      </c>
      <c r="I59" s="511">
        <f>I51-Model!I60</f>
        <v>8.689</v>
      </c>
      <c r="J59" s="506">
        <f>J51-Model!J60</f>
        <v>21.799000000000007</v>
      </c>
      <c r="K59" s="511">
        <f>K51-Model!K60</f>
        <v>-8.201999999999998</v>
      </c>
      <c r="L59" s="511">
        <f>L51-Model!L60</f>
        <v>-15.945999999999998</v>
      </c>
      <c r="M59" s="511">
        <f>M51-Model!M60</f>
        <v>-9.976999999999997</v>
      </c>
      <c r="N59" s="511">
        <f>N51-Model!N60</f>
        <v>-11.201</v>
      </c>
      <c r="O59" s="506">
        <f>O51-Model!O60</f>
        <v>-45.32599999999999</v>
      </c>
      <c r="P59" s="511">
        <f>P51-Model!P60</f>
        <v>9.012</v>
      </c>
      <c r="Q59" s="511">
        <f>Q51-Model!Q60</f>
        <v>-11.253</v>
      </c>
      <c r="R59" s="511">
        <f>R51-Model!R60</f>
        <v>-11.229999999999997</v>
      </c>
      <c r="S59" s="511">
        <f>S51-Model!S60</f>
        <v>76.99000000000001</v>
      </c>
      <c r="T59" s="506">
        <f>T51-Model!T60</f>
        <v>63.519000000000005</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1: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1:33" x14ac:dyDescent="0.25">
      <c r="C61" s="7" t="s">
        <v>447</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1: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1: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1: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1: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1: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1: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1: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1:33" x14ac:dyDescent="0.25">
      <c r="C69" s="8" t="s">
        <v>448</v>
      </c>
      <c r="D69" s="8"/>
      <c r="E69" s="8"/>
      <c r="F69" s="310">
        <f t="shared" ref="F69:AG69" si="105">F51+F33</f>
        <v>428</v>
      </c>
      <c r="G69" s="310">
        <f t="shared" si="105"/>
        <v>332</v>
      </c>
      <c r="H69" s="310">
        <f t="shared" si="105"/>
        <v>345</v>
      </c>
      <c r="I69" s="310">
        <f t="shared" si="105"/>
        <v>762</v>
      </c>
      <c r="J69" s="283">
        <f t="shared" si="105"/>
        <v>1867</v>
      </c>
      <c r="K69" s="310">
        <f t="shared" si="105"/>
        <v>453</v>
      </c>
      <c r="L69" s="310">
        <f t="shared" si="105"/>
        <v>441</v>
      </c>
      <c r="M69" s="310">
        <f t="shared" si="105"/>
        <v>413</v>
      </c>
      <c r="N69" s="310">
        <f t="shared" si="105"/>
        <v>1087</v>
      </c>
      <c r="O69" s="283">
        <f t="shared" si="105"/>
        <v>2394</v>
      </c>
      <c r="P69" s="310">
        <f t="shared" si="105"/>
        <v>458</v>
      </c>
      <c r="Q69" s="310">
        <f t="shared" si="105"/>
        <v>448</v>
      </c>
      <c r="R69" s="310">
        <f t="shared" si="105"/>
        <v>419</v>
      </c>
      <c r="S69" s="310">
        <f t="shared" si="105"/>
        <v>1210.8</v>
      </c>
      <c r="T69" s="283">
        <f t="shared" si="105"/>
        <v>2535.8</v>
      </c>
      <c r="U69" s="515">
        <f t="shared" ref="U69:X69" si="106">U51+U33</f>
        <v>2505.9582345000003</v>
      </c>
      <c r="V69" s="515">
        <f t="shared" si="106"/>
        <v>2619.7006671930126</v>
      </c>
      <c r="W69" s="515">
        <f t="shared" si="106"/>
        <v>3036.4404392909564</v>
      </c>
      <c r="X69" s="515">
        <f t="shared" si="106"/>
        <v>3012.718554275648</v>
      </c>
      <c r="Y69" s="283">
        <f t="shared" si="105"/>
        <v>11174.817895259617</v>
      </c>
      <c r="Z69" s="515">
        <f t="shared" si="105"/>
        <v>2773.007594215912</v>
      </c>
      <c r="AA69" s="515">
        <f t="shared" si="105"/>
        <v>2909.105609209748</v>
      </c>
      <c r="AB69" s="515">
        <f t="shared" si="105"/>
        <v>3313.485416458132</v>
      </c>
      <c r="AC69" s="515">
        <f t="shared" si="105"/>
        <v>3284.5674579974057</v>
      </c>
      <c r="AD69" s="283">
        <f t="shared" si="105"/>
        <v>12280.166077881198</v>
      </c>
      <c r="AE69" s="283">
        <f t="shared" si="105"/>
        <v>13258.065521144965</v>
      </c>
      <c r="AF69" s="283">
        <f t="shared" si="105"/>
        <v>13986.542603135478</v>
      </c>
      <c r="AG69" s="283">
        <f t="shared" si="105"/>
        <v>14479.675808204862</v>
      </c>
    </row>
    <row r="70" ht="15.75" customHeight="1" spans="1: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2596.161773193013</v>
      </c>
      <c r="W70" s="515">
        <f t="shared" si="109"/>
        <v>3016.9863848909563</v>
      </c>
      <c r="X70" s="515">
        <f t="shared" si="109"/>
        <v>2987.8497088256477</v>
      </c>
      <c r="Y70" s="516">
        <f t="shared" si="108"/>
        <v>11075.747539409618</v>
      </c>
      <c r="Z70" s="515">
        <f t="shared" si="108"/>
        <v>2751.785772055912</v>
      </c>
      <c r="AA70" s="515">
        <f t="shared" si="108"/>
        <v>2886.7436599097477</v>
      </c>
      <c r="AB70" s="515">
        <f t="shared" si="108"/>
        <v>3292.766848522132</v>
      </c>
      <c r="AC70" s="515">
        <f t="shared" si="108"/>
        <v>3262.1854970924055</v>
      </c>
      <c r="AD70" s="516">
        <f t="shared" si="108"/>
        <v>12193.481777580197</v>
      </c>
      <c r="AE70" s="516">
        <f t="shared" si="108"/>
        <v>13184.633698724161</v>
      </c>
      <c r="AF70" s="516">
        <f t="shared" si="108"/>
        <v>13923.676510559395</v>
      </c>
      <c r="AG70" s="516">
        <f t="shared" si="108"/>
        <v>14425.47625553391</v>
      </c>
    </row>
    <row r="71" ht="15.75" customHeight="1" spans="1: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1:33" x14ac:dyDescent="0.25" outlineLevel="1">
      <c r="C72" s="130" t="str">
        <f t="shared" si="107"/>
        <v> EBITDA</v>
      </c>
      <c r="D72" s="8"/>
      <c r="E72" s="8"/>
      <c r="F72" s="310">
        <f t="shared" ref="F72:AG72" si="112">F54+F36</f>
        <v>0</v>
      </c>
      <c r="G72" s="310">
        <f t="shared" si="112"/>
        <v>0</v>
      </c>
      <c r="H72" s="310">
        <f t="shared" si="112"/>
        <v>0</v>
      </c>
      <c r="I72" s="310">
        <f t="shared" si="112"/>
        <v>284</v>
      </c>
      <c r="J72" s="516">
        <f t="shared" si="112"/>
        <v>284</v>
      </c>
      <c r="K72" s="310">
        <f t="shared" si="112"/>
        <v>0</v>
      </c>
      <c r="L72" s="310">
        <f t="shared" si="112"/>
        <v>0</v>
      </c>
      <c r="M72" s="310">
        <f t="shared" si="112"/>
        <v>0</v>
      </c>
      <c r="N72" s="310">
        <f t="shared" si="112"/>
        <v>386</v>
      </c>
      <c r="O72" s="516">
        <f t="shared" si="112"/>
        <v>386</v>
      </c>
      <c r="P72" s="310">
        <f t="shared" si="112"/>
        <v>0</v>
      </c>
      <c r="Q72" s="310">
        <f t="shared" si="112"/>
        <v>0</v>
      </c>
      <c r="R72" s="310">
        <f t="shared" si="112"/>
        <v>0</v>
      </c>
      <c r="S72" s="310">
        <f t="shared" si="112"/>
        <v>351</v>
      </c>
      <c r="T72" s="516">
        <f t="shared" si="112"/>
        <v>351</v>
      </c>
      <c r="U72" s="515">
        <f t="shared" ref="U72:X72" si="113">U54+U36</f>
        <v>0</v>
      </c>
      <c r="V72" s="515">
        <f t="shared" si="113"/>
        <v>0</v>
      </c>
      <c r="W72" s="515">
        <f t="shared" si="113"/>
        <v>0</v>
      </c>
      <c r="X72" s="515">
        <f t="shared" si="113"/>
        <v>0</v>
      </c>
      <c r="Y72" s="516">
        <f t="shared" si="112"/>
        <v>0</v>
      </c>
      <c r="Z72" s="515">
        <f t="shared" si="112"/>
        <v>0</v>
      </c>
      <c r="AA72" s="515">
        <f t="shared" si="112"/>
        <v>0</v>
      </c>
      <c r="AB72" s="515">
        <f t="shared" si="112"/>
        <v>0</v>
      </c>
      <c r="AC72" s="515">
        <f t="shared" si="112"/>
        <v>0</v>
      </c>
      <c r="AD72" s="516">
        <f t="shared" si="112"/>
        <v>0</v>
      </c>
      <c r="AE72" s="516">
        <f t="shared" si="112"/>
        <v>0</v>
      </c>
      <c r="AF72" s="516">
        <f t="shared" si="112"/>
        <v>0</v>
      </c>
      <c r="AG72" s="516">
        <f t="shared" si="112"/>
        <v>0</v>
      </c>
    </row>
    <row r="73" ht="15.75" customHeight="1" hidden="1" spans="1:33" x14ac:dyDescent="0.25" outlineLevel="1">
      <c r="C73" s="130" t="str">
        <f t="shared" si="107"/>
        <v> EBITDA</v>
      </c>
      <c r="D73" s="8"/>
      <c r="E73" s="8"/>
      <c r="F73" s="310">
        <f t="shared" ref="F73:AG73" si="114">F55+F37</f>
        <v>0</v>
      </c>
      <c r="G73" s="310">
        <f t="shared" si="114"/>
        <v>0</v>
      </c>
      <c r="H73" s="310">
        <f t="shared" si="114"/>
        <v>0</v>
      </c>
      <c r="I73" s="310">
        <f t="shared" si="114"/>
        <v>196</v>
      </c>
      <c r="J73" s="516">
        <f t="shared" si="114"/>
        <v>196</v>
      </c>
      <c r="K73" s="310">
        <f t="shared" si="114"/>
        <v>0</v>
      </c>
      <c r="L73" s="310">
        <f t="shared" si="114"/>
        <v>0</v>
      </c>
      <c r="M73" s="310">
        <f t="shared" si="114"/>
        <v>0</v>
      </c>
      <c r="N73" s="310">
        <f t="shared" si="114"/>
        <v>382</v>
      </c>
      <c r="O73" s="516">
        <f t="shared" si="114"/>
        <v>382</v>
      </c>
      <c r="P73" s="310">
        <f t="shared" si="114"/>
        <v>0</v>
      </c>
      <c r="Q73" s="310">
        <f t="shared" si="114"/>
        <v>0</v>
      </c>
      <c r="R73" s="310">
        <f t="shared" si="114"/>
        <v>0</v>
      </c>
      <c r="S73" s="310">
        <f t="shared" si="114"/>
        <v>371</v>
      </c>
      <c r="T73" s="516">
        <f t="shared" si="114"/>
        <v>371</v>
      </c>
      <c r="U73" s="515">
        <f t="shared" ref="U73:X73" si="115">U55+U37</f>
        <v>0</v>
      </c>
      <c r="V73" s="515">
        <f t="shared" si="115"/>
        <v>0</v>
      </c>
      <c r="W73" s="515">
        <f t="shared" si="115"/>
        <v>0</v>
      </c>
      <c r="X73" s="515">
        <f t="shared" si="115"/>
        <v>0</v>
      </c>
      <c r="Y73" s="516">
        <f t="shared" si="114"/>
        <v>0</v>
      </c>
      <c r="Z73" s="515">
        <f t="shared" si="114"/>
        <v>0</v>
      </c>
      <c r="AA73" s="515">
        <f t="shared" si="114"/>
        <v>0</v>
      </c>
      <c r="AB73" s="515">
        <f t="shared" si="114"/>
        <v>0</v>
      </c>
      <c r="AC73" s="515">
        <f t="shared" si="114"/>
        <v>0</v>
      </c>
      <c r="AD73" s="516">
        <f t="shared" si="114"/>
        <v>0</v>
      </c>
      <c r="AE73" s="516">
        <f t="shared" si="114"/>
        <v>0</v>
      </c>
      <c r="AF73" s="516">
        <f t="shared" si="114"/>
        <v>0</v>
      </c>
      <c r="AG73" s="516">
        <f t="shared" si="114"/>
        <v>0</v>
      </c>
    </row>
    <row r="74" ht="15.75" customHeight="1" hidden="1" spans="1:33" x14ac:dyDescent="0.25" outlineLevel="2" collapsed="1">
      <c r="C74" s="130" t="str">
        <f t="shared" si="107"/>
        <v> EBITDA</v>
      </c>
      <c r="D74" s="8"/>
      <c r="E74" s="8"/>
      <c r="F74" s="310">
        <f t="shared" ref="F74:AG74" si="116">F56+F38</f>
        <v>0</v>
      </c>
      <c r="G74" s="310">
        <f t="shared" si="116"/>
        <v>0</v>
      </c>
      <c r="H74" s="310">
        <f t="shared" si="116"/>
        <v>0</v>
      </c>
      <c r="I74" s="310">
        <f t="shared" si="116"/>
        <v>-192</v>
      </c>
      <c r="J74" s="516">
        <f t="shared" si="116"/>
        <v>-192</v>
      </c>
      <c r="K74" s="310">
        <f t="shared" si="116"/>
        <v>0</v>
      </c>
      <c r="L74" s="310">
        <f t="shared" si="116"/>
        <v>0</v>
      </c>
      <c r="M74" s="310">
        <f t="shared" si="116"/>
        <v>0</v>
      </c>
      <c r="N74" s="310">
        <f t="shared" si="116"/>
        <v>-191</v>
      </c>
      <c r="O74" s="516">
        <f t="shared" si="116"/>
        <v>-191</v>
      </c>
      <c r="P74" s="310">
        <f t="shared" si="116"/>
        <v>0</v>
      </c>
      <c r="Q74" s="310">
        <f t="shared" si="116"/>
        <v>0</v>
      </c>
      <c r="R74" s="310">
        <f t="shared" si="116"/>
        <v>0</v>
      </c>
      <c r="S74" s="310">
        <f t="shared" si="116"/>
        <v>-114</v>
      </c>
      <c r="T74" s="516">
        <f t="shared" si="116"/>
        <v>-114</v>
      </c>
      <c r="U74" s="515">
        <f t="shared" ref="U74:X74" si="117">U56+U38</f>
        <v>0</v>
      </c>
      <c r="V74" s="515">
        <f t="shared" si="117"/>
        <v>0</v>
      </c>
      <c r="W74" s="515">
        <f t="shared" si="117"/>
        <v>0</v>
      </c>
      <c r="X74" s="515">
        <f t="shared" si="117"/>
        <v>0</v>
      </c>
      <c r="Y74" s="516">
        <f t="shared" si="116"/>
        <v>0</v>
      </c>
      <c r="Z74" s="515">
        <f t="shared" si="116"/>
        <v>0</v>
      </c>
      <c r="AA74" s="515">
        <f t="shared" si="116"/>
        <v>0</v>
      </c>
      <c r="AB74" s="515">
        <f t="shared" si="116"/>
        <v>0</v>
      </c>
      <c r="AC74" s="515">
        <f t="shared" si="116"/>
        <v>0</v>
      </c>
      <c r="AD74" s="516">
        <f t="shared" si="116"/>
        <v>0</v>
      </c>
      <c r="AE74" s="516">
        <f t="shared" si="116"/>
        <v>0</v>
      </c>
      <c r="AF74" s="516">
        <f t="shared" si="116"/>
        <v>0</v>
      </c>
      <c r="AG74" s="516">
        <f t="shared" si="116"/>
        <v>0</v>
      </c>
    </row>
    <row r="75" ht="15.75" customHeight="1" hidden="1" spans="1: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0</v>
      </c>
      <c r="V75" s="515">
        <f t="shared" si="119"/>
        <v>0</v>
      </c>
      <c r="W75" s="515">
        <f t="shared" si="119"/>
        <v>0</v>
      </c>
      <c r="X75" s="515">
        <f t="shared" si="119"/>
        <v>0</v>
      </c>
      <c r="Y75" s="516">
        <f t="shared" si="118"/>
        <v>0</v>
      </c>
      <c r="Z75" s="515">
        <f t="shared" si="118"/>
        <v>0</v>
      </c>
      <c r="AA75" s="515">
        <f t="shared" si="118"/>
        <v>0</v>
      </c>
      <c r="AB75" s="515">
        <f t="shared" si="118"/>
        <v>0</v>
      </c>
      <c r="AC75" s="515">
        <f t="shared" si="118"/>
        <v>0</v>
      </c>
      <c r="AD75" s="516">
        <f t="shared" si="118"/>
        <v>0</v>
      </c>
      <c r="AE75" s="516">
        <f t="shared" si="118"/>
        <v>0</v>
      </c>
      <c r="AF75" s="516">
        <f t="shared" si="118"/>
        <v>0</v>
      </c>
      <c r="AG75" s="516">
        <f t="shared" si="118"/>
        <v>0</v>
      </c>
    </row>
    <row r="76" ht="15.75" customHeight="1" spans="1: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1:33" x14ac:dyDescent="0.25">
      <c r="C77" s="8" t="s">
        <v>449</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1:33" x14ac:dyDescent="0.25">
      <c r="C78" s="130" t="str">
        <f t="shared" ref="C78:C83" si="120">C16</f>
        <v>Investment Banking</v>
      </c>
      <c r="D78" s="8"/>
      <c r="E78" s="8"/>
      <c r="F78" s="383">
        <f t="shared" ref="F78:AG78" si="121">IFERROR(F70/F$69,"N/A")</f>
        <v>0.530373831775701</v>
      </c>
      <c r="G78" s="383">
        <f t="shared" si="121"/>
        <v>0.7379518072289156</v>
      </c>
      <c r="H78" s="383">
        <f t="shared" si="121"/>
        <v>0.8231884057971014</v>
      </c>
      <c r="I78" s="383">
        <f t="shared" si="121"/>
        <v>0.5354330708661418</v>
      </c>
      <c r="J78" s="384">
        <f t="shared" si="121"/>
        <v>0.6234600964113551</v>
      </c>
      <c r="K78" s="383">
        <f t="shared" si="121"/>
        <v>1.0353200883002207</v>
      </c>
      <c r="L78" s="383">
        <f t="shared" si="121"/>
        <v>1.0770975056689343</v>
      </c>
      <c r="M78" s="383">
        <f t="shared" si="121"/>
        <v>1.082324455205811</v>
      </c>
      <c r="N78" s="383">
        <f t="shared" si="121"/>
        <v>0.47562097516099355</v>
      </c>
      <c r="O78" s="384">
        <f t="shared" si="121"/>
        <v>0.7969924812030075</v>
      </c>
      <c r="P78" s="383">
        <f t="shared" si="121"/>
        <v>1.034934497816594</v>
      </c>
      <c r="Q78" s="383">
        <f t="shared" si="121"/>
        <v>1.0758928571428572</v>
      </c>
      <c r="R78" s="383">
        <f t="shared" si="121"/>
        <v>1.081145584725537</v>
      </c>
      <c r="S78" s="383">
        <f t="shared" si="121"/>
        <v>0.4286422200198216</v>
      </c>
      <c r="T78" s="384">
        <f t="shared" si="121"/>
        <v>0.7603123274706206</v>
      </c>
      <c r="U78" s="385">
        <f t="shared" ref="U78:X78" si="122">IFERROR(U70/U$69,"N/A")</f>
        <v>0.9875462561305509</v>
      </c>
      <c r="V78" s="385">
        <f t="shared" si="122"/>
        <v>0.9910146627457168</v>
      </c>
      <c r="W78" s="385">
        <f t="shared" si="122"/>
        <v>0.9935931381533889</v>
      </c>
      <c r="X78" s="385">
        <f t="shared" si="122"/>
        <v>0.991745380458886</v>
      </c>
      <c r="Y78" s="384">
        <f t="shared" si="121"/>
        <v>0.9911344993020401</v>
      </c>
      <c r="Z78" s="385">
        <f t="shared" si="121"/>
        <v>0.9923470017881431</v>
      </c>
      <c r="AA78" s="385">
        <f t="shared" si="121"/>
        <v>0.9923131187712106</v>
      </c>
      <c r="AB78" s="385">
        <f t="shared" si="121"/>
        <v>0.9937471980914445</v>
      </c>
      <c r="AC78" s="385">
        <f t="shared" si="121"/>
        <v>0.993185720436186</v>
      </c>
      <c r="AD78" s="384">
        <f t="shared" si="121"/>
        <v>0.992941113356998</v>
      </c>
      <c r="AE78" s="384">
        <f t="shared" si="121"/>
        <v>0.9944613471472373</v>
      </c>
      <c r="AF78" s="384">
        <f t="shared" si="121"/>
        <v>0.995505244265156</v>
      </c>
      <c r="AG78" s="384">
        <f t="shared" si="121"/>
        <v>0.9962568531651627</v>
      </c>
    </row>
    <row r="79" ht="15.75" customHeight="1" spans="1:33" x14ac:dyDescent="0.25">
      <c r="C79" s="130" t="str">
        <f t="shared" si="120"/>
        <v>Principal Transactions Revenue</v>
      </c>
      <c r="D79" s="8"/>
      <c r="E79" s="8"/>
      <c r="F79" s="383">
        <f t="shared" ref="F79:AG79" si="123">IFERROR(F71/F$69,"N/A")</f>
        <v>0.4696261682242991</v>
      </c>
      <c r="G79" s="383">
        <f t="shared" si="123"/>
        <v>0.2620481927710843</v>
      </c>
      <c r="H79" s="383">
        <f t="shared" si="123"/>
        <v>0.17681159420289855</v>
      </c>
      <c r="I79" s="383">
        <f t="shared" si="123"/>
        <v>0.08661417322834646</v>
      </c>
      <c r="J79" s="384">
        <f t="shared" si="123"/>
        <v>0.22228173540439208</v>
      </c>
      <c r="K79" s="383">
        <f t="shared" si="123"/>
        <v>-0.03532008830022075</v>
      </c>
      <c r="L79" s="383">
        <f t="shared" si="123"/>
        <v>-0.07709750566893424</v>
      </c>
      <c r="M79" s="383">
        <f t="shared" si="123"/>
        <v>-0.08232445520581114</v>
      </c>
      <c r="N79" s="383">
        <f t="shared" si="123"/>
        <v>-0.006439742410303588</v>
      </c>
      <c r="O79" s="384">
        <f t="shared" si="123"/>
        <v>-0.038011695906432746</v>
      </c>
      <c r="P79" s="383">
        <f t="shared" si="123"/>
        <v>-0.034934497816593885</v>
      </c>
      <c r="Q79" s="383">
        <f t="shared" si="123"/>
        <v>-0.07589285714285714</v>
      </c>
      <c r="R79" s="383">
        <f t="shared" si="123"/>
        <v>-0.081145584725537</v>
      </c>
      <c r="S79" s="383">
        <f t="shared" si="123"/>
        <v>0.06921043937892303</v>
      </c>
      <c r="T79" s="384">
        <f t="shared" si="123"/>
        <v>-0.00007887057338906966</v>
      </c>
      <c r="U79" s="385">
        <f t="shared" ref="U79:X79" si="124">IFERROR(U71/U$69,"N/A")</f>
        <v>0.012453743869449155</v>
      </c>
      <c r="V79" s="385">
        <f t="shared" si="124"/>
        <v>0.008985337254283226</v>
      </c>
      <c r="W79" s="385">
        <f t="shared" si="124"/>
        <v>0.006406861846611009</v>
      </c>
      <c r="X79" s="385">
        <f t="shared" si="124"/>
        <v>0.008254619541113839</v>
      </c>
      <c r="Y79" s="384">
        <f t="shared" si="123"/>
        <v>0.008865500697959997</v>
      </c>
      <c r="Z79" s="385">
        <f t="shared" si="123"/>
        <v>0.00765299821185691</v>
      </c>
      <c r="AA79" s="385">
        <f t="shared" si="123"/>
        <v>0.007686881228789275</v>
      </c>
      <c r="AB79" s="385">
        <f t="shared" si="123"/>
        <v>0.006252801908555432</v>
      </c>
      <c r="AC79" s="385">
        <f t="shared" si="123"/>
        <v>0.006814279563813931</v>
      </c>
      <c r="AD79" s="384">
        <f t="shared" si="123"/>
        <v>0.00705888664300185</v>
      </c>
      <c r="AE79" s="384">
        <f t="shared" si="123"/>
        <v>0.0055386528527626745</v>
      </c>
      <c r="AF79" s="384">
        <f t="shared" si="123"/>
        <v>0.004494755734844064</v>
      </c>
      <c r="AG79" s="384">
        <f t="shared" si="123"/>
        <v>0.003743146834837312</v>
      </c>
    </row>
    <row r="80" ht="15.75" customHeight="1" hidden="1" spans="1:33" x14ac:dyDescent="0.25" outlineLevel="1">
      <c r="C80" s="130">
        <f t="shared" si="120"/>
        <v>0</v>
      </c>
      <c r="D80" s="8"/>
      <c r="E80" s="8"/>
      <c r="F80" s="383">
        <f t="shared" ref="F80:AG80" si="125">IFERROR(F72/F$69,"N/A")</f>
        <v>0</v>
      </c>
      <c r="G80" s="383">
        <f t="shared" si="125"/>
        <v>0</v>
      </c>
      <c r="H80" s="383">
        <f t="shared" si="125"/>
        <v>0</v>
      </c>
      <c r="I80" s="383">
        <f t="shared" si="125"/>
        <v>0.37270341207349084</v>
      </c>
      <c r="J80" s="384">
        <f t="shared" si="125"/>
        <v>0.1521156936261382</v>
      </c>
      <c r="K80" s="383">
        <f t="shared" si="125"/>
        <v>0</v>
      </c>
      <c r="L80" s="383">
        <f t="shared" si="125"/>
        <v>0</v>
      </c>
      <c r="M80" s="383">
        <f t="shared" si="125"/>
        <v>0</v>
      </c>
      <c r="N80" s="383">
        <f t="shared" si="125"/>
        <v>0.35510579576816925</v>
      </c>
      <c r="O80" s="384">
        <f t="shared" si="125"/>
        <v>0.16123642439431912</v>
      </c>
      <c r="P80" s="383">
        <f t="shared" si="125"/>
        <v>0</v>
      </c>
      <c r="Q80" s="383">
        <f t="shared" si="125"/>
        <v>0</v>
      </c>
      <c r="R80" s="383">
        <f t="shared" si="125"/>
        <v>0</v>
      </c>
      <c r="S80" s="383">
        <f t="shared" si="125"/>
        <v>0.28989098116947476</v>
      </c>
      <c r="T80" s="384">
        <f t="shared" si="125"/>
        <v>0.13841785629781528</v>
      </c>
      <c r="U80" s="385">
        <f t="shared" ref="U80:X80" si="126">IFERROR(U72/U$69,"N/A")</f>
        <v>0</v>
      </c>
      <c r="V80" s="385">
        <f t="shared" si="126"/>
        <v>0</v>
      </c>
      <c r="W80" s="385">
        <f t="shared" si="126"/>
        <v>0</v>
      </c>
      <c r="X80" s="385">
        <f t="shared" si="126"/>
        <v>0</v>
      </c>
      <c r="Y80" s="384">
        <f t="shared" si="125"/>
        <v>0</v>
      </c>
      <c r="Z80" s="385">
        <f t="shared" si="125"/>
        <v>0</v>
      </c>
      <c r="AA80" s="385">
        <f t="shared" si="125"/>
        <v>0</v>
      </c>
      <c r="AB80" s="385">
        <f t="shared" si="125"/>
        <v>0</v>
      </c>
      <c r="AC80" s="385">
        <f t="shared" si="125"/>
        <v>0</v>
      </c>
      <c r="AD80" s="384">
        <f t="shared" si="125"/>
        <v>0</v>
      </c>
      <c r="AE80" s="384">
        <f t="shared" si="125"/>
        <v>0</v>
      </c>
      <c r="AF80" s="384">
        <f t="shared" si="125"/>
        <v>0</v>
      </c>
      <c r="AG80" s="384">
        <f t="shared" si="125"/>
        <v>0</v>
      </c>
    </row>
    <row r="81" ht="15.75" customHeight="1" hidden="1" spans="1:33" x14ac:dyDescent="0.25" outlineLevel="1">
      <c r="C81" s="130">
        <f t="shared" si="120"/>
        <v>0</v>
      </c>
      <c r="D81" s="8"/>
      <c r="E81" s="8"/>
      <c r="F81" s="383">
        <f t="shared" ref="F81:AG81" si="127">IFERROR(F73/F$69,"N/A")</f>
        <v>0</v>
      </c>
      <c r="G81" s="383">
        <f t="shared" si="127"/>
        <v>0</v>
      </c>
      <c r="H81" s="383">
        <f t="shared" si="127"/>
        <v>0</v>
      </c>
      <c r="I81" s="383">
        <f t="shared" si="127"/>
        <v>0.2572178477690289</v>
      </c>
      <c r="J81" s="384">
        <f t="shared" si="127"/>
        <v>0.1049812533476165</v>
      </c>
      <c r="K81" s="383">
        <f t="shared" si="127"/>
        <v>0</v>
      </c>
      <c r="L81" s="383">
        <f t="shared" si="127"/>
        <v>0</v>
      </c>
      <c r="M81" s="383">
        <f t="shared" si="127"/>
        <v>0</v>
      </c>
      <c r="N81" s="383">
        <f t="shared" si="127"/>
        <v>0.3514259429622815</v>
      </c>
      <c r="O81" s="384">
        <f t="shared" si="127"/>
        <v>0.1595655806182122</v>
      </c>
      <c r="P81" s="383">
        <f t="shared" si="127"/>
        <v>0</v>
      </c>
      <c r="Q81" s="383">
        <f t="shared" si="127"/>
        <v>0</v>
      </c>
      <c r="R81" s="383">
        <f t="shared" si="127"/>
        <v>0</v>
      </c>
      <c r="S81" s="383">
        <f t="shared" si="127"/>
        <v>0.30640898579451603</v>
      </c>
      <c r="T81" s="384">
        <f t="shared" si="127"/>
        <v>0.14630491363672213</v>
      </c>
      <c r="U81" s="385">
        <f t="shared" ref="U81:X81" si="128">IFERROR(U73/U$69,"N/A")</f>
        <v>0</v>
      </c>
      <c r="V81" s="385">
        <f t="shared" si="128"/>
        <v>0</v>
      </c>
      <c r="W81" s="385">
        <f t="shared" si="128"/>
        <v>0</v>
      </c>
      <c r="X81" s="385">
        <f t="shared" si="128"/>
        <v>0</v>
      </c>
      <c r="Y81" s="384">
        <f t="shared" si="127"/>
        <v>0</v>
      </c>
      <c r="Z81" s="385">
        <f t="shared" si="127"/>
        <v>0</v>
      </c>
      <c r="AA81" s="385">
        <f t="shared" si="127"/>
        <v>0</v>
      </c>
      <c r="AB81" s="385">
        <f t="shared" si="127"/>
        <v>0</v>
      </c>
      <c r="AC81" s="385">
        <f t="shared" si="127"/>
        <v>0</v>
      </c>
      <c r="AD81" s="384">
        <f t="shared" si="127"/>
        <v>0</v>
      </c>
      <c r="AE81" s="384">
        <f t="shared" si="127"/>
        <v>0</v>
      </c>
      <c r="AF81" s="384">
        <f t="shared" si="127"/>
        <v>0</v>
      </c>
      <c r="AG81" s="384">
        <f t="shared" si="127"/>
        <v>0</v>
      </c>
    </row>
    <row r="82" ht="15.75" customHeight="1" hidden="1" spans="1:33" x14ac:dyDescent="0.25" outlineLevel="1">
      <c r="C82" s="130">
        <f t="shared" si="120"/>
        <v>0</v>
      </c>
      <c r="D82" s="8"/>
      <c r="E82" s="8"/>
      <c r="F82" s="383">
        <f t="shared" ref="F82:AG82" si="129">IFERROR(F74/F$69,"N/A")</f>
        <v>0</v>
      </c>
      <c r="G82" s="383">
        <f t="shared" si="129"/>
        <v>0</v>
      </c>
      <c r="H82" s="383">
        <f t="shared" si="129"/>
        <v>0</v>
      </c>
      <c r="I82" s="383">
        <f t="shared" si="129"/>
        <v>-0.25196850393700787</v>
      </c>
      <c r="J82" s="384">
        <f t="shared" si="129"/>
        <v>-0.10283877878950187</v>
      </c>
      <c r="K82" s="383">
        <f t="shared" si="129"/>
        <v>0</v>
      </c>
      <c r="L82" s="383">
        <f t="shared" si="129"/>
        <v>0</v>
      </c>
      <c r="M82" s="383">
        <f t="shared" si="129"/>
        <v>0</v>
      </c>
      <c r="N82" s="383">
        <f t="shared" si="129"/>
        <v>-0.17571297148114076</v>
      </c>
      <c r="O82" s="384">
        <f t="shared" si="129"/>
        <v>-0.0797827903091061</v>
      </c>
      <c r="P82" s="383">
        <f t="shared" si="129"/>
        <v>0</v>
      </c>
      <c r="Q82" s="383">
        <f t="shared" si="129"/>
        <v>0</v>
      </c>
      <c r="R82" s="383">
        <f t="shared" si="129"/>
        <v>0</v>
      </c>
      <c r="S82" s="383">
        <f t="shared" si="129"/>
        <v>-0.09415262636273539</v>
      </c>
      <c r="T82" s="384">
        <f t="shared" si="129"/>
        <v>-0.044956226831769065</v>
      </c>
      <c r="U82" s="385">
        <f t="shared" ref="U82:X82" si="130">IFERROR(U74/U$69,"N/A")</f>
        <v>0</v>
      </c>
      <c r="V82" s="385">
        <f t="shared" si="130"/>
        <v>0</v>
      </c>
      <c r="W82" s="385">
        <f t="shared" si="130"/>
        <v>0</v>
      </c>
      <c r="X82" s="385">
        <f t="shared" si="130"/>
        <v>0</v>
      </c>
      <c r="Y82" s="384">
        <f t="shared" si="129"/>
        <v>0</v>
      </c>
      <c r="Z82" s="385">
        <f t="shared" si="129"/>
        <v>0</v>
      </c>
      <c r="AA82" s="385">
        <f t="shared" si="129"/>
        <v>0</v>
      </c>
      <c r="AB82" s="385">
        <f t="shared" si="129"/>
        <v>0</v>
      </c>
      <c r="AC82" s="385">
        <f t="shared" si="129"/>
        <v>0</v>
      </c>
      <c r="AD82" s="384">
        <f t="shared" si="129"/>
        <v>0</v>
      </c>
      <c r="AE82" s="384">
        <f t="shared" si="129"/>
        <v>0</v>
      </c>
      <c r="AF82" s="384">
        <f t="shared" si="129"/>
        <v>0</v>
      </c>
      <c r="AG82" s="384">
        <f t="shared" si="129"/>
        <v>0</v>
      </c>
    </row>
    <row r="83" ht="15.75" customHeight="1" hidden="1" spans="1: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v>
      </c>
      <c r="V83" s="385">
        <f t="shared" si="132"/>
        <v>0</v>
      </c>
      <c r="W83" s="385">
        <f t="shared" si="132"/>
        <v>0</v>
      </c>
      <c r="X83" s="385">
        <f t="shared" si="132"/>
        <v>0</v>
      </c>
      <c r="Y83" s="384">
        <f t="shared" si="131"/>
        <v>0</v>
      </c>
      <c r="Z83" s="385">
        <f t="shared" si="131"/>
        <v>0</v>
      </c>
      <c r="AA83" s="385">
        <f t="shared" si="131"/>
        <v>0</v>
      </c>
      <c r="AB83" s="385">
        <f t="shared" si="131"/>
        <v>0</v>
      </c>
      <c r="AC83" s="385">
        <f t="shared" si="131"/>
        <v>0</v>
      </c>
      <c r="AD83" s="384">
        <f t="shared" si="131"/>
        <v>0</v>
      </c>
      <c r="AE83" s="384">
        <f t="shared" si="131"/>
        <v>0</v>
      </c>
      <c r="AF83" s="384">
        <f t="shared" si="131"/>
        <v>0</v>
      </c>
      <c r="AG83" s="384">
        <f t="shared" si="131"/>
        <v>0</v>
      </c>
    </row>
    <row r="84" ht="15.75" customHeight="1" spans="1: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1: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1:33" x14ac:dyDescent="0.25">
      <c r="C86" s="36" t="s">
        <v>450</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1: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1: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1:33" x14ac:dyDescent="0.25" outlineLevel="1">
      <c r="C89" s="496" t="s">
        <v>451</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1:33" x14ac:dyDescent="0.25" outlineLevel="1">
      <c r="C90" s="496" t="s">
        <v>452</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1:33" x14ac:dyDescent="0.25" outlineLevel="1">
      <c r="C91" s="496" t="s">
        <v>453</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1:33" x14ac:dyDescent="0.25" outlineLevel="1">
      <c r="C92" s="496" t="s">
        <v>454</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1:33" x14ac:dyDescent="0.25" outlineLevel="1">
      <c r="C93" s="496" t="s">
        <v>455</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1: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1:33" x14ac:dyDescent="0.25" outlineLevel="1">
      <c r="C95" s="8" t="s">
        <v>435</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1: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1: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1: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1: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1: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1: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1: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1: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1: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1: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1: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1: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1: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1: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1: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1: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1: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1: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1: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1: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1: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1: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1: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1: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1: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1: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1: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1: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1: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1: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1: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1: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1: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1: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1: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1: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1: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1: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1: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1: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1: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1: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1: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1: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1: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1: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1: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1: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1:33" x14ac:dyDescent="0.25">
      <c r="C144" s="36" t="s">
        <v>456</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1: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1:33" x14ac:dyDescent="0.25" outlineLevel="1">
      <c r="C146" s="8" t="s">
        <v>110</v>
      </c>
      <c r="D146" s="8"/>
      <c r="E146" s="8"/>
      <c r="F146" s="383">
        <f>IFERROR(Model!F61/Model!F28,"N/A")</f>
        <v>0.10985364155097267</v>
      </c>
      <c r="G146" s="383">
        <f>IFERROR(Model!G61/Model!G28,"N/A")</f>
        <v>0.02724252411215318</v>
      </c>
      <c r="H146" s="383">
        <f>IFERROR(Model!H61/Model!H28,"N/A")</f>
        <v>0.055984453825981675</v>
      </c>
      <c r="I146" s="383">
        <f>IFERROR(Model!I61/Model!I28,"N/A")</f>
        <v>0.036084401302389026</v>
      </c>
      <c r="J146" s="384">
        <f>IFERROR(Model!J61/Model!J28,"N/A")</f>
        <v>0.05723158876444964</v>
      </c>
      <c r="K146" s="383">
        <f>IFERROR(Model!K61/Model!K28,"N/A")</f>
        <v>0.09748030878952939</v>
      </c>
      <c r="L146" s="383">
        <f>IFERROR(Model!L61/Model!L28,"N/A")</f>
        <v>0.10679588113964147</v>
      </c>
      <c r="M146" s="383">
        <f>IFERROR(Model!M61/Model!M28,"N/A")</f>
        <v>0.11212068673231924</v>
      </c>
      <c r="N146" s="383">
        <f>IFERROR(Model!N61/Model!N28,"N/A")</f>
        <v>0.10412809723022505</v>
      </c>
      <c r="O146" s="384">
        <f>IFERROR(Model!O61/Model!O28,"N/A")</f>
        <v>0.10512598633446915</v>
      </c>
      <c r="P146" s="383">
        <f>IFERROR(Model!P61/Model!P28,"N/A")</f>
        <v>0.069958153784438</v>
      </c>
      <c r="Q146" s="383">
        <f>IFERROR(Model!Q61/Model!Q28,"N/A")</f>
        <v>0.07367794364384622</v>
      </c>
      <c r="R146" s="383">
        <f>IFERROR(Model!R61/Model!R28,"N/A")</f>
        <v>0.12605505293922237</v>
      </c>
      <c r="S146" s="383">
        <f>IFERROR(Model!S61/Model!S28,"N/A")</f>
        <v>0.07855300960654107</v>
      </c>
      <c r="T146" s="384">
        <f>IFERROR(Model!T61/Model!T28,"N/A")</f>
        <v>0.08822685673269814</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1: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1: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1: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1: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1: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1: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1: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1:33" x14ac:dyDescent="0.25">
      <c r="C154" s="8" t="s">
        <v>111</v>
      </c>
      <c r="D154" s="8"/>
      <c r="E154" s="8"/>
      <c r="F154" s="383">
        <f>IFERROR(Model!F36/Model!F28,"N/A")</f>
        <v>0.08874399065462546</v>
      </c>
      <c r="G154" s="383">
        <f>IFERROR(Model!G36/Model!G28,"N/A")</f>
        <v>0.010888167815498905</v>
      </c>
      <c r="H154" s="383">
        <f>IFERROR(Model!H36/Model!H28,"N/A")</f>
        <v>0.04460999329703545</v>
      </c>
      <c r="I154" s="383">
        <f>IFERROR(Model!I36/Model!I28,"N/A")</f>
        <v>0.023345473385855697</v>
      </c>
      <c r="J154" s="384">
        <f>IFERROR(Model!J36/Model!J28,"N/A")</f>
        <v>0.04206168748269814</v>
      </c>
      <c r="K154" s="383">
        <f>IFERROR(Model!K36/Model!K28,"N/A")</f>
        <v>0.08628864767428192</v>
      </c>
      <c r="L154" s="383">
        <f>IFERROR(Model!L36/Model!L28,"N/A")</f>
        <v>0.09048775350425045</v>
      </c>
      <c r="M154" s="383">
        <f>IFERROR(Model!M36/Model!M28,"N/A")</f>
        <v>0.09731456223896927</v>
      </c>
      <c r="N154" s="383">
        <f>IFERROR(Model!N36/Model!N28,"N/A")</f>
        <v>0.08908667457606799</v>
      </c>
      <c r="O154" s="384">
        <f>IFERROR(Model!O36/Model!O28,"N/A")</f>
        <v>0.09077382183607166</v>
      </c>
      <c r="P154" s="383">
        <f>IFERROR(Model!P36/Model!P28,"N/A")</f>
        <v>0.06108908536822101</v>
      </c>
      <c r="Q154" s="383">
        <f>IFERROR(Model!Q36/Model!Q28,"N/A")</f>
        <v>0.054083385618897487</v>
      </c>
      <c r="R154" s="383">
        <f>IFERROR(Model!R36/Model!R28,"N/A")</f>
        <v>0.11411698835564113</v>
      </c>
      <c r="S154" s="383">
        <f>IFERROR(Model!S36/Model!S28,"N/A")</f>
        <v>0.06799490237464116</v>
      </c>
      <c r="T154" s="384">
        <f>IFERROR(Model!T36/Model!T28,"N/A")</f>
        <v>0.07560147997764531</v>
      </c>
      <c r="U154" s="385">
        <f>IFERROR(Model!U36/Model!U28,"N/A")</f>
        <v>0.10666372457673631</v>
      </c>
      <c r="V154" s="385">
        <f>IFERROR(Model!V36/Model!V28,"N/A")</f>
        <v>0.10862483177767505</v>
      </c>
      <c r="W154" s="385">
        <f>IFERROR(Model!W36/Model!W28,"N/A")</f>
        <v>0.11148965797683752</v>
      </c>
      <c r="X154" s="385">
        <f>IFERROR(Model!X36/Model!X28,"N/A")</f>
        <v>0.11057490364853373</v>
      </c>
      <c r="Y154" s="384">
        <f>IFERROR(Model!Y36/Model!Y28,"N/A")</f>
        <v>0.10947025643842354</v>
      </c>
      <c r="Z154" s="385">
        <f>IFERROR(Model!Z36/Model!Z28,"N/A")</f>
        <v>0.10961445045529179</v>
      </c>
      <c r="AA154" s="385">
        <f>IFERROR(Model!AA36/Model!AA28,"N/A")</f>
        <v>0.11764400876162309</v>
      </c>
      <c r="AB154" s="385">
        <f>IFERROR(Model!AB36/Model!AB28,"N/A")</f>
        <v>0.13840739175336508</v>
      </c>
      <c r="AC154" s="385">
        <f>IFERROR(Model!AC36/Model!AC28,"N/A")</f>
        <v>0.1476298586201472</v>
      </c>
      <c r="AD154" s="384">
        <f>IFERROR(Model!AD36/Model!AD28,"N/A")</f>
        <v>0.12942473128564158</v>
      </c>
      <c r="AE154" s="384">
        <f>IFERROR(Model!AE36/Model!AE28,"N/A")</f>
        <v>0.14776532783058288</v>
      </c>
      <c r="AF154" s="384">
        <f>IFERROR(Model!AF36/Model!AF28,"N/A")</f>
        <v>0.14889891429572838</v>
      </c>
      <c r="AG154" s="384">
        <f>IFERROR(Model!AG36/Model!AG28,"N/A")</f>
        <v>0.14060491450445475</v>
      </c>
    </row>
    <row r="155" ht="15.75" customHeight="1" spans="1: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1: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1:33" x14ac:dyDescent="0.25" outlineLevel="2" collapsed="1">
      <c r="C157" s="8">
        <f t="shared" si="185"/>
        <v>0</v>
      </c>
      <c r="D157" s="8"/>
      <c r="E157" s="8"/>
      <c r="F157" s="383" t="str">
        <f t="shared" ref="F157:AG157" si="190">IFERROR(F36/F10,"N/A")</f>
        <v>N/A</v>
      </c>
      <c r="G157" s="383" t="str">
        <f t="shared" si="190"/>
        <v>N/A</v>
      </c>
      <c r="H157" s="383" t="str">
        <f t="shared" si="190"/>
        <v>N/A</v>
      </c>
      <c r="I157" s="383" t="str">
        <f t="shared" si="190"/>
        <v>N/A</v>
      </c>
      <c r="J157" s="384" t="str">
        <f t="shared" si="190"/>
        <v>N/A</v>
      </c>
      <c r="K157" s="383" t="str">
        <f t="shared" si="190"/>
        <v>N/A</v>
      </c>
      <c r="L157" s="383" t="str">
        <f t="shared" si="190"/>
        <v>N/A</v>
      </c>
      <c r="M157" s="383" t="str">
        <f t="shared" si="190"/>
        <v>N/A</v>
      </c>
      <c r="N157" s="383" t="str">
        <f t="shared" si="190"/>
        <v>N/A</v>
      </c>
      <c r="O157" s="384" t="str">
        <f t="shared" si="190"/>
        <v>N/A</v>
      </c>
      <c r="P157" s="383" t="str">
        <f t="shared" si="190"/>
        <v>N/A</v>
      </c>
      <c r="Q157" s="383" t="str">
        <f t="shared" si="190"/>
        <v>N/A</v>
      </c>
      <c r="R157" s="383" t="str">
        <f t="shared" si="190"/>
        <v>N/A</v>
      </c>
      <c r="S157" s="383" t="str">
        <f t="shared" si="190"/>
        <v>N/A</v>
      </c>
      <c r="T157" s="384" t="str">
        <f t="shared" si="190"/>
        <v>N/A</v>
      </c>
      <c r="U157" s="385" t="str">
        <f t="shared" ref="U157:X157" si="191">IFERROR(U36/U10,"N/A")</f>
        <v>N/A</v>
      </c>
      <c r="V157" s="385" t="str">
        <f t="shared" si="191"/>
        <v>N/A</v>
      </c>
      <c r="W157" s="385" t="str">
        <f t="shared" si="191"/>
        <v>N/A</v>
      </c>
      <c r="X157" s="385" t="str">
        <f t="shared" si="191"/>
        <v>N/A</v>
      </c>
      <c r="Y157" s="384" t="str">
        <f t="shared" si="190"/>
        <v>N/A</v>
      </c>
      <c r="Z157" s="385" t="str">
        <f t="shared" si="190"/>
        <v>N/A</v>
      </c>
      <c r="AA157" s="385" t="str">
        <f t="shared" si="190"/>
        <v>N/A</v>
      </c>
      <c r="AB157" s="385" t="str">
        <f t="shared" si="190"/>
        <v>N/A</v>
      </c>
      <c r="AC157" s="385" t="str">
        <f t="shared" si="190"/>
        <v>N/A</v>
      </c>
      <c r="AD157" s="384" t="str">
        <f t="shared" si="190"/>
        <v>N/A</v>
      </c>
      <c r="AE157" s="384" t="str">
        <f t="shared" si="190"/>
        <v>N/A</v>
      </c>
      <c r="AF157" s="384" t="str">
        <f t="shared" si="190"/>
        <v>N/A</v>
      </c>
      <c r="AG157" s="384" t="str">
        <f t="shared" si="190"/>
        <v>N/A</v>
      </c>
    </row>
    <row r="158" ht="15.75" customHeight="1" hidden="1" spans="1:33" x14ac:dyDescent="0.25" outlineLevel="2" collapsed="1">
      <c r="C158" s="8">
        <f t="shared" si="185"/>
        <v>0</v>
      </c>
      <c r="D158" s="8"/>
      <c r="E158" s="8"/>
      <c r="F158" s="383" t="str">
        <f t="shared" ref="F158:AG158" si="192">IFERROR(F37/F11,"N/A")</f>
        <v>N/A</v>
      </c>
      <c r="G158" s="383" t="str">
        <f t="shared" si="192"/>
        <v>N/A</v>
      </c>
      <c r="H158" s="383" t="str">
        <f t="shared" si="192"/>
        <v>N/A</v>
      </c>
      <c r="I158" s="383" t="str">
        <f t="shared" si="192"/>
        <v>N/A</v>
      </c>
      <c r="J158" s="384" t="str">
        <f t="shared" si="192"/>
        <v>N/A</v>
      </c>
      <c r="K158" s="383" t="str">
        <f t="shared" si="192"/>
        <v>N/A</v>
      </c>
      <c r="L158" s="383" t="str">
        <f t="shared" si="192"/>
        <v>N/A</v>
      </c>
      <c r="M158" s="383" t="str">
        <f t="shared" si="192"/>
        <v>N/A</v>
      </c>
      <c r="N158" s="383" t="str">
        <f t="shared" si="192"/>
        <v>N/A</v>
      </c>
      <c r="O158" s="384" t="str">
        <f t="shared" si="192"/>
        <v>N/A</v>
      </c>
      <c r="P158" s="383" t="str">
        <f t="shared" si="192"/>
        <v>N/A</v>
      </c>
      <c r="Q158" s="383" t="str">
        <f t="shared" si="192"/>
        <v>N/A</v>
      </c>
      <c r="R158" s="383" t="str">
        <f t="shared" si="192"/>
        <v>N/A</v>
      </c>
      <c r="S158" s="383" t="str">
        <f t="shared" si="192"/>
        <v>N/A</v>
      </c>
      <c r="T158" s="384" t="str">
        <f t="shared" si="192"/>
        <v>N/A</v>
      </c>
      <c r="U158" s="385" t="str">
        <f t="shared" ref="U158:X158" si="193">IFERROR(U37/U11,"N/A")</f>
        <v>N/A</v>
      </c>
      <c r="V158" s="385" t="str">
        <f t="shared" si="193"/>
        <v>N/A</v>
      </c>
      <c r="W158" s="385" t="str">
        <f t="shared" si="193"/>
        <v>N/A</v>
      </c>
      <c r="X158" s="385" t="str">
        <f t="shared" si="193"/>
        <v>N/A</v>
      </c>
      <c r="Y158" s="384" t="str">
        <f t="shared" si="192"/>
        <v>N/A</v>
      </c>
      <c r="Z158" s="385" t="str">
        <f t="shared" si="192"/>
        <v>N/A</v>
      </c>
      <c r="AA158" s="385" t="str">
        <f t="shared" si="192"/>
        <v>N/A</v>
      </c>
      <c r="AB158" s="385" t="str">
        <f t="shared" si="192"/>
        <v>N/A</v>
      </c>
      <c r="AC158" s="385" t="str">
        <f t="shared" si="192"/>
        <v>N/A</v>
      </c>
      <c r="AD158" s="384" t="str">
        <f t="shared" si="192"/>
        <v>N/A</v>
      </c>
      <c r="AE158" s="384" t="str">
        <f t="shared" si="192"/>
        <v>N/A</v>
      </c>
      <c r="AF158" s="384" t="str">
        <f t="shared" si="192"/>
        <v>N/A</v>
      </c>
      <c r="AG158" s="384" t="str">
        <f t="shared" si="192"/>
        <v>N/A</v>
      </c>
    </row>
    <row r="159" ht="15.75" customHeight="1" hidden="1" spans="1:33" x14ac:dyDescent="0.25" outlineLevel="2" collapsed="1">
      <c r="C159" s="8">
        <f t="shared" si="185"/>
        <v>0</v>
      </c>
      <c r="D159" s="8"/>
      <c r="E159" s="8"/>
      <c r="F159" s="383" t="str">
        <f t="shared" ref="F159:AG159" si="194">IFERROR(F38/F12,"N/A")</f>
        <v>N/A</v>
      </c>
      <c r="G159" s="383" t="str">
        <f t="shared" si="194"/>
        <v>N/A</v>
      </c>
      <c r="H159" s="383" t="str">
        <f t="shared" si="194"/>
        <v>N/A</v>
      </c>
      <c r="I159" s="383" t="str">
        <f t="shared" si="194"/>
        <v>N/A</v>
      </c>
      <c r="J159" s="384" t="str">
        <f t="shared" si="194"/>
        <v>N/A</v>
      </c>
      <c r="K159" s="383" t="str">
        <f t="shared" si="194"/>
        <v>N/A</v>
      </c>
      <c r="L159" s="383" t="str">
        <f t="shared" si="194"/>
        <v>N/A</v>
      </c>
      <c r="M159" s="383" t="str">
        <f t="shared" si="194"/>
        <v>N/A</v>
      </c>
      <c r="N159" s="383" t="str">
        <f t="shared" si="194"/>
        <v>N/A</v>
      </c>
      <c r="O159" s="384" t="str">
        <f t="shared" si="194"/>
        <v>N/A</v>
      </c>
      <c r="P159" s="383" t="str">
        <f t="shared" si="194"/>
        <v>N/A</v>
      </c>
      <c r="Q159" s="383" t="str">
        <f t="shared" si="194"/>
        <v>N/A</v>
      </c>
      <c r="R159" s="383" t="str">
        <f t="shared" si="194"/>
        <v>N/A</v>
      </c>
      <c r="S159" s="383" t="str">
        <f t="shared" si="194"/>
        <v>N/A</v>
      </c>
      <c r="T159" s="384" t="str">
        <f t="shared" si="194"/>
        <v>N/A</v>
      </c>
      <c r="U159" s="385" t="str">
        <f t="shared" ref="U159:X159" si="195">IFERROR(U38/U12,"N/A")</f>
        <v>N/A</v>
      </c>
      <c r="V159" s="385" t="str">
        <f t="shared" si="195"/>
        <v>N/A</v>
      </c>
      <c r="W159" s="385" t="str">
        <f t="shared" si="195"/>
        <v>N/A</v>
      </c>
      <c r="X159" s="385" t="str">
        <f t="shared" si="195"/>
        <v>N/A</v>
      </c>
      <c r="Y159" s="384" t="str">
        <f t="shared" si="194"/>
        <v>N/A</v>
      </c>
      <c r="Z159" s="385" t="str">
        <f t="shared" si="194"/>
        <v>N/A</v>
      </c>
      <c r="AA159" s="385" t="str">
        <f t="shared" si="194"/>
        <v>N/A</v>
      </c>
      <c r="AB159" s="385" t="str">
        <f t="shared" si="194"/>
        <v>N/A</v>
      </c>
      <c r="AC159" s="385" t="str">
        <f t="shared" si="194"/>
        <v>N/A</v>
      </c>
      <c r="AD159" s="384" t="str">
        <f t="shared" si="194"/>
        <v>N/A</v>
      </c>
      <c r="AE159" s="384" t="str">
        <f t="shared" si="194"/>
        <v>N/A</v>
      </c>
      <c r="AF159" s="384" t="str">
        <f t="shared" si="194"/>
        <v>N/A</v>
      </c>
      <c r="AG159" s="384" t="str">
        <f t="shared" si="194"/>
        <v>N/A</v>
      </c>
    </row>
    <row r="160" ht="15.75" customHeight="1" hidden="1" spans="1:33" x14ac:dyDescent="0.25" outlineLevel="2" collapsed="1">
      <c r="C160" s="8">
        <f t="shared" si="185"/>
        <v>0</v>
      </c>
      <c r="D160" s="8"/>
      <c r="E160" s="8"/>
      <c r="F160" s="383" t="str">
        <f t="shared" ref="F160:AG160" si="196">IFERROR(F39/F13,"N/A")</f>
        <v>N/A</v>
      </c>
      <c r="G160" s="383" t="str">
        <f t="shared" si="196"/>
        <v>N/A</v>
      </c>
      <c r="H160" s="383" t="str">
        <f t="shared" si="196"/>
        <v>N/A</v>
      </c>
      <c r="I160" s="383" t="str">
        <f t="shared" si="196"/>
        <v>N/A</v>
      </c>
      <c r="J160" s="384" t="str">
        <f t="shared" si="196"/>
        <v>N/A</v>
      </c>
      <c r="K160" s="383" t="str">
        <f t="shared" si="196"/>
        <v>N/A</v>
      </c>
      <c r="L160" s="383" t="str">
        <f t="shared" si="196"/>
        <v>N/A</v>
      </c>
      <c r="M160" s="383" t="str">
        <f t="shared" si="196"/>
        <v>N/A</v>
      </c>
      <c r="N160" s="383" t="str">
        <f t="shared" si="196"/>
        <v>N/A</v>
      </c>
      <c r="O160" s="384" t="str">
        <f t="shared" si="196"/>
        <v>N/A</v>
      </c>
      <c r="P160" s="383" t="str">
        <f t="shared" si="196"/>
        <v>N/A</v>
      </c>
      <c r="Q160" s="383" t="str">
        <f t="shared" si="196"/>
        <v>N/A</v>
      </c>
      <c r="R160" s="383" t="str">
        <f t="shared" si="196"/>
        <v>N/A</v>
      </c>
      <c r="S160" s="383" t="str">
        <f t="shared" si="196"/>
        <v>N/A</v>
      </c>
      <c r="T160" s="384" t="str">
        <f t="shared" si="196"/>
        <v>N/A</v>
      </c>
      <c r="U160" s="385" t="str">
        <f t="shared" ref="U160:X160" si="197">IFERROR(U39/U13,"N/A")</f>
        <v>N/A</v>
      </c>
      <c r="V160" s="385" t="str">
        <f t="shared" si="197"/>
        <v>N/A</v>
      </c>
      <c r="W160" s="385" t="str">
        <f t="shared" si="197"/>
        <v>N/A</v>
      </c>
      <c r="X160" s="385" t="str">
        <f t="shared" si="197"/>
        <v>N/A</v>
      </c>
      <c r="Y160" s="384" t="str">
        <f t="shared" si="196"/>
        <v>N/A</v>
      </c>
      <c r="Z160" s="385" t="str">
        <f t="shared" si="196"/>
        <v>N/A</v>
      </c>
      <c r="AA160" s="385" t="str">
        <f t="shared" si="196"/>
        <v>N/A</v>
      </c>
      <c r="AB160" s="385" t="str">
        <f t="shared" si="196"/>
        <v>N/A</v>
      </c>
      <c r="AC160" s="385" t="str">
        <f t="shared" si="196"/>
        <v>N/A</v>
      </c>
      <c r="AD160" s="384" t="str">
        <f t="shared" si="196"/>
        <v>N/A</v>
      </c>
      <c r="AE160" s="384" t="str">
        <f t="shared" si="196"/>
        <v>N/A</v>
      </c>
      <c r="AF160" s="384" t="str">
        <f t="shared" si="196"/>
        <v>N/A</v>
      </c>
      <c r="AG160" s="384" t="str">
        <f t="shared" si="196"/>
        <v>N/A</v>
      </c>
    </row>
    <row r="161" ht="15.75" customHeight="1" spans="1: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1:33" x14ac:dyDescent="0.25" outlineLevel="1">
      <c r="C162" s="8" t="s">
        <v>457</v>
      </c>
      <c r="D162" s="8"/>
      <c r="E162" s="8"/>
      <c r="F162" s="314"/>
      <c r="G162" s="383">
        <f>IFERROR((Model!G36-Model!F36)/('Segment Analysis'!G7-'Segment Analysis'!F7),"N/A")</f>
        <v>1.08287322723828</v>
      </c>
      <c r="H162" s="383">
        <f>IFERROR((Model!H36-Model!G36)/('Segment Analysis'!H7-'Segment Analysis'!G7),"N/A")</f>
        <v>0.18751636100460423</v>
      </c>
      <c r="I162" s="383">
        <f>IFERROR((Model!I36-Model!H36)/('Segment Analysis'!I7-'Segment Analysis'!H7),"N/A")</f>
        <v>0.6244494307321541</v>
      </c>
      <c r="J162" s="384"/>
      <c r="K162" s="383">
        <f>IFERROR((Model!K36-Model!I36)/('Segment Analysis'!K7-'Segment Analysis'!I7),"N/A")</f>
        <v>0.29876030932254233</v>
      </c>
      <c r="L162" s="383">
        <f>IFERROR((Model!L36-Model!K36)/('Segment Analysis'!L7-'Segment Analysis'!K7),"N/A")</f>
        <v>-0.20992430613961427</v>
      </c>
      <c r="M162" s="383">
        <f>IFERROR((Model!M36-Model!L36)/('Segment Analysis'!M7-'Segment Analysis'!L7),"N/A")</f>
        <v>0.3140694006309132</v>
      </c>
      <c r="N162" s="383">
        <f>IFERROR((Model!N36-Model!M36)/('Segment Analysis'!N7-'Segment Analysis'!M7),"N/A")</f>
        <v>0.005660620597784564</v>
      </c>
      <c r="O162" s="384"/>
      <c r="P162" s="383">
        <f>IFERROR((Model!P36-Model!N36)/('Segment Analysis'!P7-'Segment Analysis'!N7),"N/A")</f>
        <v>0.2719581610956294</v>
      </c>
      <c r="Q162" s="383">
        <f>IFERROR((Model!Q36-Model!P36)/('Segment Analysis'!Q7-'Segment Analysis'!P7),"N/A")</f>
        <v>-0.7535313039019412</v>
      </c>
      <c r="R162" s="383">
        <f>IFERROR((Model!R36-Model!Q36)/('Segment Analysis'!R7-'Segment Analysis'!Q7),"N/A")</f>
        <v>0.4763752573428909</v>
      </c>
      <c r="S162" s="383">
        <f>IFERROR((Model!S36-Model!R36)/('Segment Analysis'!S7-'Segment Analysis'!R7),"N/A")</f>
        <v>-3.1910085054679778</v>
      </c>
      <c r="T162" s="384"/>
      <c r="U162" s="385">
        <f>IFERROR((Model!U36-Model!S36)/('Segment Analysis'!U7-'Segment Analysis'!S7),"N/A")</f>
        <v>-0.4469446945363752</v>
      </c>
      <c r="V162" s="385">
        <f>IFERROR((Model!V36-Model!U36)/('Segment Analysis'!V7-'Segment Analysis'!U7),"N/A")</f>
        <v>0.1959427853124585</v>
      </c>
      <c r="W162" s="385">
        <f>IFERROR((Model!W36-Model!V36)/('Segment Analysis'!W7-'Segment Analysis'!V7),"N/A")</f>
        <v>0.1305849052055933</v>
      </c>
      <c r="X162" s="385">
        <f>IFERROR((Model!X36-Model!W36)/('Segment Analysis'!X7-'Segment Analysis'!W7),"N/A")</f>
        <v>0.5875956182445483</v>
      </c>
      <c r="Y162" s="384"/>
      <c r="Z162" s="385">
        <f>IFERROR((Model!Z36-Model!X36)/('Segment Analysis'!Z7-'Segment Analysis'!X7),"N/A")</f>
        <v>0.12105226450463694</v>
      </c>
      <c r="AA162" s="385">
        <f>IFERROR((Model!AA36-Model!Z36)/('Segment Analysis'!AA7-'Segment Analysis'!Z7),"N/A")</f>
        <v>0.2888927551344993</v>
      </c>
      <c r="AB162" s="385">
        <f>IFERROR((Model!AB36-Model!AA36)/('Segment Analysis'!AB7-'Segment Analysis'!AA7),"N/A")</f>
        <v>0.28941805005319526</v>
      </c>
      <c r="AC162" s="385">
        <f>IFERROR((Model!AC36-Model!AB36)/('Segment Analysis'!AC7-'Segment Analysis'!AB7),"N/A")</f>
        <v>-0.7116094019561657</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1: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1: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1: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1: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1: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1: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1: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1:33" x14ac:dyDescent="0.25">
      <c r="C170" s="36" t="s">
        <v>458</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1: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1:33" x14ac:dyDescent="0.25">
      <c r="C172" s="8" t="s">
        <v>459</v>
      </c>
      <c r="D172" s="8"/>
      <c r="E172" s="8"/>
      <c r="F172" s="494"/>
      <c r="G172" s="383"/>
      <c r="H172" s="383"/>
      <c r="I172" s="383"/>
      <c r="J172" s="384"/>
      <c r="K172" s="383">
        <f>IFERROR('Segment Analysis'!K7/'Segment Analysis'!F7-1,"N/A")</f>
        <v>0.4332007907624569</v>
      </c>
      <c r="L172" s="383">
        <f>IFERROR('Segment Analysis'!L7/'Segment Analysis'!G7-1,"N/A")</f>
        <v>0.5238408422266392</v>
      </c>
      <c r="M172" s="383">
        <f>IFERROR('Segment Analysis'!M7/'Segment Analysis'!H7-1,"N/A")</f>
        <v>0.2717405364723591</v>
      </c>
      <c r="N172" s="383">
        <f>IFERROR('Segment Analysis'!N7/'Segment Analysis'!I7-1,"N/A")</f>
        <v>0.44840426882851014</v>
      </c>
      <c r="O172" s="384">
        <f>IFERROR('Segment Analysis'!O7/'Segment Analysis'!J7-1,"N/A")</f>
        <v>0.4130536271498031</v>
      </c>
      <c r="P172" s="383">
        <f>IFERROR('Segment Analysis'!P7/'Segment Analysis'!K7-1,"N/A")</f>
        <v>-0.030971433049884256</v>
      </c>
      <c r="Q172" s="383">
        <f>IFERROR('Segment Analysis'!Q7/'Segment Analysis'!L7-1,"N/A")</f>
        <v>-0.008709458197382558</v>
      </c>
      <c r="R172" s="383">
        <f>IFERROR('Segment Analysis'!R7/'Segment Analysis'!M7-1,"N/A")</f>
        <v>0.1202837240125143</v>
      </c>
      <c r="S172" s="383">
        <f>IFERROR('Segment Analysis'!S7/'Segment Analysis'!N7-1,"N/A")</f>
        <v>0.034145677703939725</v>
      </c>
      <c r="T172" s="384">
        <f>IFERROR('Segment Analysis'!T7/'Segment Analysis'!O7-1,"N/A")</f>
        <v>0.029349117918294088</v>
      </c>
      <c r="U172" s="385">
        <f>IFERROR('Segment Analysis'!U7/'Segment Analysis'!P7-1,"N/A")</f>
        <v>0.10918049274040142</v>
      </c>
      <c r="V172" s="385">
        <f>IFERROR('Segment Analysis'!V7/'Segment Analysis'!Q7-1,"N/A")</f>
        <v>0.12433885856437543</v>
      </c>
      <c r="W172" s="385">
        <f>IFERROR('Segment Analysis'!W7/'Segment Analysis'!R7-1,"N/A")</f>
        <v>0.10920369683809117</v>
      </c>
      <c r="X172" s="385">
        <f>IFERROR('Segment Analysis'!X7/'Segment Analysis'!S7-1,"N/A")</f>
        <v>0.09162770311147783</v>
      </c>
      <c r="Y172" s="384">
        <f>IFERROR('Segment Analysis'!Y7/'Segment Analysis'!T7-1,"N/A")</f>
        <v>0.10789785301242816</v>
      </c>
      <c r="Z172" s="385">
        <f>IFERROR('Segment Analysis'!Z7/'Segment Analysis'!U7-1,"N/A")</f>
        <v>0.075052853315835</v>
      </c>
      <c r="AA172" s="385">
        <f>IFERROR('Segment Analysis'!AA7/'Segment Analysis'!V7-1,"N/A")</f>
        <v>0.1007383254833003</v>
      </c>
      <c r="AB172" s="385">
        <f>IFERROR('Segment Analysis'!AB7/'Segment Analysis'!W7-1,"N/A")</f>
        <v>0.08874335714243098</v>
      </c>
      <c r="AC172" s="385">
        <f>IFERROR('Segment Analysis'!AC7/'Segment Analysis'!X7-1,"N/A")</f>
        <v>0.07912693323672237</v>
      </c>
      <c r="AD172" s="384">
        <f>IFERROR('Segment Analysis'!AD7/'Segment Analysis'!Y7-1,"N/A")</f>
        <v>0.08583571098060139</v>
      </c>
      <c r="AE172" s="384">
        <f>IFERROR('Segment Analysis'!AE7/'Segment Analysis'!Z7-1,"N/A")</f>
        <v>3.7122247102598633</v>
      </c>
      <c r="AF172" s="384">
        <f>IFERROR('Segment Analysis'!AF7/'Segment Analysis'!AA7-1,"N/A")</f>
        <v>3.7136544656244883</v>
      </c>
      <c r="AG172" s="384">
        <f>IFERROR('Segment Analysis'!AG7/'Segment Analysis'!AB7-1,"N/A")</f>
        <v>3.2652641465149834</v>
      </c>
    </row>
    <row r="173" ht="15.75" customHeight="1" spans="1: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1: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1:33" x14ac:dyDescent="0.25" outlineLevel="1">
      <c r="C175" s="130">
        <f>'Segment Analysis'!C18</f>
        <v>0</v>
      </c>
      <c r="D175" s="8"/>
      <c r="E175" s="8"/>
      <c r="F175" s="494"/>
      <c r="G175" s="383"/>
      <c r="H175" s="383"/>
      <c r="I175" s="383"/>
      <c r="J175" s="384"/>
      <c r="K175" s="383" t="str">
        <f>IFERROR('Segment Analysis'!K10/'Segment Analysis'!F10-1,"N/A")</f>
        <v>N/A</v>
      </c>
      <c r="L175" s="383" t="str">
        <f>IFERROR('Segment Analysis'!L10/'Segment Analysis'!G10-1,"N/A")</f>
        <v>N/A</v>
      </c>
      <c r="M175" s="383" t="str">
        <f>IFERROR('Segment Analysis'!M10/'Segment Analysis'!H10-1,"N/A")</f>
        <v>N/A</v>
      </c>
      <c r="N175" s="383" t="str">
        <f>IFERROR('Segment Analysis'!N10/'Segment Analysis'!I10-1,"N/A")</f>
        <v>N/A</v>
      </c>
      <c r="O175" s="384" t="str">
        <f>IFERROR('Segment Analysis'!O10/'Segment Analysis'!J10-1,"N/A")</f>
        <v>N/A</v>
      </c>
      <c r="P175" s="383" t="str">
        <f>IFERROR('Segment Analysis'!P10/'Segment Analysis'!K10-1,"N/A")</f>
        <v>N/A</v>
      </c>
      <c r="Q175" s="383" t="str">
        <f>IFERROR('Segment Analysis'!Q10/'Segment Analysis'!L10-1,"N/A")</f>
        <v>N/A</v>
      </c>
      <c r="R175" s="383" t="str">
        <f>IFERROR('Segment Analysis'!R10/'Segment Analysis'!M10-1,"N/A")</f>
        <v>N/A</v>
      </c>
      <c r="S175" s="383" t="str">
        <f>IFERROR('Segment Analysis'!S10/'Segment Analysis'!N10-1,"N/A")</f>
        <v>N/A</v>
      </c>
      <c r="T175" s="384" t="str">
        <f>IFERROR('Segment Analysis'!T10/'Segment Analysis'!O10-1,"N/A")</f>
        <v>N/A</v>
      </c>
      <c r="U175" s="385" t="str">
        <f>IFERROR('Segment Analysis'!U10/'Segment Analysis'!P10-1,"N/A")</f>
        <v>N/A</v>
      </c>
      <c r="V175" s="385" t="str">
        <f>IFERROR('Segment Analysis'!V10/'Segment Analysis'!Q10-1,"N/A")</f>
        <v>N/A</v>
      </c>
      <c r="W175" s="385" t="str">
        <f>IFERROR('Segment Analysis'!W10/'Segment Analysis'!R10-1,"N/A")</f>
        <v>N/A</v>
      </c>
      <c r="X175" s="385" t="str">
        <f>IFERROR('Segment Analysis'!X10/'Segment Analysis'!S10-1,"N/A")</f>
        <v>N/A</v>
      </c>
      <c r="Y175" s="384" t="str">
        <f>IFERROR('Segment Analysis'!Y10/'Segment Analysis'!T10-1,"N/A")</f>
        <v>N/A</v>
      </c>
      <c r="Z175" s="385" t="str">
        <f>IFERROR('Segment Analysis'!Z10/'Segment Analysis'!U10-1,"N/A")</f>
        <v>N/A</v>
      </c>
      <c r="AA175" s="385" t="str">
        <f>IFERROR('Segment Analysis'!AA10/'Segment Analysis'!V10-1,"N/A")</f>
        <v>N/A</v>
      </c>
      <c r="AB175" s="385" t="str">
        <f>IFERROR('Segment Analysis'!AB10/'Segment Analysis'!W10-1,"N/A")</f>
        <v>N/A</v>
      </c>
      <c r="AC175" s="385" t="str">
        <f>IFERROR('Segment Analysis'!AC10/'Segment Analysis'!X10-1,"N/A")</f>
        <v>N/A</v>
      </c>
      <c r="AD175" s="384" t="str">
        <f>IFERROR('Segment Analysis'!AD10/'Segment Analysis'!Y10-1,"N/A")</f>
        <v>N/A</v>
      </c>
      <c r="AE175" s="384" t="str">
        <f>IFERROR('Segment Analysis'!AE10/'Segment Analysis'!Z10-1,"N/A")</f>
        <v>N/A</v>
      </c>
      <c r="AF175" s="384" t="str">
        <f>IFERROR('Segment Analysis'!AF10/'Segment Analysis'!AA10-1,"N/A")</f>
        <v>N/A</v>
      </c>
      <c r="AG175" s="384" t="str">
        <f>IFERROR('Segment Analysis'!AG10/'Segment Analysis'!AB10-1,"N/A")</f>
        <v>N/A</v>
      </c>
    </row>
    <row r="176" ht="15.75" customHeight="1" hidden="1" spans="1:33" x14ac:dyDescent="0.25" outlineLevel="1">
      <c r="C176" s="130">
        <f>'Segment Analysis'!C19</f>
        <v>0</v>
      </c>
      <c r="D176" s="8"/>
      <c r="E176" s="8"/>
      <c r="F176" s="494"/>
      <c r="G176" s="383"/>
      <c r="H176" s="383"/>
      <c r="I176" s="383"/>
      <c r="J176" s="384"/>
      <c r="K176" s="383" t="str">
        <f>IFERROR('Segment Analysis'!K11/'Segment Analysis'!F11-1,"N/A")</f>
        <v>N/A</v>
      </c>
      <c r="L176" s="383" t="str">
        <f>IFERROR('Segment Analysis'!L11/'Segment Analysis'!G11-1,"N/A")</f>
        <v>N/A</v>
      </c>
      <c r="M176" s="383" t="str">
        <f>IFERROR('Segment Analysis'!M11/'Segment Analysis'!H11-1,"N/A")</f>
        <v>N/A</v>
      </c>
      <c r="N176" s="383" t="str">
        <f>IFERROR('Segment Analysis'!N11/'Segment Analysis'!I11-1,"N/A")</f>
        <v>N/A</v>
      </c>
      <c r="O176" s="384" t="str">
        <f>IFERROR('Segment Analysis'!O11/'Segment Analysis'!J11-1,"N/A")</f>
        <v>N/A</v>
      </c>
      <c r="P176" s="383" t="str">
        <f>IFERROR('Segment Analysis'!P11/'Segment Analysis'!K11-1,"N/A")</f>
        <v>N/A</v>
      </c>
      <c r="Q176" s="383" t="str">
        <f>IFERROR('Segment Analysis'!Q11/'Segment Analysis'!L11-1,"N/A")</f>
        <v>N/A</v>
      </c>
      <c r="R176" s="383" t="str">
        <f>IFERROR('Segment Analysis'!R11/'Segment Analysis'!M11-1,"N/A")</f>
        <v>N/A</v>
      </c>
      <c r="S176" s="383" t="str">
        <f>IFERROR('Segment Analysis'!S11/'Segment Analysis'!N11-1,"N/A")</f>
        <v>N/A</v>
      </c>
      <c r="T176" s="384" t="str">
        <f>IFERROR('Segment Analysis'!T11/'Segment Analysis'!O11-1,"N/A")</f>
        <v>N/A</v>
      </c>
      <c r="U176" s="385" t="str">
        <f>IFERROR('Segment Analysis'!U11/'Segment Analysis'!P11-1,"N/A")</f>
        <v>N/A</v>
      </c>
      <c r="V176" s="385" t="str">
        <f>IFERROR('Segment Analysis'!V11/'Segment Analysis'!Q11-1,"N/A")</f>
        <v>N/A</v>
      </c>
      <c r="W176" s="385" t="str">
        <f>IFERROR('Segment Analysis'!W11/'Segment Analysis'!R11-1,"N/A")</f>
        <v>N/A</v>
      </c>
      <c r="X176" s="385" t="str">
        <f>IFERROR('Segment Analysis'!X11/'Segment Analysis'!S11-1,"N/A")</f>
        <v>N/A</v>
      </c>
      <c r="Y176" s="384" t="str">
        <f>IFERROR('Segment Analysis'!Y11/'Segment Analysis'!T11-1,"N/A")</f>
        <v>N/A</v>
      </c>
      <c r="Z176" s="385" t="str">
        <f>IFERROR('Segment Analysis'!Z11/'Segment Analysis'!U11-1,"N/A")</f>
        <v>N/A</v>
      </c>
      <c r="AA176" s="385" t="str">
        <f>IFERROR('Segment Analysis'!AA11/'Segment Analysis'!V11-1,"N/A")</f>
        <v>N/A</v>
      </c>
      <c r="AB176" s="385" t="str">
        <f>IFERROR('Segment Analysis'!AB11/'Segment Analysis'!W11-1,"N/A")</f>
        <v>N/A</v>
      </c>
      <c r="AC176" s="385" t="str">
        <f>IFERROR('Segment Analysis'!AC11/'Segment Analysis'!X11-1,"N/A")</f>
        <v>N/A</v>
      </c>
      <c r="AD176" s="384" t="str">
        <f>IFERROR('Segment Analysis'!AD11/'Segment Analysis'!Y11-1,"N/A")</f>
        <v>N/A</v>
      </c>
      <c r="AE176" s="384" t="str">
        <f>IFERROR('Segment Analysis'!AE11/'Segment Analysis'!Z11-1,"N/A")</f>
        <v>N/A</v>
      </c>
      <c r="AF176" s="384" t="str">
        <f>IFERROR('Segment Analysis'!AF11/'Segment Analysis'!AA11-1,"N/A")</f>
        <v>N/A</v>
      </c>
      <c r="AG176" s="384" t="str">
        <f>IFERROR('Segment Analysis'!AG11/'Segment Analysis'!AB11-1,"N/A")</f>
        <v>N/A</v>
      </c>
    </row>
    <row r="177" ht="15.75" customHeight="1" hidden="1" spans="1:33" x14ac:dyDescent="0.25" outlineLevel="1">
      <c r="C177" s="130">
        <f>'Segment Analysis'!C20</f>
        <v>0</v>
      </c>
      <c r="D177" s="8"/>
      <c r="E177" s="8"/>
      <c r="F177" s="494"/>
      <c r="G177" s="383"/>
      <c r="H177" s="383"/>
      <c r="I177" s="383"/>
      <c r="J177" s="384"/>
      <c r="K177" s="383" t="str">
        <f>IFERROR('Segment Analysis'!K12/'Segment Analysis'!F12-1,"N/A")</f>
        <v>N/A</v>
      </c>
      <c r="L177" s="383" t="str">
        <f>IFERROR('Segment Analysis'!L12/'Segment Analysis'!G12-1,"N/A")</f>
        <v>N/A</v>
      </c>
      <c r="M177" s="383" t="str">
        <f>IFERROR('Segment Analysis'!M12/'Segment Analysis'!H12-1,"N/A")</f>
        <v>N/A</v>
      </c>
      <c r="N177" s="383" t="str">
        <f>IFERROR('Segment Analysis'!N12/'Segment Analysis'!I12-1,"N/A")</f>
        <v>N/A</v>
      </c>
      <c r="O177" s="384" t="str">
        <f>IFERROR('Segment Analysis'!O12/'Segment Analysis'!J12-1,"N/A")</f>
        <v>N/A</v>
      </c>
      <c r="P177" s="383" t="str">
        <f>IFERROR('Segment Analysis'!P12/'Segment Analysis'!K12-1,"N/A")</f>
        <v>N/A</v>
      </c>
      <c r="Q177" s="383" t="str">
        <f>IFERROR('Segment Analysis'!Q12/'Segment Analysis'!L12-1,"N/A")</f>
        <v>N/A</v>
      </c>
      <c r="R177" s="383" t="str">
        <f>IFERROR('Segment Analysis'!R12/'Segment Analysis'!M12-1,"N/A")</f>
        <v>N/A</v>
      </c>
      <c r="S177" s="383" t="str">
        <f>IFERROR('Segment Analysis'!S12/'Segment Analysis'!N12-1,"N/A")</f>
        <v>N/A</v>
      </c>
      <c r="T177" s="384" t="str">
        <f>IFERROR('Segment Analysis'!T12/'Segment Analysis'!O12-1,"N/A")</f>
        <v>N/A</v>
      </c>
      <c r="U177" s="385" t="str">
        <f>IFERROR('Segment Analysis'!U12/'Segment Analysis'!P12-1,"N/A")</f>
        <v>N/A</v>
      </c>
      <c r="V177" s="385" t="str">
        <f>IFERROR('Segment Analysis'!V12/'Segment Analysis'!Q12-1,"N/A")</f>
        <v>N/A</v>
      </c>
      <c r="W177" s="385" t="str">
        <f>IFERROR('Segment Analysis'!W12/'Segment Analysis'!R12-1,"N/A")</f>
        <v>N/A</v>
      </c>
      <c r="X177" s="385" t="str">
        <f>IFERROR('Segment Analysis'!X12/'Segment Analysis'!S12-1,"N/A")</f>
        <v>N/A</v>
      </c>
      <c r="Y177" s="384" t="str">
        <f>IFERROR('Segment Analysis'!Y12/'Segment Analysis'!T12-1,"N/A")</f>
        <v>N/A</v>
      </c>
      <c r="Z177" s="385" t="str">
        <f>IFERROR('Segment Analysis'!Z12/'Segment Analysis'!U12-1,"N/A")</f>
        <v>N/A</v>
      </c>
      <c r="AA177" s="385" t="str">
        <f>IFERROR('Segment Analysis'!AA12/'Segment Analysis'!V12-1,"N/A")</f>
        <v>N/A</v>
      </c>
      <c r="AB177" s="385" t="str">
        <f>IFERROR('Segment Analysis'!AB12/'Segment Analysis'!W12-1,"N/A")</f>
        <v>N/A</v>
      </c>
      <c r="AC177" s="385" t="str">
        <f>IFERROR('Segment Analysis'!AC12/'Segment Analysis'!X12-1,"N/A")</f>
        <v>N/A</v>
      </c>
      <c r="AD177" s="384" t="str">
        <f>IFERROR('Segment Analysis'!AD12/'Segment Analysis'!Y12-1,"N/A")</f>
        <v>N/A</v>
      </c>
      <c r="AE177" s="384" t="str">
        <f>IFERROR('Segment Analysis'!AE12/'Segment Analysis'!Z12-1,"N/A")</f>
        <v>N/A</v>
      </c>
      <c r="AF177" s="384" t="str">
        <f>IFERROR('Segment Analysis'!AF12/'Segment Analysis'!AA12-1,"N/A")</f>
        <v>N/A</v>
      </c>
      <c r="AG177" s="384" t="str">
        <f>IFERROR('Segment Analysis'!AG12/'Segment Analysis'!AB12-1,"N/A")</f>
        <v>N/A</v>
      </c>
    </row>
    <row r="178" ht="15.75" customHeight="1" hidden="1" spans="1:33" x14ac:dyDescent="0.25" outlineLevel="1">
      <c r="C178" s="130">
        <f>'Segment Analysis'!C21</f>
        <v>0</v>
      </c>
      <c r="D178" s="8"/>
      <c r="E178" s="8"/>
      <c r="F178" s="494"/>
      <c r="G178" s="383"/>
      <c r="H178" s="383"/>
      <c r="I178" s="383"/>
      <c r="J178" s="384"/>
      <c r="K178" s="383" t="str">
        <f>IFERROR('Segment Analysis'!K13/'Segment Analysis'!F13-1,"N/A")</f>
        <v>N/A</v>
      </c>
      <c r="L178" s="383" t="str">
        <f>IFERROR('Segment Analysis'!L13/'Segment Analysis'!G13-1,"N/A")</f>
        <v>N/A</v>
      </c>
      <c r="M178" s="383" t="str">
        <f>IFERROR('Segment Analysis'!M13/'Segment Analysis'!H13-1,"N/A")</f>
        <v>N/A</v>
      </c>
      <c r="N178" s="383" t="str">
        <f>IFERROR('Segment Analysis'!N13/'Segment Analysis'!I13-1,"N/A")</f>
        <v>N/A</v>
      </c>
      <c r="O178" s="384" t="str">
        <f>IFERROR('Segment Analysis'!O13/'Segment Analysis'!J13-1,"N/A")</f>
        <v>N/A</v>
      </c>
      <c r="P178" s="383" t="str">
        <f>IFERROR('Segment Analysis'!P13/'Segment Analysis'!K13-1,"N/A")</f>
        <v>N/A</v>
      </c>
      <c r="Q178" s="383" t="str">
        <f>IFERROR('Segment Analysis'!Q13/'Segment Analysis'!L13-1,"N/A")</f>
        <v>N/A</v>
      </c>
      <c r="R178" s="383" t="str">
        <f>IFERROR('Segment Analysis'!R13/'Segment Analysis'!M13-1,"N/A")</f>
        <v>N/A</v>
      </c>
      <c r="S178" s="383" t="str">
        <f>IFERROR('Segment Analysis'!S13/'Segment Analysis'!N13-1,"N/A")</f>
        <v>N/A</v>
      </c>
      <c r="T178" s="384" t="str">
        <f>IFERROR('Segment Analysis'!T13/'Segment Analysis'!O13-1,"N/A")</f>
        <v>N/A</v>
      </c>
      <c r="U178" s="385" t="str">
        <f>IFERROR('Segment Analysis'!U13/'Segment Analysis'!P13-1,"N/A")</f>
        <v>N/A</v>
      </c>
      <c r="V178" s="385" t="str">
        <f>IFERROR('Segment Analysis'!V13/'Segment Analysis'!Q13-1,"N/A")</f>
        <v>N/A</v>
      </c>
      <c r="W178" s="385" t="str">
        <f>IFERROR('Segment Analysis'!W13/'Segment Analysis'!R13-1,"N/A")</f>
        <v>N/A</v>
      </c>
      <c r="X178" s="385" t="str">
        <f>IFERROR('Segment Analysis'!X13/'Segment Analysis'!S13-1,"N/A")</f>
        <v>N/A</v>
      </c>
      <c r="Y178" s="384" t="str">
        <f>IFERROR('Segment Analysis'!Y13/'Segment Analysis'!T13-1,"N/A")</f>
        <v>N/A</v>
      </c>
      <c r="Z178" s="385" t="str">
        <f>IFERROR('Segment Analysis'!Z13/'Segment Analysis'!U13-1,"N/A")</f>
        <v>N/A</v>
      </c>
      <c r="AA178" s="385" t="str">
        <f>IFERROR('Segment Analysis'!AA13/'Segment Analysis'!V13-1,"N/A")</f>
        <v>N/A</v>
      </c>
      <c r="AB178" s="385" t="str">
        <f>IFERROR('Segment Analysis'!AB13/'Segment Analysis'!W13-1,"N/A")</f>
        <v>N/A</v>
      </c>
      <c r="AC178" s="385" t="str">
        <f>IFERROR('Segment Analysis'!AC13/'Segment Analysis'!X13-1,"N/A")</f>
        <v>N/A</v>
      </c>
      <c r="AD178" s="384" t="str">
        <f>IFERROR('Segment Analysis'!AD13/'Segment Analysis'!Y13-1,"N/A")</f>
        <v>N/A</v>
      </c>
      <c r="AE178" s="384" t="str">
        <f>IFERROR('Segment Analysis'!AE13/'Segment Analysis'!Z13-1,"N/A")</f>
        <v>N/A</v>
      </c>
      <c r="AF178" s="384" t="str">
        <f>IFERROR('Segment Analysis'!AF13/'Segment Analysis'!AA13-1,"N/A")</f>
        <v>N/A</v>
      </c>
      <c r="AG178" s="384" t="str">
        <f>IFERROR('Segment Analysis'!AG13/'Segment Analysis'!AB13-1,"N/A")</f>
        <v>N/A</v>
      </c>
    </row>
    <row r="179" ht="15.75" customHeight="1" spans="1: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1: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1: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1: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1: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1: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1: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1:33" x14ac:dyDescent="0.25" outlineLevel="1">
      <c r="C186" s="8" t="s">
        <v>460</v>
      </c>
      <c r="D186" s="8"/>
      <c r="E186" s="8"/>
      <c r="F186" s="494"/>
      <c r="G186" s="383"/>
      <c r="H186" s="383"/>
      <c r="I186" s="383"/>
      <c r="J186" s="384"/>
      <c r="K186" s="383">
        <f>IFERROR(Model!K36/Model!F36-1,"N/A")</f>
        <v>0.39354740719176906</v>
      </c>
      <c r="L186" s="383">
        <f>IFERROR(Model!L36/Model!G36-1,"N/A")</f>
        <v>11.664108126147148</v>
      </c>
      <c r="M186" s="383">
        <f>IFERROR(Model!M36/Model!H36-1,"N/A")</f>
        <v>1.7742410263169424</v>
      </c>
      <c r="N186" s="383">
        <f>IFERROR(Model!N36/Model!I36-1,"N/A")</f>
        <v>4.527132288946884</v>
      </c>
      <c r="O186" s="384">
        <f>IFERROR(Model!O36/Model!J36-1,"N/A")</f>
        <v>2.04952763125525</v>
      </c>
      <c r="P186" s="383">
        <f>IFERROR(Model!P36/Model!K36-1,"N/A")</f>
        <v>-0.3139645776566736</v>
      </c>
      <c r="Q186" s="383">
        <f>IFERROR(Model!Q36/Model!L36-1,"N/A")</f>
        <v>-0.4075181827764299</v>
      </c>
      <c r="R186" s="383">
        <f>IFERROR(Model!R36/Model!M36-1,"N/A")</f>
        <v>0.3137129916303103</v>
      </c>
      <c r="S186" s="383">
        <f>IFERROR(Model!S36/Model!N36-1,"N/A")</f>
        <v>-0.21069413881202181</v>
      </c>
      <c r="T186" s="384">
        <f>IFERROR(Model!T36/Model!O36-1,"N/A")</f>
        <v>-0.142700889372683</v>
      </c>
      <c r="U186" s="385">
        <f>IFERROR(Model!U36/Model!P36-1,"N/A")</f>
        <v>0.9366687497517556</v>
      </c>
      <c r="V186" s="385">
        <f>IFERROR(Model!V36/Model!Q36-1,"N/A")</f>
        <v>1.2582003322289084</v>
      </c>
      <c r="W186" s="385">
        <f>IFERROR(Model!W36/Model!R36-1,"N/A")</f>
        <v>0.08366635475628081</v>
      </c>
      <c r="X186" s="385">
        <f>IFERROR(Model!X36/Model!S36-1,"N/A")</f>
        <v>0.7752305522338632</v>
      </c>
      <c r="Y186" s="384">
        <f>IFERROR(Model!Y36/Model!T36-1,"N/A")</f>
        <v>0.6042260298702005</v>
      </c>
      <c r="Z186" s="385">
        <f>IFERROR(Model!Z36/Model!U36-1,"N/A")</f>
        <v>0.104792919938127</v>
      </c>
      <c r="AA186" s="385">
        <f>IFERROR(Model!AA36/Model!V36-1,"N/A")</f>
        <v>0.1921332082930418</v>
      </c>
      <c r="AB186" s="385">
        <f>IFERROR(Model!AB36/Model!W36-1,"N/A")</f>
        <v>0.3516063380712213</v>
      </c>
      <c r="AC186" s="385">
        <f>IFERROR(Model!AC36/Model!X36-1,"N/A")</f>
        <v>0.4407551020194165</v>
      </c>
      <c r="AD186" s="384">
        <f>IFERROR(Model!AD36/Model!Y36-1,"N/A")</f>
        <v>0.28376419025808697</v>
      </c>
      <c r="AE186" s="384">
        <f>IFERROR(Model!AE36/Model!Z36-1,"N/A")</f>
        <v>4.391328213314522</v>
      </c>
      <c r="AF186" s="384">
        <f>IFERROR(Model!AF36/Model!AA36-1,"N/A")</f>
        <v>3.691153519644888</v>
      </c>
      <c r="AG186" s="384">
        <f>IFERROR(Model!AG36/Model!AB36-1,"N/A")</f>
        <v>2.3462567519981143</v>
      </c>
    </row>
    <row r="187" ht="15.75" customHeight="1" spans="1: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1:33" x14ac:dyDescent="0.25">
      <c r="C188" s="8" t="s">
        <v>461</v>
      </c>
      <c r="D188" s="8"/>
      <c r="E188" s="8"/>
      <c r="F188" s="494"/>
      <c r="G188" s="383"/>
      <c r="H188" s="383"/>
      <c r="I188" s="383"/>
      <c r="J188" s="384"/>
      <c r="K188" s="383">
        <f>IFERROR(Model!K61/Model!F61-1,"N/A")</f>
        <v>0.27177263919918704</v>
      </c>
      <c r="L188" s="383">
        <f>IFERROR(Model!L61/Model!G61-1,"N/A")</f>
        <v>4.973746220878531</v>
      </c>
      <c r="M188" s="383">
        <f>IFERROR(Model!M61/Model!H61-1,"N/A")</f>
        <v>1.5469288802534589</v>
      </c>
      <c r="N188" s="383">
        <f>IFERROR(Model!N61/Model!I61-1,"N/A")</f>
        <v>3.1796337223215305</v>
      </c>
      <c r="O188" s="384">
        <f>IFERROR(Model!O61/Model!J61-1,"N/A")</f>
        <v>1.5955710736776845</v>
      </c>
      <c r="P188" s="383">
        <f>IFERROR(Model!P61/Model!K61-1,"N/A")</f>
        <v>-0.30456263064801226</v>
      </c>
      <c r="Q188" s="383">
        <f>IFERROR(Model!Q61/Model!L61-1,"N/A")</f>
        <v>-0.31611361885659117</v>
      </c>
      <c r="R188" s="383">
        <f>IFERROR(Model!R61/Model!M61-1,"N/A")</f>
        <v>0.25951265777112087</v>
      </c>
      <c r="S188" s="383">
        <f>IFERROR(Model!S61/Model!N61-1,"N/A")</f>
        <v>-0.2198526861042025</v>
      </c>
      <c r="T188" s="384">
        <f>IFERROR(Model!T61/Model!O61-1,"N/A")</f>
        <v>-0.1361199992400991</v>
      </c>
      <c r="U188" s="385">
        <f>IFERROR(Model!U61/Model!P61-1,"N/A")</f>
        <v>-0.755110063783833</v>
      </c>
      <c r="V188" s="385">
        <f>IFERROR(Model!V61/Model!Q61-1,"N/A")</f>
        <v>-0.7532912641939016</v>
      </c>
      <c r="W188" s="385">
        <f>IFERROR(Model!W61/Model!R61-1,"N/A")</f>
        <v>-0.7594859999762261</v>
      </c>
      <c r="X188" s="385">
        <f>IFERROR(Model!X61/Model!S61-1,"N/A")</f>
        <v>-0.7643164208054046</v>
      </c>
      <c r="Y188" s="384">
        <f>IFERROR(Model!Y61/Model!T61-1,"N/A")</f>
        <v>-0.7586540154689767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1: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1:33" x14ac:dyDescent="0.25">
      <c r="C190" s="36" t="s">
        <v>462</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1: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1:33" x14ac:dyDescent="0.25">
      <c r="C192" s="8" t="s">
        <v>459</v>
      </c>
      <c r="D192" s="8"/>
      <c r="E192" s="8"/>
      <c r="F192" s="494"/>
      <c r="G192" s="383">
        <f>IFERROR('Segment Analysis'!G7/'Segment Analysis'!F7-1,"N/A")</f>
        <v>-0.07262771262973444</v>
      </c>
      <c r="H192" s="383">
        <f>IFERROR('Segment Analysis'!H7/'Segment Analysis'!G7-1,"N/A")</f>
        <v>0.23597146874897823</v>
      </c>
      <c r="I192" s="383">
        <f>IFERROR('Segment Analysis'!I7/'Segment Analysis'!H7-1,"N/A")</f>
        <v>-0.035375777602690395</v>
      </c>
      <c r="J192" s="384"/>
      <c r="K192" s="383">
        <f>IFERROR('Segment Analysis'!K7/'Segment Analysis'!I7-1,"N/A")</f>
        <v>0.2962426791419672</v>
      </c>
      <c r="L192" s="383">
        <f>IFERROR('Segment Analysis'!L7/'Segment Analysis'!K7-1,"N/A")</f>
        <v>-0.013977820447509726</v>
      </c>
      <c r="M192" s="383">
        <f>IFERROR('Segment Analysis'!M7/'Segment Analysis'!L7-1,"N/A")</f>
        <v>0.03149553101266567</v>
      </c>
      <c r="N192" s="383">
        <f>IFERROR('Segment Analysis'!N7/'Segment Analysis'!M7-1,"N/A")</f>
        <v>0.0986249171636846</v>
      </c>
      <c r="O192" s="384"/>
      <c r="P192" s="383">
        <f>IFERROR('Segment Analysis'!P7/'Segment Analysis'!N7-1,"N/A")</f>
        <v>-0.13277238073561637</v>
      </c>
      <c r="Q192" s="383">
        <f>IFERROR('Segment Analysis'!Q7/'Segment Analysis'!P7-1,"N/A")</f>
        <v>0.008674557112724246</v>
      </c>
      <c r="R192" s="383">
        <f>IFERROR('Segment Analysis'!R7/'Segment Analysis'!Q7-1,"N/A")</f>
        <v>0.165720448299433</v>
      </c>
      <c r="S192" s="383">
        <f>IFERROR('Segment Analysis'!S7/'Segment Analysis'!R7-1,"N/A")</f>
        <v>0.014152205508594973</v>
      </c>
      <c r="T192" s="384"/>
      <c r="U192" s="385">
        <f>IFERROR('Segment Analysis'!U7/'Segment Analysis'!S7-1,"N/A")</f>
        <v>-0.06984868883324269</v>
      </c>
      <c r="V192" s="385">
        <f>IFERROR('Segment Analysis'!V7/'Segment Analysis'!U7-1,"N/A")</f>
        <v>0.022459381164464887</v>
      </c>
      <c r="W192" s="385">
        <f>IFERROR('Segment Analysis'!W7/'Segment Analysis'!V7-1,"N/A")</f>
        <v>0.15002823293370549</v>
      </c>
      <c r="X192" s="385">
        <f>IFERROR('Segment Analysis'!X7/'Segment Analysis'!W7-1,"N/A")</f>
        <v>-0.0019176406816598934</v>
      </c>
      <c r="Y192" s="384"/>
      <c r="Z192" s="385">
        <f>IFERROR('Segment Analysis'!Z7/'Segment Analysis'!X7-1,"N/A")</f>
        <v>-0.08397174399743979</v>
      </c>
      <c r="AA192" s="385">
        <f>IFERROR('Segment Analysis'!AA7/'Segment Analysis'!Z7-1,"N/A")</f>
        <v>0.046888274959092424</v>
      </c>
      <c r="AB192" s="385">
        <f>IFERROR('Segment Analysis'!AB7/'Segment Analysis'!AA7-1,"N/A")</f>
        <v>0.13749614249423692</v>
      </c>
      <c r="AC192" s="385">
        <f>IFERROR('Segment Analysis'!AC7/'Segment Analysis'!AB7-1,"N/A")</f>
        <v>-0.010733293146540368</v>
      </c>
      <c r="AD192" s="384"/>
      <c r="AE192" s="384">
        <f>IFERROR('Segment Analysis'!AE7/'Segment Analysis'!AD7-1,"N/A")</f>
        <v>0.06713557625571775</v>
      </c>
      <c r="AF192" s="384">
        <f>IFERROR('Segment Analysis'!AF7/'Segment Analysis'!AE7-1,"N/A")</f>
        <v>0.04720591561065701</v>
      </c>
      <c r="AG192" s="384">
        <f>IFERROR('Segment Analysis'!AG7/'Segment Analysis'!AF7-1,"N/A")</f>
        <v>0.02929087160761723</v>
      </c>
    </row>
    <row r="193" ht="15.75" customHeight="1" spans="1: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1: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1:33" x14ac:dyDescent="0.25" outlineLevel="1">
      <c r="C195" s="130">
        <f>'Segment Analysis'!C18</f>
        <v>0</v>
      </c>
      <c r="D195" s="8"/>
      <c r="E195" s="8"/>
      <c r="F195" s="494"/>
      <c r="G195" s="383" t="str">
        <f>IFERROR('Segment Analysis'!G10/'Segment Analysis'!F10-1,"N/A")</f>
        <v>N/A</v>
      </c>
      <c r="H195" s="383" t="str">
        <f>IFERROR('Segment Analysis'!H10/'Segment Analysis'!G10-1,"N/A")</f>
        <v>N/A</v>
      </c>
      <c r="I195" s="383" t="str">
        <f>IFERROR('Segment Analysis'!I10/'Segment Analysis'!H10-1,"N/A")</f>
        <v>N/A</v>
      </c>
      <c r="J195" s="384"/>
      <c r="K195" s="383" t="str">
        <f>IFERROR('Segment Analysis'!K10/'Segment Analysis'!I10-1,"N/A")</f>
        <v>N/A</v>
      </c>
      <c r="L195" s="383" t="str">
        <f>IFERROR('Segment Analysis'!L10/'Segment Analysis'!K10-1,"N/A")</f>
        <v>N/A</v>
      </c>
      <c r="M195" s="383" t="str">
        <f>IFERROR('Segment Analysis'!M10/'Segment Analysis'!L10-1,"N/A")</f>
        <v>N/A</v>
      </c>
      <c r="N195" s="383" t="str">
        <f>IFERROR('Segment Analysis'!N10/'Segment Analysis'!M10-1,"N/A")</f>
        <v>N/A</v>
      </c>
      <c r="O195" s="384"/>
      <c r="P195" s="383" t="str">
        <f>IFERROR('Segment Analysis'!P10/'Segment Analysis'!N10-1,"N/A")</f>
        <v>N/A</v>
      </c>
      <c r="Q195" s="383" t="str">
        <f>IFERROR('Segment Analysis'!Q10/'Segment Analysis'!P10-1,"N/A")</f>
        <v>N/A</v>
      </c>
      <c r="R195" s="383" t="str">
        <f>IFERROR('Segment Analysis'!R10/'Segment Analysis'!Q10-1,"N/A")</f>
        <v>N/A</v>
      </c>
      <c r="S195" s="383" t="str">
        <f>IFERROR('Segment Analysis'!S10/'Segment Analysis'!R10-1,"N/A")</f>
        <v>N/A</v>
      </c>
      <c r="T195" s="384"/>
      <c r="U195" s="385" t="str">
        <f>IFERROR('Segment Analysis'!U10/'Segment Analysis'!S10-1,"N/A")</f>
        <v>N/A</v>
      </c>
      <c r="V195" s="385" t="str">
        <f>IFERROR('Segment Analysis'!V10/'Segment Analysis'!U10-1,"N/A")</f>
        <v>N/A</v>
      </c>
      <c r="W195" s="385" t="str">
        <f>IFERROR('Segment Analysis'!W10/'Segment Analysis'!V10-1,"N/A")</f>
        <v>N/A</v>
      </c>
      <c r="X195" s="385" t="str">
        <f>IFERROR('Segment Analysis'!X10/'Segment Analysis'!W10-1,"N/A")</f>
        <v>N/A</v>
      </c>
      <c r="Y195" s="384"/>
      <c r="Z195" s="385" t="str">
        <f>IFERROR('Segment Analysis'!Z10/'Segment Analysis'!X10-1,"N/A")</f>
        <v>N/A</v>
      </c>
      <c r="AA195" s="385" t="str">
        <f>IFERROR('Segment Analysis'!AA10/'Segment Analysis'!Z10-1,"N/A")</f>
        <v>N/A</v>
      </c>
      <c r="AB195" s="385" t="str">
        <f>IFERROR('Segment Analysis'!AB10/'Segment Analysis'!AA10-1,"N/A")</f>
        <v>N/A</v>
      </c>
      <c r="AC195" s="385" t="str">
        <f>IFERROR('Segment Analysis'!AC10/'Segment Analysis'!AB10-1,"N/A")</f>
        <v>N/A</v>
      </c>
      <c r="AD195" s="384"/>
      <c r="AE195" s="384" t="str">
        <f>IFERROR('Segment Analysis'!AE10/'Segment Analysis'!AD10-1,"N/A")</f>
        <v>N/A</v>
      </c>
      <c r="AF195" s="384" t="str">
        <f>IFERROR('Segment Analysis'!AF10/'Segment Analysis'!AE10-1,"N/A")</f>
        <v>N/A</v>
      </c>
      <c r="AG195" s="384" t="str">
        <f>IFERROR('Segment Analysis'!AG10/'Segment Analysis'!AF10-1,"N/A")</f>
        <v>N/A</v>
      </c>
    </row>
    <row r="196" ht="15.75" customHeight="1" hidden="1" spans="1:33" x14ac:dyDescent="0.25" outlineLevel="1">
      <c r="C196" s="130">
        <f>'Segment Analysis'!C19</f>
        <v>0</v>
      </c>
      <c r="D196" s="8"/>
      <c r="E196" s="8"/>
      <c r="F196" s="494"/>
      <c r="G196" s="383" t="str">
        <f>IFERROR('Segment Analysis'!G11/'Segment Analysis'!F11-1,"N/A")</f>
        <v>N/A</v>
      </c>
      <c r="H196" s="383" t="str">
        <f>IFERROR('Segment Analysis'!H11/'Segment Analysis'!G11-1,"N/A")</f>
        <v>N/A</v>
      </c>
      <c r="I196" s="383" t="str">
        <f>IFERROR('Segment Analysis'!I11/'Segment Analysis'!H11-1,"N/A")</f>
        <v>N/A</v>
      </c>
      <c r="J196" s="384"/>
      <c r="K196" s="383" t="str">
        <f>IFERROR('Segment Analysis'!K11/'Segment Analysis'!I11-1,"N/A")</f>
        <v>N/A</v>
      </c>
      <c r="L196" s="383" t="str">
        <f>IFERROR('Segment Analysis'!L11/'Segment Analysis'!K11-1,"N/A")</f>
        <v>N/A</v>
      </c>
      <c r="M196" s="383" t="str">
        <f>IFERROR('Segment Analysis'!M11/'Segment Analysis'!L11-1,"N/A")</f>
        <v>N/A</v>
      </c>
      <c r="N196" s="383" t="str">
        <f>IFERROR('Segment Analysis'!N11/'Segment Analysis'!M11-1,"N/A")</f>
        <v>N/A</v>
      </c>
      <c r="O196" s="384"/>
      <c r="P196" s="383" t="str">
        <f>IFERROR('Segment Analysis'!P11/'Segment Analysis'!N11-1,"N/A")</f>
        <v>N/A</v>
      </c>
      <c r="Q196" s="383" t="str">
        <f>IFERROR('Segment Analysis'!Q11/'Segment Analysis'!P11-1,"N/A")</f>
        <v>N/A</v>
      </c>
      <c r="R196" s="383" t="str">
        <f>IFERROR('Segment Analysis'!R11/'Segment Analysis'!Q11-1,"N/A")</f>
        <v>N/A</v>
      </c>
      <c r="S196" s="383" t="str">
        <f>IFERROR('Segment Analysis'!S11/'Segment Analysis'!R11-1,"N/A")</f>
        <v>N/A</v>
      </c>
      <c r="T196" s="384"/>
      <c r="U196" s="385" t="str">
        <f>IFERROR('Segment Analysis'!U11/'Segment Analysis'!S11-1,"N/A")</f>
        <v>N/A</v>
      </c>
      <c r="V196" s="385" t="str">
        <f>IFERROR('Segment Analysis'!V11/'Segment Analysis'!U11-1,"N/A")</f>
        <v>N/A</v>
      </c>
      <c r="W196" s="385" t="str">
        <f>IFERROR('Segment Analysis'!W11/'Segment Analysis'!V11-1,"N/A")</f>
        <v>N/A</v>
      </c>
      <c r="X196" s="385" t="str">
        <f>IFERROR('Segment Analysis'!X11/'Segment Analysis'!W11-1,"N/A")</f>
        <v>N/A</v>
      </c>
      <c r="Y196" s="384"/>
      <c r="Z196" s="385" t="str">
        <f>IFERROR('Segment Analysis'!Z11/'Segment Analysis'!X11-1,"N/A")</f>
        <v>N/A</v>
      </c>
      <c r="AA196" s="385" t="str">
        <f>IFERROR('Segment Analysis'!AA11/'Segment Analysis'!Z11-1,"N/A")</f>
        <v>N/A</v>
      </c>
      <c r="AB196" s="385" t="str">
        <f>IFERROR('Segment Analysis'!AB11/'Segment Analysis'!AA11-1,"N/A")</f>
        <v>N/A</v>
      </c>
      <c r="AC196" s="385" t="str">
        <f>IFERROR('Segment Analysis'!AC11/'Segment Analysis'!AB11-1,"N/A")</f>
        <v>N/A</v>
      </c>
      <c r="AD196" s="384"/>
      <c r="AE196" s="384" t="str">
        <f>IFERROR('Segment Analysis'!AE11/'Segment Analysis'!AD11-1,"N/A")</f>
        <v>N/A</v>
      </c>
      <c r="AF196" s="384" t="str">
        <f>IFERROR('Segment Analysis'!AF11/'Segment Analysis'!AE11-1,"N/A")</f>
        <v>N/A</v>
      </c>
      <c r="AG196" s="384" t="str">
        <f>IFERROR('Segment Analysis'!AG11/'Segment Analysis'!AF11-1,"N/A")</f>
        <v>N/A</v>
      </c>
    </row>
    <row r="197" ht="15.75" customHeight="1" hidden="1" spans="1:33" x14ac:dyDescent="0.25" outlineLevel="1">
      <c r="C197" s="130">
        <f>'Segment Analysis'!C20</f>
        <v>0</v>
      </c>
      <c r="D197" s="8"/>
      <c r="E197" s="8"/>
      <c r="F197" s="494"/>
      <c r="G197" s="383" t="str">
        <f>IFERROR('Segment Analysis'!G12/'Segment Analysis'!F12-1,"N/A")</f>
        <v>N/A</v>
      </c>
      <c r="H197" s="383" t="str">
        <f>IFERROR('Segment Analysis'!H12/'Segment Analysis'!G12-1,"N/A")</f>
        <v>N/A</v>
      </c>
      <c r="I197" s="383" t="str">
        <f>IFERROR('Segment Analysis'!I12/'Segment Analysis'!H12-1,"N/A")</f>
        <v>N/A</v>
      </c>
      <c r="J197" s="384"/>
      <c r="K197" s="383" t="str">
        <f>IFERROR('Segment Analysis'!K12/'Segment Analysis'!I12-1,"N/A")</f>
        <v>N/A</v>
      </c>
      <c r="L197" s="383" t="str">
        <f>IFERROR('Segment Analysis'!L12/'Segment Analysis'!K12-1,"N/A")</f>
        <v>N/A</v>
      </c>
      <c r="M197" s="383" t="str">
        <f>IFERROR('Segment Analysis'!M12/'Segment Analysis'!L12-1,"N/A")</f>
        <v>N/A</v>
      </c>
      <c r="N197" s="383" t="str">
        <f>IFERROR('Segment Analysis'!N12/'Segment Analysis'!M12-1,"N/A")</f>
        <v>N/A</v>
      </c>
      <c r="O197" s="384"/>
      <c r="P197" s="383" t="str">
        <f>IFERROR('Segment Analysis'!P12/'Segment Analysis'!N12-1,"N/A")</f>
        <v>N/A</v>
      </c>
      <c r="Q197" s="383" t="str">
        <f>IFERROR('Segment Analysis'!Q12/'Segment Analysis'!P12-1,"N/A")</f>
        <v>N/A</v>
      </c>
      <c r="R197" s="383" t="str">
        <f>IFERROR('Segment Analysis'!R12/'Segment Analysis'!Q12-1,"N/A")</f>
        <v>N/A</v>
      </c>
      <c r="S197" s="383" t="str">
        <f>IFERROR('Segment Analysis'!S12/'Segment Analysis'!R12-1,"N/A")</f>
        <v>N/A</v>
      </c>
      <c r="T197" s="384"/>
      <c r="U197" s="385" t="str">
        <f>IFERROR('Segment Analysis'!U12/'Segment Analysis'!S12-1,"N/A")</f>
        <v>N/A</v>
      </c>
      <c r="V197" s="385" t="str">
        <f>IFERROR('Segment Analysis'!V12/'Segment Analysis'!U12-1,"N/A")</f>
        <v>N/A</v>
      </c>
      <c r="W197" s="385" t="str">
        <f>IFERROR('Segment Analysis'!W12/'Segment Analysis'!V12-1,"N/A")</f>
        <v>N/A</v>
      </c>
      <c r="X197" s="385" t="str">
        <f>IFERROR('Segment Analysis'!X12/'Segment Analysis'!W12-1,"N/A")</f>
        <v>N/A</v>
      </c>
      <c r="Y197" s="384"/>
      <c r="Z197" s="385" t="str">
        <f>IFERROR('Segment Analysis'!Z12/'Segment Analysis'!X12-1,"N/A")</f>
        <v>N/A</v>
      </c>
      <c r="AA197" s="385" t="str">
        <f>IFERROR('Segment Analysis'!AA12/'Segment Analysis'!Z12-1,"N/A")</f>
        <v>N/A</v>
      </c>
      <c r="AB197" s="385" t="str">
        <f>IFERROR('Segment Analysis'!AB12/'Segment Analysis'!AA12-1,"N/A")</f>
        <v>N/A</v>
      </c>
      <c r="AC197" s="385" t="str">
        <f>IFERROR('Segment Analysis'!AC12/'Segment Analysis'!AB12-1,"N/A")</f>
        <v>N/A</v>
      </c>
      <c r="AD197" s="384"/>
      <c r="AE197" s="384" t="str">
        <f>IFERROR('Segment Analysis'!AE12/'Segment Analysis'!AD12-1,"N/A")</f>
        <v>N/A</v>
      </c>
      <c r="AF197" s="384" t="str">
        <f>IFERROR('Segment Analysis'!AF12/'Segment Analysis'!AE12-1,"N/A")</f>
        <v>N/A</v>
      </c>
      <c r="AG197" s="384" t="str">
        <f>IFERROR('Segment Analysis'!AG12/'Segment Analysis'!AF12-1,"N/A")</f>
        <v>N/A</v>
      </c>
    </row>
    <row r="198" ht="15.75" customHeight="1" hidden="1" spans="1:33" x14ac:dyDescent="0.25" outlineLevel="1">
      <c r="C198" s="130">
        <f>'Segment Analysis'!C21</f>
        <v>0</v>
      </c>
      <c r="D198" s="8"/>
      <c r="E198" s="8"/>
      <c r="F198" s="494"/>
      <c r="G198" s="383" t="str">
        <f>IFERROR('Segment Analysis'!G13/'Segment Analysis'!F13-1,"N/A")</f>
        <v>N/A</v>
      </c>
      <c r="H198" s="383" t="str">
        <f>IFERROR('Segment Analysis'!H13/'Segment Analysis'!G13-1,"N/A")</f>
        <v>N/A</v>
      </c>
      <c r="I198" s="383" t="str">
        <f>IFERROR('Segment Analysis'!I13/'Segment Analysis'!H13-1,"N/A")</f>
        <v>N/A</v>
      </c>
      <c r="J198" s="384"/>
      <c r="K198" s="383" t="str">
        <f>IFERROR('Segment Analysis'!K13/'Segment Analysis'!I13-1,"N/A")</f>
        <v>N/A</v>
      </c>
      <c r="L198" s="383" t="str">
        <f>IFERROR('Segment Analysis'!L13/'Segment Analysis'!K13-1,"N/A")</f>
        <v>N/A</v>
      </c>
      <c r="M198" s="383" t="str">
        <f>IFERROR('Segment Analysis'!M13/'Segment Analysis'!L13-1,"N/A")</f>
        <v>N/A</v>
      </c>
      <c r="N198" s="383" t="str">
        <f>IFERROR('Segment Analysis'!N13/'Segment Analysis'!M13-1,"N/A")</f>
        <v>N/A</v>
      </c>
      <c r="O198" s="384"/>
      <c r="P198" s="383" t="str">
        <f>IFERROR('Segment Analysis'!P13/'Segment Analysis'!N13-1,"N/A")</f>
        <v>N/A</v>
      </c>
      <c r="Q198" s="383" t="str">
        <f>IFERROR('Segment Analysis'!Q13/'Segment Analysis'!P13-1,"N/A")</f>
        <v>N/A</v>
      </c>
      <c r="R198" s="383" t="str">
        <f>IFERROR('Segment Analysis'!R13/'Segment Analysis'!Q13-1,"N/A")</f>
        <v>N/A</v>
      </c>
      <c r="S198" s="383" t="str">
        <f>IFERROR('Segment Analysis'!S13/'Segment Analysis'!R13-1,"N/A")</f>
        <v>N/A</v>
      </c>
      <c r="T198" s="384"/>
      <c r="U198" s="385" t="str">
        <f>IFERROR('Segment Analysis'!U13/'Segment Analysis'!S13-1,"N/A")</f>
        <v>N/A</v>
      </c>
      <c r="V198" s="385" t="str">
        <f>IFERROR('Segment Analysis'!V13/'Segment Analysis'!U13-1,"N/A")</f>
        <v>N/A</v>
      </c>
      <c r="W198" s="385" t="str">
        <f>IFERROR('Segment Analysis'!W13/'Segment Analysis'!V13-1,"N/A")</f>
        <v>N/A</v>
      </c>
      <c r="X198" s="385" t="str">
        <f>IFERROR('Segment Analysis'!X13/'Segment Analysis'!W13-1,"N/A")</f>
        <v>N/A</v>
      </c>
      <c r="Y198" s="384"/>
      <c r="Z198" s="385" t="str">
        <f>IFERROR('Segment Analysis'!Z13/'Segment Analysis'!X13-1,"N/A")</f>
        <v>N/A</v>
      </c>
      <c r="AA198" s="385" t="str">
        <f>IFERROR('Segment Analysis'!AA13/'Segment Analysis'!Z13-1,"N/A")</f>
        <v>N/A</v>
      </c>
      <c r="AB198" s="385" t="str">
        <f>IFERROR('Segment Analysis'!AB13/'Segment Analysis'!AA13-1,"N/A")</f>
        <v>N/A</v>
      </c>
      <c r="AC198" s="385" t="str">
        <f>IFERROR('Segment Analysis'!AC13/'Segment Analysis'!AB13-1,"N/A")</f>
        <v>N/A</v>
      </c>
      <c r="AD198" s="384"/>
      <c r="AE198" s="384" t="str">
        <f>IFERROR('Segment Analysis'!AE13/'Segment Analysis'!AD13-1,"N/A")</f>
        <v>N/A</v>
      </c>
      <c r="AF198" s="384" t="str">
        <f>IFERROR('Segment Analysis'!AF13/'Segment Analysis'!AE13-1,"N/A")</f>
        <v>N/A</v>
      </c>
      <c r="AG198" s="384" t="str">
        <f>IFERROR('Segment Analysis'!AG13/'Segment Analysis'!AF13-1,"N/A")</f>
        <v>N/A</v>
      </c>
    </row>
    <row r="199" ht="15.75" customHeight="1" spans="1: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1: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1: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1: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1: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1: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1: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1:33" x14ac:dyDescent="0.25">
      <c r="C206" s="8" t="s">
        <v>460</v>
      </c>
      <c r="D206" s="8"/>
      <c r="E206" s="8"/>
      <c r="F206" s="494"/>
      <c r="G206" s="383">
        <f>IFERROR(Model!G36/Model!F36-1,"N/A")</f>
        <v>-0.8862189426253366</v>
      </c>
      <c r="H206" s="383">
        <f>IFERROR(Model!H36/Model!G36-1,"N/A")</f>
        <v>4.063907892541292</v>
      </c>
      <c r="I206" s="383">
        <f>IFERROR(Model!I36/Model!H36-1,"N/A")</f>
        <v>-0.49518913931725084</v>
      </c>
      <c r="J206" s="384"/>
      <c r="K206" s="383">
        <f>IFERROR(Model!K36/Model!J36-1,"N/A")</f>
        <v>-0.2964788799892656</v>
      </c>
      <c r="L206" s="383">
        <f>IFERROR(Model!L36/Model!K36-1,"N/A")</f>
        <v>0.034005449591280934</v>
      </c>
      <c r="M206" s="383">
        <f>IFERROR(Model!M36/Model!L36-1,"N/A")</f>
        <v>0.1093162573345976</v>
      </c>
      <c r="N206" s="383">
        <f>IFERROR(Model!N36/Model!M36-1,"N/A")</f>
        <v>0.005736841688509298</v>
      </c>
      <c r="O206" s="384"/>
      <c r="P206" s="383">
        <f>IFERROR(Model!P36/Model!O36-1,"N/A")</f>
        <v>-0.8417327314081922</v>
      </c>
      <c r="Q206" s="383">
        <f>IFERROR(Model!Q36/Model!P36-1,"N/A")</f>
        <v>-0.10700029788501741</v>
      </c>
      <c r="R206" s="383">
        <f>IFERROR(Model!R36/Model!Q36-1,"N/A")</f>
        <v>1.4596926635087937</v>
      </c>
      <c r="S206" s="383">
        <f>IFERROR(Model!S36/Model!R36-1,"N/A")</f>
        <v>-0.39573256181909067</v>
      </c>
      <c r="T206" s="384"/>
      <c r="U206" s="385">
        <f>IFERROR(Model!U36/Model!T36-1,"N/A")</f>
        <v>-0.642468691042924</v>
      </c>
      <c r="V206" s="385">
        <f>IFERROR(Model!V36/Model!U36-1,"N/A")</f>
        <v>0.041258203941616944</v>
      </c>
      <c r="W206" s="385">
        <f>IFERROR(Model!W36/Model!V36-1,"N/A")</f>
        <v>0.18035859991856018</v>
      </c>
      <c r="X206" s="385">
        <f>IFERROR(Model!X36/Model!W36-1,"N/A")</f>
        <v>-0.010106742476014619</v>
      </c>
      <c r="Y206" s="384"/>
      <c r="Z206" s="385">
        <f>IFERROR(Model!Z36/Model!Y36-1,"N/A")</f>
        <v>-0.7537765555244429</v>
      </c>
      <c r="AA206" s="385">
        <f>IFERROR(Model!AA36/Model!Z36-1,"N/A")</f>
        <v>0.12357570448214772</v>
      </c>
      <c r="AB206" s="385">
        <f>IFERROR(Model!AB36/Model!AA36-1,"N/A")</f>
        <v>0.33825662581042204</v>
      </c>
      <c r="AC206" s="385">
        <f>IFERROR(Model!AC36/Model!AB36-1,"N/A")</f>
        <v>0.05518428040779888</v>
      </c>
      <c r="AD206" s="384"/>
      <c r="AE206" s="384">
        <f>IFERROR(Model!AE36/Model!AD36-1,"N/A")</f>
        <v>-0.04733965020446429</v>
      </c>
      <c r="AF206" s="384">
        <f>IFERROR(Model!AF36/Model!AE36-1,"N/A")</f>
        <v>0.03906730831314564</v>
      </c>
      <c r="AG206" s="384">
        <f>IFERROR(Model!AG36/Model!AF36-1,"N/A")</f>
        <v>-0.03716244263855861</v>
      </c>
    </row>
    <row r="207" ht="15.75" customHeight="1" spans="1: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1:33" x14ac:dyDescent="0.25">
      <c r="C208" s="8" t="s">
        <v>461</v>
      </c>
      <c r="D208" s="8"/>
      <c r="E208" s="8"/>
      <c r="F208" s="494"/>
      <c r="G208" s="383">
        <f>IFERROR(Model!G61/Model!F61-1,"N/A")</f>
        <v>-0.7700216256563102</v>
      </c>
      <c r="H208" s="383">
        <f>IFERROR(Model!H61/Model!G61-1,"N/A")</f>
        <v>1.5399697670282766</v>
      </c>
      <c r="I208" s="383">
        <f>IFERROR(Model!I61/Model!H61-1,"N/A")</f>
        <v>-0.37825797755955637</v>
      </c>
      <c r="J208" s="384"/>
      <c r="K208" s="383">
        <f>IFERROR(Model!K61/Model!I61-1,"N/A")</f>
        <v>2.501738481679065</v>
      </c>
      <c r="L208" s="383">
        <f>IFERROR(Model!L61/Model!K61-1,"N/A")</f>
        <v>0.08025004019938908</v>
      </c>
      <c r="M208" s="383">
        <f>IFERROR(Model!M61/Model!L61-1,"N/A")</f>
        <v>0.08292554042638645</v>
      </c>
      <c r="N208" s="383">
        <f>IFERROR(Model!N61/Model!M61-1,"N/A")</f>
        <v>0.020308789822926387</v>
      </c>
      <c r="O208" s="384"/>
      <c r="P208" s="383">
        <f>IFERROR(Model!P61/Model!N61-1,"N/A")</f>
        <v>-0.41735569199473144</v>
      </c>
      <c r="Q208" s="383">
        <f>IFERROR(Model!Q61/Model!P61-1,"N/A")</f>
        <v>0.06230743885731993</v>
      </c>
      <c r="R208" s="383">
        <f>IFERROR(Model!R61/Model!Q61-1,"N/A")</f>
        <v>0.9944225578965693</v>
      </c>
      <c r="S208" s="383">
        <f>IFERROR(Model!S61/Model!R61-1,"N/A")</f>
        <v>-0.36801654448376675</v>
      </c>
      <c r="T208" s="384"/>
      <c r="U208" s="385">
        <f>IFERROR(Model!U61/Model!S61-1,"N/A")</f>
        <v>-0.835441908753785</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1: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1: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463</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0.7208338949543963</v>
      </c>
      <c r="G7" s="383">
        <f>IF($C$5="Operating Margins",'Segment Analysis'!G155,Model!G66)</f>
        <v>0.6284178818125993</v>
      </c>
      <c r="H7" s="383">
        <f>IF($C$5="Operating Margins",'Segment Analysis'!H155,Model!H66)</f>
        <v>0.5791998385016718</v>
      </c>
      <c r="I7" s="383">
        <f>IF($C$5="Operating Margins",'Segment Analysis'!I155,Model!I66)</f>
        <v>0.6080987865026998</v>
      </c>
      <c r="J7" s="384">
        <f>IF($C$5="Operating Margins",'Segment Analysis'!J155,Model!J66)</f>
        <v>0.6316567625897347</v>
      </c>
      <c r="K7" s="383">
        <f>IF($C$5="Operating Margins",'Segment Analysis'!K155,Model!K66)</f>
        <v>0.6811242603550296</v>
      </c>
      <c r="L7" s="383">
        <f>IF($C$5="Operating Margins",'Segment Analysis'!L155,Model!L66)</f>
        <v>0.6582780588419977</v>
      </c>
      <c r="M7" s="383">
        <f>IF($C$5="Operating Margins",'Segment Analysis'!M155,Model!M66)</f>
        <v>0.6486056529042797</v>
      </c>
      <c r="N7" s="383">
        <f>IF($C$5="Operating Margins",'Segment Analysis'!N155,Model!N66)</f>
        <v>0.6862521958057262</v>
      </c>
      <c r="O7" s="384">
        <f>IF($C$5="Operating Margins",'Segment Analysis'!O155,Model!O66)</f>
        <v>0.6690210972462471</v>
      </c>
      <c r="P7" s="383">
        <f>IF($C$5="Operating Margins",'Segment Analysis'!P155,Model!P66)</f>
        <v>0.6442000045291614</v>
      </c>
      <c r="Q7" s="383">
        <f>IF($C$5="Operating Margins",'Segment Analysis'!Q155,Model!Q66)</f>
        <v>0.6552688814363864</v>
      </c>
      <c r="R7" s="383">
        <f>IF($C$5="Operating Margins",'Segment Analysis'!R155,Model!R66)</f>
        <v>0.7041477139459238</v>
      </c>
      <c r="S7" s="383">
        <f>IF($C$5="Operating Margins",'Segment Analysis'!S155,Model!S66)</f>
        <v>0.7015857847060386</v>
      </c>
      <c r="T7" s="384">
        <f>IF($C$5="Operating Margins",'Segment Analysis'!T155,Model!T66)</f>
        <v>0.6784894819015757</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0.6990920701234274</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0.7231798090502991</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t="str">
        <f>'Segment Analysis'!F157</f>
        <v>N/A</v>
      </c>
      <c r="G17" s="383" t="str">
        <f>'Segment Analysis'!G157</f>
        <v>N/A</v>
      </c>
      <c r="H17" s="383" t="str">
        <f>'Segment Analysis'!H157</f>
        <v>N/A</v>
      </c>
      <c r="I17" s="383" t="str">
        <f>'Segment Analysis'!I157</f>
        <v>N/A</v>
      </c>
      <c r="J17" s="384" t="str">
        <f>'Segment Analysis'!J157</f>
        <v>N/A</v>
      </c>
      <c r="K17" s="383" t="str">
        <f>'Segment Analysis'!K157</f>
        <v>N/A</v>
      </c>
      <c r="L17" s="383" t="str">
        <f>'Segment Analysis'!L157</f>
        <v>N/A</v>
      </c>
      <c r="M17" s="383" t="str">
        <f>'Segment Analysis'!M157</f>
        <v>N/A</v>
      </c>
      <c r="N17" s="383" t="str">
        <f>'Segment Analysis'!N157</f>
        <v>N/A</v>
      </c>
      <c r="O17" s="384" t="str">
        <f>'Segment Analysis'!O157</f>
        <v>N/A</v>
      </c>
      <c r="P17" s="383" t="str">
        <f>'Segment Analysis'!P157</f>
        <v>N/A</v>
      </c>
      <c r="Q17" s="383" t="str">
        <f>'Segment Analysis'!Q157</f>
        <v>N/A</v>
      </c>
      <c r="R17" s="383" t="str">
        <f>'Segment Analysis'!R157</f>
        <v>N/A</v>
      </c>
      <c r="S17" s="383" t="str">
        <f>'Segment Analysis'!S157</f>
        <v>N/A</v>
      </c>
      <c r="T17" s="384" t="str">
        <f>'Segment Analysis'!T157</f>
        <v>N/A</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t="str">
        <f>'Segment Analysis'!Y157</f>
        <v>N/A</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t="str">
        <f>'Segment Analysis'!AD157</f>
        <v>N/A</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t="str">
        <f>'Segment Analysis'!F158</f>
        <v>N/A</v>
      </c>
      <c r="G22" s="383" t="str">
        <f>'Segment Analysis'!G158</f>
        <v>N/A</v>
      </c>
      <c r="H22" s="383" t="str">
        <f>'Segment Analysis'!H158</f>
        <v>N/A</v>
      </c>
      <c r="I22" s="383" t="str">
        <f>'Segment Analysis'!I158</f>
        <v>N/A</v>
      </c>
      <c r="J22" s="384" t="str">
        <f>'Segment Analysis'!J158</f>
        <v>N/A</v>
      </c>
      <c r="K22" s="383" t="str">
        <f>'Segment Analysis'!K158</f>
        <v>N/A</v>
      </c>
      <c r="L22" s="383" t="str">
        <f>'Segment Analysis'!L158</f>
        <v>N/A</v>
      </c>
      <c r="M22" s="383" t="str">
        <f>'Segment Analysis'!M158</f>
        <v>N/A</v>
      </c>
      <c r="N22" s="383" t="str">
        <f>'Segment Analysis'!N158</f>
        <v>N/A</v>
      </c>
      <c r="O22" s="384" t="str">
        <f>'Segment Analysis'!O158</f>
        <v>N/A</v>
      </c>
      <c r="P22" s="383" t="str">
        <f>'Segment Analysis'!P158</f>
        <v>N/A</v>
      </c>
      <c r="Q22" s="383" t="str">
        <f>'Segment Analysis'!Q158</f>
        <v>N/A</v>
      </c>
      <c r="R22" s="383" t="str">
        <f>'Segment Analysis'!R158</f>
        <v>N/A</v>
      </c>
      <c r="S22" s="383" t="str">
        <f>'Segment Analysis'!S158</f>
        <v>N/A</v>
      </c>
      <c r="T22" s="384" t="str">
        <f>'Segment Analysis'!T158</f>
        <v>N/A</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t="str">
        <f>'Segment Analysis'!Y158</f>
        <v>N/A</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t="str">
        <f>'Segment Analysis'!AD158</f>
        <v>N/A</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t="str">
        <f>'Segment Analysis'!F159</f>
        <v>N/A</v>
      </c>
      <c r="G27" s="383" t="str">
        <f>'Segment Analysis'!G159</f>
        <v>N/A</v>
      </c>
      <c r="H27" s="383" t="str">
        <f>'Segment Analysis'!H159</f>
        <v>N/A</v>
      </c>
      <c r="I27" s="383" t="str">
        <f>'Segment Analysis'!I159</f>
        <v>N/A</v>
      </c>
      <c r="J27" s="384" t="str">
        <f>'Segment Analysis'!J159</f>
        <v>N/A</v>
      </c>
      <c r="K27" s="383" t="str">
        <f>'Segment Analysis'!K159</f>
        <v>N/A</v>
      </c>
      <c r="L27" s="383" t="str">
        <f>'Segment Analysis'!L159</f>
        <v>N/A</v>
      </c>
      <c r="M27" s="383" t="str">
        <f>'Segment Analysis'!M159</f>
        <v>N/A</v>
      </c>
      <c r="N27" s="383" t="str">
        <f>'Segment Analysis'!N159</f>
        <v>N/A</v>
      </c>
      <c r="O27" s="384" t="str">
        <f>'Segment Analysis'!O159</f>
        <v>N/A</v>
      </c>
      <c r="P27" s="383" t="str">
        <f>'Segment Analysis'!P159</f>
        <v>N/A</v>
      </c>
      <c r="Q27" s="383" t="str">
        <f>'Segment Analysis'!Q159</f>
        <v>N/A</v>
      </c>
      <c r="R27" s="383" t="str">
        <f>'Segment Analysis'!R159</f>
        <v>N/A</v>
      </c>
      <c r="S27" s="383" t="str">
        <f>'Segment Analysis'!S159</f>
        <v>N/A</v>
      </c>
      <c r="T27" s="384" t="str">
        <f>'Segment Analysis'!T159</f>
        <v>N/A</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t="str">
        <f>'Segment Analysis'!Y159</f>
        <v>N/A</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t="str">
        <f>'Segment Analysis'!AD159</f>
        <v>N/A</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t="str">
        <f>'Segment Analysis'!F160</f>
        <v>N/A</v>
      </c>
      <c r="G32" s="383" t="str">
        <f>'Segment Analysis'!G160</f>
        <v>N/A</v>
      </c>
      <c r="H32" s="383" t="str">
        <f>'Segment Analysis'!H160</f>
        <v>N/A</v>
      </c>
      <c r="I32" s="383" t="str">
        <f>'Segment Analysis'!I160</f>
        <v>N/A</v>
      </c>
      <c r="J32" s="384" t="str">
        <f>'Segment Analysis'!J160</f>
        <v>N/A</v>
      </c>
      <c r="K32" s="383" t="str">
        <f>'Segment Analysis'!K160</f>
        <v>N/A</v>
      </c>
      <c r="L32" s="383" t="str">
        <f>'Segment Analysis'!L160</f>
        <v>N/A</v>
      </c>
      <c r="M32" s="383" t="str">
        <f>'Segment Analysis'!M160</f>
        <v>N/A</v>
      </c>
      <c r="N32" s="383" t="str">
        <f>'Segment Analysis'!N160</f>
        <v>N/A</v>
      </c>
      <c r="O32" s="384" t="str">
        <f>'Segment Analysis'!O160</f>
        <v>N/A</v>
      </c>
      <c r="P32" s="383" t="str">
        <f>'Segment Analysis'!P160</f>
        <v>N/A</v>
      </c>
      <c r="Q32" s="383" t="str">
        <f>'Segment Analysis'!Q160</f>
        <v>N/A</v>
      </c>
      <c r="R32" s="383" t="str">
        <f>'Segment Analysis'!R160</f>
        <v>N/A</v>
      </c>
      <c r="S32" s="383" t="str">
        <f>'Segment Analysis'!S160</f>
        <v>N/A</v>
      </c>
      <c r="T32" s="384" t="str">
        <f>'Segment Analysis'!T160</f>
        <v>N/A</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t="str">
        <f>'Segment Analysis'!Y160</f>
        <v>N/A</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t="str">
        <f>'Segment Analysis'!AD160</f>
        <v>N/A</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464</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-0.5477713854745818</v>
      </c>
      <c r="G40" s="383">
        <f>Model!G67</f>
        <v>-0.5549625603515569</v>
      </c>
      <c r="H40" s="383">
        <f>Model!H67</f>
        <v>-0.5448513724090206</v>
      </c>
      <c r="I40" s="383">
        <f>Model!I67</f>
        <v>-0.5114504518200604</v>
      </c>
      <c r="J40" s="384">
        <f>Model!J67</f>
        <v>-0.5393738998272061</v>
      </c>
      <c r="K40" s="383">
        <f>Model!K67</f>
        <v>-0.5332480708058689</v>
      </c>
      <c r="L40" s="383">
        <f>Model!L67</f>
        <v>-0.5204080708581793</v>
      </c>
      <c r="M40" s="383">
        <f>Model!M67</f>
        <v>-0.5281426219955175</v>
      </c>
      <c r="N40" s="383">
        <f>Model!N67</f>
        <v>-0.5016434827935119</v>
      </c>
      <c r="O40" s="384">
        <f>Model!O67</f>
        <v>-0.5202118666293853</v>
      </c>
      <c r="P40" s="383">
        <f>Model!P67</f>
        <v>-0.5280081405180979</v>
      </c>
      <c r="Q40" s="383">
        <f>Model!Q67</f>
        <v>-0.5230142060280939</v>
      </c>
      <c r="R40" s="383">
        <f>Model!R67</f>
        <v>-0.5292043887171831</v>
      </c>
      <c r="S40" s="383">
        <f>Model!S67</f>
        <v>-0.5224049267879355</v>
      </c>
      <c r="T40" s="384">
        <f>Model!T67</f>
        <v>-0.5256516731027508</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-0.5211261766219167</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-0.5073606990973928</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-0.25974531900570946</v>
      </c>
      <c r="G45" s="383">
        <f>Model!G68</f>
        <v>-0.3519355864581225</v>
      </c>
      <c r="H45" s="383">
        <f>Model!H68</f>
        <v>-0.30687972577198536</v>
      </c>
      <c r="I45" s="383">
        <f>Model!I68</f>
        <v>-0.36317177849540316</v>
      </c>
      <c r="J45" s="384">
        <f>Model!J68</f>
        <v>-0.3182930466739199</v>
      </c>
      <c r="K45" s="383">
        <f>Model!K68</f>
        <v>-0.24699323020134498</v>
      </c>
      <c r="L45" s="383">
        <f>Model!L68</f>
        <v>-0.26429699966010195</v>
      </c>
      <c r="M45" s="383">
        <f>Model!M68</f>
        <v>-0.2464882980890948</v>
      </c>
      <c r="N45" s="383">
        <f>Model!N68</f>
        <v>-0.26326182275324245</v>
      </c>
      <c r="O45" s="384">
        <f>Model!O68</f>
        <v>-0.25547197270485045</v>
      </c>
      <c r="P45" s="383">
        <f>Model!P68</f>
        <v>-0.2772804341944446</v>
      </c>
      <c r="Q45" s="383">
        <f>Model!Q68</f>
        <v>-0.2930758843816899</v>
      </c>
      <c r="R45" s="383">
        <f>Model!R68</f>
        <v>-0.2363463108909111</v>
      </c>
      <c r="S45" s="383">
        <f>Model!S68</f>
        <v>-0.2886700988422089</v>
      </c>
      <c r="T45" s="384">
        <f>Model!T68</f>
        <v>-0.2725921671363858</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-0.24217242083665413</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-0.2320035259952977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-0.03130700453789819</v>
      </c>
      <c r="G50" s="383">
        <f>Model!G69</f>
        <v>-0.03229084531522333</v>
      </c>
      <c r="H50" s="383">
        <f>Model!H69</f>
        <v>-0.028876645852197666</v>
      </c>
      <c r="I50" s="383">
        <f>Model!I69</f>
        <v>-0.03851596747075465</v>
      </c>
      <c r="J50" s="384">
        <f>Model!J69</f>
        <v>-0.032765965452644534</v>
      </c>
      <c r="K50" s="383">
        <f>Model!K69</f>
        <v>-0.04646498687252635</v>
      </c>
      <c r="L50" s="383">
        <f>Model!L69</f>
        <v>-0.031386637946451634</v>
      </c>
      <c r="M50" s="383">
        <f>Model!M69</f>
        <v>-0.03114683989088723</v>
      </c>
      <c r="N50" s="383">
        <f>Model!N69</f>
        <v>-0.05429150480508399</v>
      </c>
      <c r="O50" s="384">
        <f>Model!O69</f>
        <v>-0.04119811291775641</v>
      </c>
      <c r="P50" s="383">
        <f>Model!P69</f>
        <v>-0.051812796821822785</v>
      </c>
      <c r="Q50" s="383">
        <f>Model!Q69</f>
        <v>-0.04547821746651886</v>
      </c>
      <c r="R50" s="383">
        <f>Model!R69</f>
        <v>-0.032663221530336614</v>
      </c>
      <c r="S50" s="383">
        <f>Model!S69</f>
        <v>-0.045625985138482344</v>
      </c>
      <c r="T50" s="384">
        <f>Model!T69</f>
        <v>-0.04352310217682956</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-0.04064541655957752</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465</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0.18159150455022985</v>
      </c>
      <c r="G64" s="383">
        <f>Model!G71</f>
        <v>0.5136548195116513</v>
      </c>
      <c r="H64" s="383">
        <f>Model!H71</f>
        <v>0.40775888581345243</v>
      </c>
      <c r="I64" s="383">
        <f>Model!I71</f>
        <v>0.3661227154046976</v>
      </c>
      <c r="J64" s="384">
        <f>Model!J71</f>
        <v>0.2935491394486206</v>
      </c>
      <c r="K64" s="383">
        <f>Model!K71</f>
        <v>0.2541280653950953</v>
      </c>
      <c r="L64" s="383">
        <f>Model!L71</f>
        <v>0.3210841151048802</v>
      </c>
      <c r="M64" s="383">
        <f>Model!M71</f>
        <v>0.30885904552257126</v>
      </c>
      <c r="N64" s="383">
        <f>Model!N71</f>
        <v>0.33900727088065413</v>
      </c>
      <c r="O64" s="384">
        <f>Model!O71</f>
        <v>0.307172498907797</v>
      </c>
      <c r="P64" s="383">
        <f>Model!P71</f>
        <v>0.09410518650911827</v>
      </c>
      <c r="Q64" s="383">
        <f>Model!Q71</f>
        <v>0.3225031689905924</v>
      </c>
      <c r="R64" s="383">
        <f>Model!R71</f>
        <v>0.2691590193330617</v>
      </c>
      <c r="S64" s="383">
        <f>Model!S71</f>
        <v>0.18721228897035092</v>
      </c>
      <c r="T64" s="384">
        <f>Model!T71</f>
        <v>0.22555683465194318</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466</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467</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-0.1475173200194207</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-0.14710266714311218</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468</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-0.014125892977490229</v>
      </c>
      <c r="G92" s="383">
        <f>Model!G203</f>
        <v>-0.010203228842289622</v>
      </c>
      <c r="H92" s="383">
        <f>Model!H203</f>
        <v>-0.012739552586913146</v>
      </c>
      <c r="I92" s="383">
        <f>Model!I203</f>
        <v>-0.011682895732695342</v>
      </c>
      <c r="J92" s="384">
        <f>Model!J203</f>
        <v>-0.012228914529294298</v>
      </c>
      <c r="K92" s="383">
        <f>Model!K203</f>
        <v>-0.03771346839609702</v>
      </c>
      <c r="L92" s="383">
        <f>Model!L203</f>
        <v>0.010826116849413607</v>
      </c>
      <c r="M92" s="383">
        <f>Model!M203</f>
        <v>-0.020420114969100126</v>
      </c>
      <c r="N92" s="383">
        <f>Model!N203</f>
        <v>-0.017885580679925607</v>
      </c>
      <c r="O92" s="384">
        <f>Model!O203</f>
        <v>-0.01645257867542286</v>
      </c>
      <c r="P92" s="383">
        <f>Model!P203</f>
        <v>-0.0200488178888932</v>
      </c>
      <c r="Q92" s="383">
        <f>Model!Q203</f>
        <v>-0.019813856710158898</v>
      </c>
      <c r="R92" s="383">
        <f>Model!R203</f>
        <v>-0.019259380522025506</v>
      </c>
      <c r="S92" s="383">
        <f>Model!S203</f>
        <v>-0.006104128289786032</v>
      </c>
      <c r="T92" s="384">
        <f>Model!T203</f>
        <v>-0.01598347770355675</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-0.014999999999999998</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469</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1.682</v>
      </c>
      <c r="G108" s="320">
        <f>Model!G98</f>
        <v>0.975</v>
      </c>
      <c r="H108" s="320">
        <f>Model!H98</f>
        <v>-2.873</v>
      </c>
      <c r="I108" s="320">
        <f>Model!I98</f>
        <v>0</v>
      </c>
      <c r="J108" s="321">
        <f>Model!J98</f>
        <v>0</v>
      </c>
      <c r="K108" s="320">
        <f>Model!K98</f>
        <v>-1.683</v>
      </c>
      <c r="L108" s="320">
        <f>Model!L98</f>
        <v>0.17</v>
      </c>
      <c r="M108" s="320">
        <f>Model!M98</f>
        <v>20.414</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470</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471</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0.5105325264255633</v>
      </c>
      <c r="H113" s="545">
        <f>Model!H184</f>
        <v>0.4797698354833778</v>
      </c>
      <c r="I113" s="545">
        <f>Model!I184</f>
        <v>0.5989133637088621</v>
      </c>
      <c r="J113" s="546">
        <f>Model!J184</f>
        <v>0.6337935974241337</v>
      </c>
      <c r="K113" s="545">
        <f>Model!K184</f>
        <v>0.5369280732003605</v>
      </c>
      <c r="L113" s="545">
        <f>Model!L184</f>
        <v>0.6074928563764044</v>
      </c>
      <c r="M113" s="545">
        <f>Model!M184</f>
        <v>0.5110044192211075</v>
      </c>
      <c r="N113" s="545">
        <f>Model!N184</f>
        <v>0.510689790735199</v>
      </c>
      <c r="O113" s="546">
        <f>Model!O184</f>
        <v>0.5539520472951722</v>
      </c>
      <c r="P113" s="545">
        <f>Model!P184</f>
        <v>0.6776816274570698</v>
      </c>
      <c r="Q113" s="545">
        <f>Model!Q184</f>
        <v>0.6239377344080439</v>
      </c>
      <c r="R113" s="545">
        <f>Model!R184</f>
        <v>0.5698403603705229</v>
      </c>
      <c r="S113" s="545">
        <f>Model!S184</f>
        <v>0.7254068062386908</v>
      </c>
      <c r="T113" s="546">
        <f>Model!T184</f>
        <v>0.7905250683293673</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0.6442584130586366</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0.6402778969832064</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0.023248933492344342</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0.01742717923429934</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0.017508079211356595</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-0.01747402289277955</v>
      </c>
      <c r="T128" s="384">
        <f>Model!T235</f>
        <v>0.03921628250805731</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472</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0.8004524027033516</v>
      </c>
      <c r="T135" s="546">
        <f>Model!T186</f>
        <v>0.7202311870976139</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0.7557196741642367</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0.761062906586607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4.048102844049064</v>
      </c>
      <c r="G140" s="383">
        <f>Model!G189</f>
        <v>4.574611110909243</v>
      </c>
      <c r="H140" s="383">
        <f>Model!H189</f>
        <v>3.5141252239221354</v>
      </c>
      <c r="I140" s="383">
        <f>Model!I189</f>
        <v>3.9104008249140283</v>
      </c>
      <c r="J140" s="384">
        <f>Model!J189</f>
        <v>1.0345348577817555</v>
      </c>
      <c r="K140" s="383">
        <f>Model!K189</f>
        <v>3.1936756926211842</v>
      </c>
      <c r="L140" s="383">
        <f>Model!L189</f>
        <v>3.250254547477774</v>
      </c>
      <c r="M140" s="383">
        <f>Model!M189</f>
        <v>3.205388598640714</v>
      </c>
      <c r="N140" s="383">
        <f>Model!N189</f>
        <v>2.7215337832316715</v>
      </c>
      <c r="O140" s="384">
        <f>Model!O189</f>
        <v>0.7380210248739213</v>
      </c>
      <c r="P140" s="383">
        <f>Model!P189</f>
        <v>3.3742615849476554</v>
      </c>
      <c r="Q140" s="383">
        <f>Model!Q189</f>
        <v>3.2380320849612017</v>
      </c>
      <c r="R140" s="383">
        <f>Model!R189</f>
        <v>2.7955475751408168</v>
      </c>
      <c r="S140" s="383">
        <f>Model!S189</f>
        <v>4.127684120856316</v>
      </c>
      <c r="T140" s="384">
        <f>Model!T189</f>
        <v>1.1245544374615022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0.7113686644189112</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0.7069735112522902</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0.8711568270656422</v>
      </c>
      <c r="G145" s="383">
        <f>Model!G190</f>
        <v>0.739760132070284</v>
      </c>
      <c r="H145" s="383">
        <f>Model!H190</f>
        <v>0.6940522948834036</v>
      </c>
      <c r="I145" s="383">
        <f>Model!I190</f>
        <v>0.9348947777456073</v>
      </c>
      <c r="J145" s="384">
        <f>Model!J190</f>
        <v>0.24733557485305144</v>
      </c>
      <c r="K145" s="383">
        <f>Model!K190</f>
        <v>1.0616285904620086</v>
      </c>
      <c r="L145" s="383">
        <f>Model!L190</f>
        <v>0.8918608394304177</v>
      </c>
      <c r="M145" s="383">
        <f>Model!M190</f>
        <v>0.9825161434493813</v>
      </c>
      <c r="N145" s="383">
        <f>Model!N190</f>
        <v>0.8910740080779698</v>
      </c>
      <c r="O145" s="384">
        <f>Model!O190</f>
        <v>0.24163997402204393</v>
      </c>
      <c r="P145" s="383">
        <f>Model!P190</f>
        <v>1.0116379226678052</v>
      </c>
      <c r="Q145" s="383">
        <f>Model!Q190</f>
        <v>0.8185794496685462</v>
      </c>
      <c r="R145" s="383">
        <f>Model!R190</f>
        <v>0.8591104092136875</v>
      </c>
      <c r="S145" s="383">
        <f>Model!S190</f>
        <v>0.8616177160793594</v>
      </c>
      <c r="T145" s="384">
        <f>Model!T190</f>
        <v>0.23474083714804128</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0.23622808478816676</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0.23476856222717565</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13.67960585433796</v>
      </c>
      <c r="G150" s="383">
        <f>Model!G191</f>
        <v>15.483255028639048</v>
      </c>
      <c r="H150" s="383">
        <f>Model!H191</f>
        <v>13.378107470865622</v>
      </c>
      <c r="I150" s="383">
        <f>Model!I191</f>
        <v>14.159297807171262</v>
      </c>
      <c r="J150" s="384">
        <f>Model!J191</f>
        <v>3.7459809873974987</v>
      </c>
      <c r="K150" s="383">
        <f>Model!K191</f>
        <v>11.377572005172615</v>
      </c>
      <c r="L150" s="383">
        <f>Model!L191</f>
        <v>11.2603033109056</v>
      </c>
      <c r="M150" s="383">
        <f>Model!M191</f>
        <v>10.649988441444357</v>
      </c>
      <c r="N150" s="383">
        <f>Model!N191</f>
        <v>10.471827930894325</v>
      </c>
      <c r="O150" s="384">
        <f>Model!O191</f>
        <v>2.8397329584808237</v>
      </c>
      <c r="P150" s="383">
        <f>Model!P191</f>
        <v>13.40387259469182</v>
      </c>
      <c r="Q150" s="383">
        <f>Model!Q191</f>
        <v>12.07434786704967</v>
      </c>
      <c r="R150" s="383">
        <f>Model!R191</f>
        <v>10.643172859130699</v>
      </c>
      <c r="S150" s="383">
        <f>Model!S191</f>
        <v>11.188890215218004</v>
      </c>
      <c r="T150" s="384">
        <f>Model!T191</f>
        <v>3.048323411720435</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2.4159690489698877</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2.4010421136870237</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473</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474</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475</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-4.13</v>
      </c>
      <c r="J170" s="278">
        <f>Model!J275</f>
        <v>-169.40200000000002</v>
      </c>
      <c r="K170" s="348">
        <f>Model!K275</f>
        <v>-43.033</v>
      </c>
      <c r="L170" s="348">
        <f>Model!L275</f>
        <v>-0.946</v>
      </c>
      <c r="M170" s="348">
        <f>Model!M275</f>
        <v>-0.332</v>
      </c>
      <c r="N170" s="348">
        <f>Model!N275</f>
        <v>-0.001</v>
      </c>
      <c r="O170" s="278">
        <f>Model!O275</f>
        <v>-44.312</v>
      </c>
      <c r="P170" s="348">
        <f>Model!P275</f>
        <v>-56.318</v>
      </c>
      <c r="Q170" s="348">
        <f>Model!Q275</f>
        <v>-1.25</v>
      </c>
      <c r="R170" s="348">
        <f>Model!R275</f>
        <v>-0.918</v>
      </c>
      <c r="S170" s="348">
        <f>Model!S275</f>
        <v>-0.029</v>
      </c>
      <c r="T170" s="278">
        <f>Model!T275</f>
        <v>-58.515</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640</v>
      </c>
      <c r="R6"/>
      <c r="S6"/>
      <c r="T6"/>
      <c r="U6" s="8"/>
      <c r="V6" s="8"/>
      <c r="W6" s="8"/>
      <c r="X6" s="4"/>
      <c r="Y6" s="40"/>
      <c r="Z6" s="8"/>
      <c r="AA6" s="8"/>
      <c r="AB6" s="8"/>
      <c r="AC6" s="8"/>
      <c r="AD6" s="8"/>
      <c r="AE6" s="8"/>
      <c r="AF6" s="8"/>
      <c r="AG6" s="8"/>
      <c r="AH6" s="8"/>
      <c r="AI6" s="8"/>
      <c r="AJ6" s="8"/>
      <c r="AK6" s="8"/>
      <c r="AL6" s="8"/>
      <c r="AM6" s="567" t="s">
        <v>640</v>
      </c>
      <c r="AN6"/>
      <c r="AO6"/>
      <c r="AP6"/>
      <c r="AQ6" s="8"/>
      <c r="AR6" s="8"/>
      <c r="AS6" s="4"/>
      <c r="AT6" s="4"/>
      <c r="AU6" s="40"/>
      <c r="AV6" s="8"/>
      <c r="AW6" s="8"/>
      <c r="AX6" s="8"/>
      <c r="AY6" s="8"/>
      <c r="AZ6" s="8"/>
      <c r="BA6" s="8"/>
      <c r="BB6" s="8"/>
      <c r="BC6" s="8"/>
      <c r="BD6" s="8"/>
      <c r="BE6" s="8"/>
      <c r="BF6" s="8"/>
      <c r="BG6" s="8"/>
      <c r="BH6" s="8"/>
      <c r="BI6" s="567" t="s">
        <v>640</v>
      </c>
      <c r="BJ6"/>
      <c r="BK6"/>
      <c r="BL6"/>
      <c r="BM6" s="8"/>
      <c r="BN6" s="8"/>
    </row>
    <row r="7" spans="1:66" x14ac:dyDescent="0.25">
      <c r="A7" s="4"/>
      <c r="B7" s="4"/>
      <c r="C7" s="40"/>
      <c r="D7" s="74"/>
      <c r="E7" s="74"/>
      <c r="F7" s="74"/>
      <c r="G7" s="74" t="s">
        <v>641</v>
      </c>
      <c r="H7" s="74" t="s">
        <v>642</v>
      </c>
      <c r="I7" s="567" t="s">
        <v>643</v>
      </c>
      <c r="J7"/>
      <c r="K7" s="567" t="s">
        <v>388</v>
      </c>
      <c r="L7"/>
      <c r="M7" s="567" t="s">
        <v>110</v>
      </c>
      <c r="N7"/>
      <c r="O7" s="567" t="s">
        <v>644</v>
      </c>
      <c r="P7"/>
      <c r="Q7" s="567" t="s">
        <v>279</v>
      </c>
      <c r="R7"/>
      <c r="S7" s="567" t="s">
        <v>643</v>
      </c>
      <c r="T7"/>
      <c r="U7" s="567" t="s">
        <v>645</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646</v>
      </c>
      <c r="H8" s="567" t="s">
        <v>63</v>
      </c>
      <c r="I8" s="567" t="s">
        <v>647</v>
      </c>
      <c r="J8" s="568">
        <v>45686</v>
      </c>
      <c r="K8" s="567" t="s">
        <v>647</v>
      </c>
      <c r="L8" s="568">
        <v>45686</v>
      </c>
      <c r="M8" s="567" t="s">
        <v>647</v>
      </c>
      <c r="N8" s="568">
        <v>45686</v>
      </c>
      <c r="O8" s="567" t="s">
        <v>647</v>
      </c>
      <c r="P8" s="568">
        <v>45686</v>
      </c>
      <c r="Q8" s="567" t="s">
        <v>647</v>
      </c>
      <c r="R8" s="568">
        <v>45686</v>
      </c>
      <c r="S8" s="567" t="s">
        <v>647</v>
      </c>
      <c r="T8" s="568">
        <v>45686</v>
      </c>
      <c r="U8" s="567" t="s">
        <v>647</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648</v>
      </c>
      <c r="E12" s="8"/>
      <c r="F12" s="74" t="s">
        <v>649</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650</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651</v>
      </c>
      <c r="E13" s="8"/>
      <c r="F13" s="74" t="s">
        <v>652</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653</v>
      </c>
      <c r="E14" s="8"/>
      <c r="F14" s="74" t="s">
        <v>654</v>
      </c>
      <c r="G14" s="582">
        <v>31927.777</v>
      </c>
      <c r="H14" s="582">
        <v>27214.7</v>
      </c>
      <c r="I14" s="580">
        <v>0.096194</v>
      </c>
      <c r="J14" s="580">
        <v>0.11247225976618203</v>
      </c>
      <c r="K14" s="580">
        <v>0.061855</v>
      </c>
      <c r="L14" s="580">
        <v>0.1313</v>
      </c>
      <c r="M14" s="580" t="s">
        <v>650</v>
      </c>
      <c r="N14" s="580" t="s">
        <v>650</v>
      </c>
      <c r="O14" s="580">
        <v>0.152195</v>
      </c>
      <c r="P14" s="580">
        <v>0.15385426584064676</v>
      </c>
      <c r="Q14" s="583">
        <v>7.3</v>
      </c>
      <c r="R14" s="583" t="s">
        <v>650</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655</v>
      </c>
      <c r="E15" s="8"/>
      <c r="F15" s="74" t="s">
        <v>656</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650</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657</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658</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659</v>
      </c>
      <c r="E22"/>
      <c r="F22"/>
      <c r="G22" s="567" t="s">
        <v>660</v>
      </c>
      <c r="H22"/>
      <c r="I22"/>
      <c r="J22" s="567" t="s">
        <v>661</v>
      </c>
      <c r="K22"/>
      <c r="L22"/>
      <c r="M22" s="567" t="str">
        <f>TEXT(Last_FYE,"yyyy")&amp;"A"&amp;" Leverage Analysis"</f>
        <v>2025A Leverage Analysis</v>
      </c>
      <c r="N22"/>
      <c r="O22"/>
      <c r="P22" s="567" t="str">
        <f>TEXT(Last_FYE,"yyyy")&amp;"A"&amp;" Coverage Analysis"</f>
        <v>2025A Coverage Analysis</v>
      </c>
      <c r="Q22"/>
      <c r="R22"/>
      <c r="S22" s="567" t="s">
        <v>662</v>
      </c>
      <c r="T22"/>
      <c r="U22" s="567" t="s">
        <v>663</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664</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665</v>
      </c>
      <c r="J24" s="74"/>
      <c r="K24" s="74"/>
      <c r="L24" s="74"/>
      <c r="M24" s="74"/>
      <c r="N24" s="74"/>
      <c r="O24" s="74"/>
      <c r="P24" s="74" t="s">
        <v>666</v>
      </c>
      <c r="Q24" s="340" t="s">
        <v>667</v>
      </c>
      <c r="R24" s="74" t="s">
        <v>668</v>
      </c>
      <c r="S24" s="74" t="s">
        <v>669</v>
      </c>
      <c r="T24" s="74" t="s">
        <v>670</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671</v>
      </c>
      <c r="I25" s="567" t="s">
        <v>672</v>
      </c>
      <c r="J25" s="567" t="s">
        <v>673</v>
      </c>
      <c r="K25" s="567" t="s">
        <v>674</v>
      </c>
      <c r="L25" s="567" t="s">
        <v>675</v>
      </c>
      <c r="M25" s="567" t="s">
        <v>646</v>
      </c>
      <c r="N25" s="567" t="s">
        <v>279</v>
      </c>
      <c r="O25" s="567" t="s">
        <v>676</v>
      </c>
      <c r="P25" s="567" t="s">
        <v>677</v>
      </c>
      <c r="Q25" s="607" t="s">
        <v>678</v>
      </c>
      <c r="R25" s="567" t="s">
        <v>677</v>
      </c>
      <c r="S25" s="567" t="s">
        <v>679</v>
      </c>
      <c r="T25" s="567" t="s">
        <v>679</v>
      </c>
      <c r="U25" s="567" t="s">
        <v>680</v>
      </c>
      <c r="V25" s="567" t="s">
        <v>681</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682</v>
      </c>
      <c r="O27" s="574">
        <v>3.177415</v>
      </c>
      <c r="P27" s="574" t="s">
        <v>682</v>
      </c>
      <c r="Q27" s="574" t="s">
        <v>682</v>
      </c>
      <c r="R27" s="574" t="s">
        <v>682</v>
      </c>
      <c r="S27" s="608">
        <v>1.53476</v>
      </c>
      <c r="T27" s="608">
        <v>1.53613</v>
      </c>
      <c r="U27" s="571" t="s">
        <v>683</v>
      </c>
      <c r="V27" s="571" t="s">
        <v>684</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648</v>
      </c>
      <c r="E29" s="8"/>
      <c r="F29" s="74" t="s">
        <v>649</v>
      </c>
      <c r="G29" s="580">
        <v>0.27916</v>
      </c>
      <c r="H29" s="610">
        <v>1.54616</v>
      </c>
      <c r="I29" s="580">
        <v>0.017114</v>
      </c>
      <c r="J29" s="580">
        <v>0.15440885673720506</v>
      </c>
      <c r="K29" s="580">
        <v>0.14406</v>
      </c>
      <c r="L29" s="580">
        <v>0.095722</v>
      </c>
      <c r="M29" s="583">
        <v>0.06671</v>
      </c>
      <c r="N29" s="583" t="s">
        <v>682</v>
      </c>
      <c r="O29" s="583">
        <v>0.071478</v>
      </c>
      <c r="P29" s="583" t="s">
        <v>682</v>
      </c>
      <c r="Q29" s="583" t="s">
        <v>682</v>
      </c>
      <c r="R29" s="583" t="s">
        <v>682</v>
      </c>
      <c r="S29" s="610">
        <v>2.01324</v>
      </c>
      <c r="T29" s="610">
        <v>2.05673</v>
      </c>
      <c r="U29" s="74">
        <v>0</v>
      </c>
      <c r="V29" s="74">
        <v>0</v>
      </c>
      <c r="W29" s="8"/>
      <c r="X29" s="4"/>
      <c r="Y29" s="40"/>
      <c r="Z29" s="10" t="str">
        <f>Company_Name</f>
        <v>Jefferies Financial Group Inc.</v>
      </c>
      <c r="AA29" s="11"/>
      <c r="AB29" s="54" t="s">
        <v>685</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686</v>
      </c>
      <c r="AR29" s="55" t="s">
        <v>684</v>
      </c>
      <c r="AS29" s="4"/>
      <c r="AT29" s="4"/>
      <c r="AU29" s="40"/>
      <c r="AV29" s="10" t="str">
        <f>Company_Name</f>
        <v>Jefferies Financial Group Inc.</v>
      </c>
      <c r="AW29" s="11"/>
      <c r="AX29" s="54" t="s">
        <v>685</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686</v>
      </c>
      <c r="BN29" s="55" t="s">
        <v>684</v>
      </c>
    </row>
    <row r="30" ht="15.75" customHeight="1" spans="1:66" x14ac:dyDescent="0.25">
      <c r="A30" s="4"/>
      <c r="B30" s="4"/>
      <c r="C30" s="40"/>
      <c r="D30" s="8" t="s">
        <v>651</v>
      </c>
      <c r="E30" s="8"/>
      <c r="F30" s="74" t="s">
        <v>652</v>
      </c>
      <c r="G30" s="580">
        <v>0.212252</v>
      </c>
      <c r="H30" s="610">
        <v>1.1456</v>
      </c>
      <c r="I30" s="580">
        <v>0.014717000000000001</v>
      </c>
      <c r="J30" s="580">
        <v>0.1475493464892458</v>
      </c>
      <c r="K30" s="580">
        <v>0.117282</v>
      </c>
      <c r="L30" s="580">
        <v>0.016457</v>
      </c>
      <c r="M30" s="583">
        <v>0.28213699999999997</v>
      </c>
      <c r="N30" s="583" t="s">
        <v>682</v>
      </c>
      <c r="O30" s="583">
        <v>0.393024</v>
      </c>
      <c r="P30" s="583" t="s">
        <v>682</v>
      </c>
      <c r="Q30" s="583" t="s">
        <v>682</v>
      </c>
      <c r="R30" s="583" t="s">
        <v>682</v>
      </c>
      <c r="S30" s="610">
        <v>0.84926</v>
      </c>
      <c r="T30" s="610">
        <v>0.86704</v>
      </c>
      <c r="U30" s="74" t="s">
        <v>683</v>
      </c>
      <c r="V30" s="74" t="s">
        <v>684</v>
      </c>
      <c r="W30" s="8"/>
      <c r="X30" s="4"/>
      <c r="Y30" s="40"/>
      <c r="Z30" s="8" t="e">
        <f>Z55</f>
        <v>#NAME?</v>
      </c>
      <c r="AA30" s="8"/>
      <c r="AB30" s="74" t="s">
        <v>687</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688</v>
      </c>
      <c r="AR30" s="74" t="s">
        <v>689</v>
      </c>
      <c r="AS30" s="4"/>
      <c r="AT30" s="4"/>
      <c r="AU30" s="40"/>
      <c r="AV30" s="8" t="e">
        <f>AV55</f>
        <v>#NAME?</v>
      </c>
      <c r="AW30" s="8"/>
      <c r="AX30" s="74" t="s">
        <v>690</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691</v>
      </c>
      <c r="BN30" s="74" t="s">
        <v>689</v>
      </c>
    </row>
    <row r="31" ht="15.75" customHeight="1" spans="1:66" x14ac:dyDescent="0.25">
      <c r="A31" s="4"/>
      <c r="B31" s="4"/>
      <c r="C31" s="40"/>
      <c r="D31" s="8" t="s">
        <v>653</v>
      </c>
      <c r="E31" s="8"/>
      <c r="F31" s="74" t="s">
        <v>654</v>
      </c>
      <c r="G31" s="580">
        <v>0.213338</v>
      </c>
      <c r="H31" s="610">
        <v>1.00586</v>
      </c>
      <c r="I31" s="580">
        <v>0.012054</v>
      </c>
      <c r="J31" s="580">
        <v>0.12981375789348265</v>
      </c>
      <c r="K31" s="580">
        <v>0.17845199999999997</v>
      </c>
      <c r="L31" s="580">
        <v>0</v>
      </c>
      <c r="M31" s="583">
        <v>0.269569</v>
      </c>
      <c r="N31" s="583" t="s">
        <v>682</v>
      </c>
      <c r="O31" s="583">
        <v>0.369056</v>
      </c>
      <c r="P31" s="583" t="s">
        <v>682</v>
      </c>
      <c r="Q31" s="583" t="s">
        <v>682</v>
      </c>
      <c r="R31" s="583" t="s">
        <v>682</v>
      </c>
      <c r="S31" s="610">
        <v>0</v>
      </c>
      <c r="T31" s="610">
        <v>0</v>
      </c>
      <c r="U31" s="74" t="s">
        <v>688</v>
      </c>
      <c r="V31" s="74" t="s">
        <v>684</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655</v>
      </c>
      <c r="E32" s="8"/>
      <c r="F32" s="74" t="s">
        <v>656</v>
      </c>
      <c r="G32" s="580">
        <v>0.24772300000000003</v>
      </c>
      <c r="H32" s="610">
        <v>0.95237</v>
      </c>
      <c r="I32" s="580">
        <v>0.013007999999999999</v>
      </c>
      <c r="J32" s="580">
        <v>0.2587443251646297</v>
      </c>
      <c r="K32" s="580">
        <v>0.20292000000000002</v>
      </c>
      <c r="L32" s="580">
        <v>0.121761</v>
      </c>
      <c r="M32" s="583">
        <v>0.16768999999999998</v>
      </c>
      <c r="N32" s="583" t="s">
        <v>682</v>
      </c>
      <c r="O32" s="583">
        <v>0.20147500000000002</v>
      </c>
      <c r="P32" s="583" t="s">
        <v>682</v>
      </c>
      <c r="Q32" s="583" t="s">
        <v>682</v>
      </c>
      <c r="R32" s="583" t="s">
        <v>682</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692</v>
      </c>
      <c r="AC33" s="580">
        <v>0.14074</v>
      </c>
      <c r="AD33" s="610">
        <v>1.62028</v>
      </c>
      <c r="AE33" s="580">
        <v>0</v>
      </c>
      <c r="AF33" s="580">
        <v>0.21877749021799892</v>
      </c>
      <c r="AG33" s="580">
        <v>0.032482000000000004</v>
      </c>
      <c r="AH33" s="580">
        <v>-0.016131</v>
      </c>
      <c r="AI33" s="583">
        <v>138.5723</v>
      </c>
      <c r="AJ33" s="583" t="s">
        <v>693</v>
      </c>
      <c r="AK33" s="583" t="s">
        <v>693</v>
      </c>
      <c r="AL33" s="583" t="s">
        <v>693</v>
      </c>
      <c r="AM33" s="583" t="s">
        <v>693</v>
      </c>
      <c r="AN33" s="583" t="s">
        <v>693</v>
      </c>
      <c r="AO33" s="610">
        <v>0.40835</v>
      </c>
      <c r="AP33" s="610">
        <v>1.3937</v>
      </c>
      <c r="AQ33" s="74" t="s">
        <v>694</v>
      </c>
      <c r="AR33" s="74" t="s">
        <v>689</v>
      </c>
      <c r="AS33" s="4"/>
      <c r="AT33" s="4"/>
      <c r="AU33" s="40"/>
      <c r="AV33" s="8" t="e">
        <f t="shared" ref="AV33:AV36" si="5">AV56</f>
        <v>#NAME?</v>
      </c>
      <c r="AW33" s="8"/>
      <c r="AX33" s="74" t="s">
        <v>695</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693</v>
      </c>
      <c r="BK33" s="610">
        <v>1.21993</v>
      </c>
      <c r="BL33" s="610">
        <v>1.57684</v>
      </c>
      <c r="BM33" s="74" t="s">
        <v>686</v>
      </c>
      <c r="BN33" s="74" t="s">
        <v>696</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682</v>
      </c>
      <c r="O34" s="591">
        <f t="shared" si="6"/>
        <v>3.177415</v>
      </c>
      <c r="P34" s="591" t="s">
        <v>682</v>
      </c>
      <c r="Q34" s="591" t="s">
        <v>682</v>
      </c>
      <c r="R34" s="591" t="s">
        <v>682</v>
      </c>
      <c r="S34" s="613">
        <f t="shared" si="6"/>
        <v>2.01324</v>
      </c>
      <c r="T34" s="613">
        <f t="shared" si="6"/>
        <v>2.05673</v>
      </c>
      <c r="U34" s="587"/>
      <c r="V34" s="614"/>
      <c r="W34" s="8"/>
      <c r="X34" s="4"/>
      <c r="Y34" s="40"/>
      <c r="Z34" s="8" t="e">
        <f t="shared" si="4"/>
        <v>#NAME?</v>
      </c>
      <c r="AA34" s="8"/>
      <c r="AB34" s="74" t="s">
        <v>697</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694</v>
      </c>
      <c r="AR34" s="74" t="s">
        <v>689</v>
      </c>
      <c r="AS34" s="4"/>
      <c r="AT34" s="4"/>
      <c r="AU34" s="40"/>
      <c r="AV34" s="8" t="e">
        <f t="shared" si="5"/>
        <v>#NAME?</v>
      </c>
      <c r="AW34" s="8"/>
      <c r="AX34" s="74" t="s">
        <v>698</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699</v>
      </c>
      <c r="BN34" s="74" t="s">
        <v>684</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682</v>
      </c>
      <c r="O35" s="598">
        <f t="shared" si="7"/>
        <v>0.8424896000000001</v>
      </c>
      <c r="P35" s="598" t="s">
        <v>682</v>
      </c>
      <c r="Q35" s="598" t="s">
        <v>682</v>
      </c>
      <c r="R35" s="598" t="s">
        <v>682</v>
      </c>
      <c r="S35" s="615">
        <f t="shared" si="7"/>
        <v>1.1222340000000002</v>
      </c>
      <c r="T35" s="615">
        <f t="shared" si="7"/>
        <v>1.135632</v>
      </c>
      <c r="U35" s="594"/>
      <c r="V35" s="616"/>
      <c r="W35" s="8"/>
      <c r="X35" s="4"/>
      <c r="Y35" s="40"/>
      <c r="Z35" s="8" t="e">
        <f t="shared" si="4"/>
        <v>#NAME?</v>
      </c>
      <c r="AA35" s="8"/>
      <c r="AB35" s="74" t="s">
        <v>700</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688</v>
      </c>
      <c r="AR35" s="74" t="s">
        <v>684</v>
      </c>
      <c r="AS35" s="4"/>
      <c r="AT35" s="4"/>
      <c r="AU35" s="40"/>
      <c r="AV35" s="8" t="e">
        <f t="shared" si="5"/>
        <v>#NAME?</v>
      </c>
      <c r="AW35" s="8"/>
      <c r="AX35" s="74" t="s">
        <v>701</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686</v>
      </c>
      <c r="BN35" s="74" t="s">
        <v>684</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682</v>
      </c>
      <c r="O36" s="598">
        <f t="shared" si="8"/>
        <v>0.369056</v>
      </c>
      <c r="P36" s="598" t="s">
        <v>682</v>
      </c>
      <c r="Q36" s="598" t="s">
        <v>682</v>
      </c>
      <c r="R36" s="598" t="s">
        <v>682</v>
      </c>
      <c r="S36" s="615">
        <f t="shared" si="8"/>
        <v>1.21391</v>
      </c>
      <c r="T36" s="615">
        <f t="shared" si="8"/>
        <v>1.21826</v>
      </c>
      <c r="U36" s="594"/>
      <c r="V36" s="616"/>
      <c r="W36" s="8"/>
      <c r="X36" s="4"/>
      <c r="Y36" s="40"/>
      <c r="Z36" s="8" t="e">
        <f t="shared" si="4"/>
        <v>#NAME?</v>
      </c>
      <c r="AA36" s="8"/>
      <c r="AB36" s="74" t="s">
        <v>702</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686</v>
      </c>
      <c r="AR36" s="74" t="s">
        <v>684</v>
      </c>
      <c r="AS36" s="4"/>
      <c r="AT36" s="4"/>
      <c r="AU36" s="40"/>
      <c r="AV36" s="8" t="e">
        <f t="shared" si="5"/>
        <v>#NAME?</v>
      </c>
      <c r="AW36" s="8"/>
      <c r="AX36" s="74" t="s">
        <v>703</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699</v>
      </c>
      <c r="BN36" s="74" t="s">
        <v>684</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682</v>
      </c>
      <c r="O37" s="605">
        <f t="shared" si="9"/>
        <v>0.071478</v>
      </c>
      <c r="P37" s="605" t="s">
        <v>682</v>
      </c>
      <c r="Q37" s="605" t="s">
        <v>682</v>
      </c>
      <c r="R37" s="605" t="s">
        <v>682</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704</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705</v>
      </c>
      <c r="D45" s="74"/>
      <c r="E45" s="74"/>
      <c r="F45" s="8"/>
      <c r="G45" s="8"/>
      <c r="H45" s="8"/>
      <c r="I45" s="8"/>
      <c r="J45" s="8"/>
      <c r="K45" s="8"/>
      <c r="L45" s="8"/>
      <c r="M45" s="8"/>
      <c r="N45" s="8"/>
      <c r="O45" s="8"/>
      <c r="P45" s="8"/>
      <c r="Q45" s="567" t="str">
        <f>Q6</f>
        <v>Enterprise Value / </v>
      </c>
      <c r="R45"/>
      <c r="S45"/>
      <c r="T45" s="196">
        <f>T6</f>
        <v>0</v>
      </c>
      <c r="U45" s="8"/>
      <c r="V45" s="8"/>
      <c r="W45" s="8"/>
      <c r="X45" s="4"/>
      <c r="Y45" s="40" t="s">
        <v>705</v>
      </c>
      <c r="Z45" s="8"/>
      <c r="AA45" s="8"/>
      <c r="AB45" s="8"/>
      <c r="AC45" s="625"/>
      <c r="AD45" s="74"/>
      <c r="AE45" s="625"/>
      <c r="AF45" s="625"/>
      <c r="AG45" s="625"/>
      <c r="AH45" s="625"/>
      <c r="AI45" s="625"/>
      <c r="AJ45" s="583"/>
      <c r="AK45" s="625"/>
      <c r="AL45" s="583"/>
      <c r="AM45" s="581"/>
      <c r="AN45" s="583"/>
      <c r="AO45" s="8"/>
      <c r="AP45" s="625"/>
      <c r="AQ45" s="74"/>
      <c r="AR45" s="74"/>
      <c r="AS45" s="4"/>
      <c r="AT45" s="4"/>
      <c r="AU45" s="40" t="s">
        <v>705</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680</v>
      </c>
      <c r="V64" s="567" t="s">
        <v>681</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706</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707</v>
      </c>
      <c r="E80" s="12"/>
      <c r="F80" s="9" t="s">
        <v>3</v>
      </c>
      <c r="G80" s="10" t="s">
        <v>708</v>
      </c>
      <c r="H80" s="11"/>
      <c r="I80" s="11"/>
      <c r="J80" s="12"/>
      <c r="K80" s="8"/>
      <c r="L80" s="10" t="str">
        <f>S84</f>
        <v>Cap. Goods Peer Group</v>
      </c>
      <c r="M80" s="11"/>
      <c r="N80" s="11"/>
      <c r="O80" s="12"/>
      <c r="P80" s="8"/>
      <c r="Q80" s="10" t="s">
        <v>709</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710</v>
      </c>
      <c r="E82" s="279" t="str">
        <f>Company_Name</f>
        <v>Jefferies Financial Group Inc.</v>
      </c>
      <c r="F82" s="8"/>
      <c r="G82" s="187" t="s">
        <v>710</v>
      </c>
      <c r="H82" s="122"/>
      <c r="I82" s="122" t="str">
        <f>Company_Name</f>
        <v>Jefferies Financial Group Inc.</v>
      </c>
      <c r="J82" s="279"/>
      <c r="K82" s="8"/>
      <c r="L82" s="187" t="s">
        <v>710</v>
      </c>
      <c r="M82" s="122"/>
      <c r="N82" s="122" t="str">
        <f>Company_Name</f>
        <v>Jefferies Financial Group Inc.</v>
      </c>
      <c r="O82" s="279"/>
      <c r="P82" s="8"/>
      <c r="Q82" s="187" t="s">
        <v>711</v>
      </c>
      <c r="R82" s="122"/>
      <c r="S82" s="685" t="s">
        <v>712</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713</v>
      </c>
      <c r="E83" s="186" t="str">
        <f>Ticker</f>
        <v>JEF</v>
      </c>
      <c r="F83" s="8"/>
      <c r="G83" s="185" t="s">
        <v>713</v>
      </c>
      <c r="H83" s="8"/>
      <c r="I83" s="8" t="str">
        <f>Ticker</f>
        <v>JEF</v>
      </c>
      <c r="J83" s="186"/>
      <c r="K83" s="8"/>
      <c r="L83" s="185" t="s">
        <v>713</v>
      </c>
      <c r="M83" s="8"/>
      <c r="N83" s="8" t="str">
        <f>Ticker</f>
        <v>JEF</v>
      </c>
      <c r="O83" s="186"/>
      <c r="P83" s="8"/>
      <c r="Q83" s="185" t="s">
        <v>714</v>
      </c>
      <c r="R83" s="8"/>
      <c r="S83" s="686" t="s">
        <v>715</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716</v>
      </c>
      <c r="E84" s="687" t="s">
        <v>717</v>
      </c>
      <c r="F84" s="8"/>
      <c r="G84" s="189" t="s">
        <v>716</v>
      </c>
      <c r="H84" s="121"/>
      <c r="I84" s="121" t="str">
        <f>$E$84</f>
        <v>IQ285359</v>
      </c>
      <c r="J84" s="688"/>
      <c r="K84" s="8"/>
      <c r="L84" s="189" t="s">
        <v>716</v>
      </c>
      <c r="M84" s="121"/>
      <c r="N84" s="121" t="str">
        <f>$E$84</f>
        <v>IQ285359</v>
      </c>
      <c r="O84" s="688"/>
      <c r="P84" s="8"/>
      <c r="Q84" s="189" t="s">
        <v>718</v>
      </c>
      <c r="R84" s="121"/>
      <c r="S84" s="689" t="s">
        <v>719</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720</v>
      </c>
      <c r="E86" s="690" t="s">
        <v>653</v>
      </c>
      <c r="F86" s="8"/>
      <c r="G86" s="187" t="s">
        <v>720</v>
      </c>
      <c r="H86" s="122"/>
      <c r="I86" s="685" t="s">
        <v>721</v>
      </c>
      <c r="J86" s="279"/>
      <c r="K86" s="8"/>
      <c r="L86" s="187" t="s">
        <v>720</v>
      </c>
      <c r="M86" s="122"/>
      <c r="N86" s="685" t="s">
        <v>722</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713</v>
      </c>
      <c r="E87" s="691" t="s">
        <v>654</v>
      </c>
      <c r="F87" s="8"/>
      <c r="G87" s="185" t="s">
        <v>713</v>
      </c>
      <c r="H87" s="8"/>
      <c r="I87" s="686" t="s">
        <v>687</v>
      </c>
      <c r="J87" s="186"/>
      <c r="K87" s="8"/>
      <c r="L87" s="185" t="s">
        <v>713</v>
      </c>
      <c r="M87" s="8"/>
      <c r="N87" s="686" t="s">
        <v>690</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716</v>
      </c>
      <c r="E88" s="687" t="s">
        <v>723</v>
      </c>
      <c r="F88" s="8"/>
      <c r="G88" s="189" t="s">
        <v>716</v>
      </c>
      <c r="H88" s="121"/>
      <c r="I88" s="689" t="s">
        <v>724</v>
      </c>
      <c r="J88" s="688"/>
      <c r="K88" s="8"/>
      <c r="L88" s="189" t="s">
        <v>716</v>
      </c>
      <c r="M88" s="121"/>
      <c r="N88" s="689" t="s">
        <v>725</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720</v>
      </c>
      <c r="E90" s="690" t="s">
        <v>655</v>
      </c>
      <c r="F90" s="8"/>
      <c r="G90" s="187" t="s">
        <v>720</v>
      </c>
      <c r="H90" s="122"/>
      <c r="I90" s="685" t="s">
        <v>726</v>
      </c>
      <c r="J90" s="279"/>
      <c r="K90" s="8"/>
      <c r="L90" s="187" t="s">
        <v>720</v>
      </c>
      <c r="M90" s="122"/>
      <c r="N90" s="685" t="s">
        <v>727</v>
      </c>
      <c r="O90" s="279"/>
      <c r="P90" s="8"/>
      <c r="Q90" s="8"/>
      <c r="R90" s="8" t="s">
        <v>728</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713</v>
      </c>
      <c r="E91" s="691" t="s">
        <v>656</v>
      </c>
      <c r="F91" s="8"/>
      <c r="G91" s="185" t="s">
        <v>713</v>
      </c>
      <c r="H91" s="8"/>
      <c r="I91" s="686" t="s">
        <v>692</v>
      </c>
      <c r="J91" s="186"/>
      <c r="K91" s="8"/>
      <c r="L91" s="185" t="s">
        <v>713</v>
      </c>
      <c r="M91" s="8"/>
      <c r="N91" s="686" t="s">
        <v>695</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716</v>
      </c>
      <c r="E92" s="687" t="s">
        <v>729</v>
      </c>
      <c r="F92" s="8"/>
      <c r="G92" s="189" t="s">
        <v>716</v>
      </c>
      <c r="H92" s="121"/>
      <c r="I92" s="689" t="s">
        <v>730</v>
      </c>
      <c r="J92" s="688"/>
      <c r="K92" s="8"/>
      <c r="L92" s="189" t="s">
        <v>716</v>
      </c>
      <c r="M92" s="121"/>
      <c r="N92" s="689" t="s">
        <v>731</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720</v>
      </c>
      <c r="E94" s="690" t="s">
        <v>732</v>
      </c>
      <c r="F94" s="8"/>
      <c r="G94" s="187" t="s">
        <v>720</v>
      </c>
      <c r="H94" s="122"/>
      <c r="I94" s="685" t="s">
        <v>733</v>
      </c>
      <c r="J94" s="279"/>
      <c r="K94" s="8"/>
      <c r="L94" s="187" t="s">
        <v>720</v>
      </c>
      <c r="M94" s="122"/>
      <c r="N94" s="685" t="s">
        <v>734</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713</v>
      </c>
      <c r="E95" s="691" t="s">
        <v>652</v>
      </c>
      <c r="F95" s="8"/>
      <c r="G95" s="185" t="s">
        <v>713</v>
      </c>
      <c r="H95" s="40"/>
      <c r="I95" s="686" t="s">
        <v>697</v>
      </c>
      <c r="J95" s="186"/>
      <c r="K95" s="8"/>
      <c r="L95" s="185" t="s">
        <v>713</v>
      </c>
      <c r="M95" s="40"/>
      <c r="N95" s="686" t="s">
        <v>698</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716</v>
      </c>
      <c r="E96" s="687" t="s">
        <v>735</v>
      </c>
      <c r="F96" s="8"/>
      <c r="G96" s="189" t="s">
        <v>716</v>
      </c>
      <c r="H96" s="121"/>
      <c r="I96" s="689" t="s">
        <v>736</v>
      </c>
      <c r="J96" s="688"/>
      <c r="K96" s="8"/>
      <c r="L96" s="189" t="s">
        <v>716</v>
      </c>
      <c r="M96" s="121"/>
      <c r="N96" s="689" t="s">
        <v>737</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720</v>
      </c>
      <c r="E98" s="690" t="s">
        <v>738</v>
      </c>
      <c r="F98" s="8"/>
      <c r="G98" s="187" t="s">
        <v>720</v>
      </c>
      <c r="H98" s="122"/>
      <c r="I98" s="685" t="s">
        <v>739</v>
      </c>
      <c r="J98" s="279"/>
      <c r="K98" s="8"/>
      <c r="L98" s="187" t="s">
        <v>720</v>
      </c>
      <c r="M98" s="122"/>
      <c r="N98" s="685" t="s">
        <v>740</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713</v>
      </c>
      <c r="E99" s="691" t="s">
        <v>741</v>
      </c>
      <c r="F99" s="8"/>
      <c r="G99" s="185" t="s">
        <v>713</v>
      </c>
      <c r="H99" s="8"/>
      <c r="I99" s="686" t="s">
        <v>700</v>
      </c>
      <c r="J99" s="186"/>
      <c r="K99" s="8"/>
      <c r="L99" s="185" t="s">
        <v>713</v>
      </c>
      <c r="M99" s="8"/>
      <c r="N99" s="686" t="s">
        <v>701</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716</v>
      </c>
      <c r="E100" s="687" t="s">
        <v>742</v>
      </c>
      <c r="F100" s="8"/>
      <c r="G100" s="189" t="s">
        <v>716</v>
      </c>
      <c r="H100" s="121"/>
      <c r="I100" s="689" t="s">
        <v>743</v>
      </c>
      <c r="J100" s="688"/>
      <c r="K100" s="8"/>
      <c r="L100" s="189" t="s">
        <v>716</v>
      </c>
      <c r="M100" s="121"/>
      <c r="N100" s="689" t="s">
        <v>744</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720</v>
      </c>
      <c r="E102" s="690" t="s">
        <v>745</v>
      </c>
      <c r="F102" s="8"/>
      <c r="G102" s="187" t="s">
        <v>720</v>
      </c>
      <c r="H102" s="122"/>
      <c r="I102" s="685" t="s">
        <v>746</v>
      </c>
      <c r="J102" s="279"/>
      <c r="K102" s="8"/>
      <c r="L102" s="187" t="s">
        <v>720</v>
      </c>
      <c r="M102" s="122"/>
      <c r="N102" s="685" t="s">
        <v>747</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713</v>
      </c>
      <c r="E103" s="691" t="s">
        <v>748</v>
      </c>
      <c r="F103" s="8"/>
      <c r="G103" s="185" t="s">
        <v>713</v>
      </c>
      <c r="H103" s="8"/>
      <c r="I103" s="686" t="s">
        <v>702</v>
      </c>
      <c r="J103" s="186"/>
      <c r="K103" s="8"/>
      <c r="L103" s="185" t="s">
        <v>713</v>
      </c>
      <c r="M103" s="8"/>
      <c r="N103" s="686" t="s">
        <v>703</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716</v>
      </c>
      <c r="E104" s="687" t="s">
        <v>749</v>
      </c>
      <c r="F104" s="8"/>
      <c r="G104" s="189" t="s">
        <v>716</v>
      </c>
      <c r="H104" s="121"/>
      <c r="I104" s="689" t="s">
        <v>750</v>
      </c>
      <c r="J104" s="688"/>
      <c r="K104" s="8"/>
      <c r="L104" s="189" t="s">
        <v>716</v>
      </c>
      <c r="M104" s="121"/>
      <c r="N104" s="689" t="s">
        <v>751</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752</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753</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754</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755</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756</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757</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758</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759</v>
      </c>
      <c r="C10" s="698" t="s">
        <v>760</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761</v>
      </c>
      <c r="B11" s="699" t="s">
        <v>762</v>
      </c>
      <c r="C11" s="699" t="s">
        <v>763</v>
      </c>
      <c r="D11" s="699" t="s">
        <v>764</v>
      </c>
      <c r="E11" s="699" t="s">
        <v>765</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766</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767</v>
      </c>
      <c r="L12" s="8" t="s">
        <v>768</v>
      </c>
      <c r="M12" s="8" t="s">
        <v>769</v>
      </c>
      <c r="N12" s="693" t="s">
        <v>770</v>
      </c>
      <c r="O12" s="693" t="e">
        <f t="shared" ref="O12:O29" si="8">_xll.ciqfunctions.udf.CIQRANGEA($A12,"IQ_COMPANY_ID_QUICK_MATCH",1,5,,,,,,,"ID")</f>
        <v>#NAME?</v>
      </c>
      <c r="P12" s="693" t="s">
        <v>717</v>
      </c>
      <c r="Q12" s="693" t="s">
        <v>771</v>
      </c>
      <c r="R12" s="693" t="s">
        <v>772</v>
      </c>
      <c r="S12" s="693" t="s">
        <v>773</v>
      </c>
      <c r="T12" s="693" t="s">
        <v>774</v>
      </c>
      <c r="U12" s="8"/>
      <c r="V12" s="8"/>
      <c r="W12" s="8"/>
      <c r="X12" s="8"/>
      <c r="Y12" s="8"/>
      <c r="Z12" s="8"/>
      <c r="AA12" s="8"/>
      <c r="AB12" s="8"/>
    </row>
    <row r="13" ht="12.75" customHeight="1" spans="1:28" x14ac:dyDescent="0.25">
      <c r="A13" s="686" t="s">
        <v>775</v>
      </c>
      <c r="B13" s="527" t="e">
        <f t="shared" si="3"/>
        <v>#NAME?</v>
      </c>
      <c r="C13" s="686">
        <v>1</v>
      </c>
      <c r="D13" s="8" t="str">
        <f t="shared" si="4"/>
        <v>Piper Sandler Companies</v>
      </c>
      <c r="E13" s="8" t="str">
        <f t="shared" si="5"/>
        <v>IQ522608</v>
      </c>
      <c r="F13" s="481" t="e">
        <f t="shared" si="6"/>
        <v>#NAME?</v>
      </c>
      <c r="G13" s="693"/>
      <c r="H13" s="693"/>
      <c r="I13" s="8" t="e">
        <f t="shared" si="7"/>
        <v>#NAME?</v>
      </c>
      <c r="J13" s="8" t="s">
        <v>648</v>
      </c>
      <c r="K13" s="8" t="s">
        <v>776</v>
      </c>
      <c r="L13" s="8" t="s">
        <v>777</v>
      </c>
      <c r="M13" s="8" t="s">
        <v>778</v>
      </c>
      <c r="N13" s="693" t="s">
        <v>779</v>
      </c>
      <c r="O13" s="693" t="e">
        <f t="shared" si="8"/>
        <v>#NAME?</v>
      </c>
      <c r="P13" s="693" t="s">
        <v>780</v>
      </c>
      <c r="Q13" s="693" t="s">
        <v>781</v>
      </c>
      <c r="R13" s="693" t="s">
        <v>782</v>
      </c>
      <c r="S13" s="693" t="s">
        <v>783</v>
      </c>
      <c r="T13" s="693" t="s">
        <v>784</v>
      </c>
      <c r="U13" s="8"/>
      <c r="V13" s="8"/>
      <c r="W13" s="8"/>
      <c r="X13" s="8"/>
      <c r="Y13" s="8"/>
      <c r="Z13" s="8"/>
      <c r="AA13" s="8"/>
      <c r="AB13" s="8"/>
    </row>
    <row r="14" ht="12.75" customHeight="1" spans="1:28" x14ac:dyDescent="0.25">
      <c r="A14" s="686" t="s">
        <v>785</v>
      </c>
      <c r="B14" s="527" t="e">
        <f t="shared" si="3"/>
        <v>#NAME?</v>
      </c>
      <c r="C14" s="686">
        <v>1</v>
      </c>
      <c r="D14" s="8" t="str">
        <f t="shared" si="4"/>
        <v>Stifel Financial Corp.</v>
      </c>
      <c r="E14" s="8" t="str">
        <f t="shared" si="5"/>
        <v>IQ305275</v>
      </c>
      <c r="F14" s="481" t="e">
        <f t="shared" si="6"/>
        <v>#NAME?</v>
      </c>
      <c r="G14" s="693"/>
      <c r="H14" s="693"/>
      <c r="I14" s="8" t="e">
        <f t="shared" si="7"/>
        <v>#NAME?</v>
      </c>
      <c r="J14" s="8" t="s">
        <v>651</v>
      </c>
      <c r="K14" s="8" t="s">
        <v>786</v>
      </c>
      <c r="L14" s="8" t="s">
        <v>787</v>
      </c>
      <c r="M14" s="8" t="s">
        <v>788</v>
      </c>
      <c r="N14" s="693" t="s">
        <v>789</v>
      </c>
      <c r="O14" s="693" t="e">
        <f t="shared" si="8"/>
        <v>#NAME?</v>
      </c>
      <c r="P14" s="693" t="s">
        <v>735</v>
      </c>
      <c r="Q14" s="693" t="s">
        <v>790</v>
      </c>
      <c r="R14" s="693" t="s">
        <v>791</v>
      </c>
      <c r="S14" s="693" t="s">
        <v>792</v>
      </c>
      <c r="T14" s="693" t="s">
        <v>793</v>
      </c>
      <c r="U14" s="8"/>
      <c r="V14" s="8"/>
      <c r="W14" s="8"/>
      <c r="X14" s="8"/>
      <c r="Y14" s="8"/>
      <c r="Z14" s="8"/>
      <c r="AA14" s="8"/>
      <c r="AB14" s="8"/>
    </row>
    <row r="15" ht="12.75" customHeight="1" spans="1:28" x14ac:dyDescent="0.25">
      <c r="A15" s="686" t="s">
        <v>794</v>
      </c>
      <c r="B15" s="527" t="e">
        <f t="shared" si="3"/>
        <v>#NAME?</v>
      </c>
      <c r="C15" s="686">
        <v>1</v>
      </c>
      <c r="D15" s="8" t="str">
        <f t="shared" si="4"/>
        <v>Raymond James Financial, Inc.</v>
      </c>
      <c r="E15" s="8" t="str">
        <f t="shared" si="5"/>
        <v>IQ22623</v>
      </c>
      <c r="F15" s="481" t="e">
        <f t="shared" si="6"/>
        <v>#NAME?</v>
      </c>
      <c r="G15" s="693"/>
      <c r="H15" s="693"/>
      <c r="I15" s="8" t="e">
        <f t="shared" si="7"/>
        <v>#NAME?</v>
      </c>
      <c r="J15" s="8" t="s">
        <v>653</v>
      </c>
      <c r="K15" s="8" t="s">
        <v>795</v>
      </c>
      <c r="L15" s="8" t="s">
        <v>796</v>
      </c>
      <c r="M15" s="8" t="s">
        <v>797</v>
      </c>
      <c r="N15" s="693" t="s">
        <v>798</v>
      </c>
      <c r="O15" s="693" t="e">
        <f t="shared" si="8"/>
        <v>#NAME?</v>
      </c>
      <c r="P15" s="693" t="s">
        <v>723</v>
      </c>
      <c r="Q15" s="693" t="s">
        <v>799</v>
      </c>
      <c r="R15" s="693" t="s">
        <v>800</v>
      </c>
      <c r="S15" s="693" t="s">
        <v>801</v>
      </c>
      <c r="T15" s="693" t="s">
        <v>802</v>
      </c>
      <c r="U15" s="8"/>
      <c r="V15" s="8"/>
      <c r="W15" s="8"/>
      <c r="X15" s="8"/>
      <c r="Y15" s="8"/>
      <c r="Z15" s="8"/>
      <c r="AA15" s="8"/>
      <c r="AB15" s="8"/>
    </row>
    <row r="16" ht="12.75" customHeight="1" spans="1:28" x14ac:dyDescent="0.25">
      <c r="A16" s="686" t="s">
        <v>803</v>
      </c>
      <c r="B16" s="527" t="e">
        <f t="shared" si="3"/>
        <v>#NAME?</v>
      </c>
      <c r="C16" s="686">
        <v>1</v>
      </c>
      <c r="D16" s="8" t="str">
        <f t="shared" si="4"/>
        <v>Houlihan Lokey, Inc.</v>
      </c>
      <c r="E16" s="8" t="str">
        <f t="shared" si="5"/>
        <v>IQ20999</v>
      </c>
      <c r="F16" s="481" t="e">
        <f t="shared" si="6"/>
        <v>#NAME?</v>
      </c>
      <c r="G16" s="693"/>
      <c r="H16" s="693"/>
      <c r="I16" s="8" t="e">
        <f t="shared" si="7"/>
        <v>#NAME?</v>
      </c>
      <c r="J16" s="8" t="s">
        <v>655</v>
      </c>
      <c r="K16" s="8" t="s">
        <v>804</v>
      </c>
      <c r="L16" s="8" t="s">
        <v>805</v>
      </c>
      <c r="M16" s="8" t="s">
        <v>806</v>
      </c>
      <c r="N16" s="693" t="s">
        <v>807</v>
      </c>
      <c r="O16" s="693" t="e">
        <f t="shared" si="8"/>
        <v>#NAME?</v>
      </c>
      <c r="P16" s="693" t="s">
        <v>729</v>
      </c>
      <c r="Q16" s="693" t="s">
        <v>808</v>
      </c>
      <c r="R16" s="693" t="s">
        <v>809</v>
      </c>
      <c r="S16" s="693" t="s">
        <v>810</v>
      </c>
      <c r="T16" s="693" t="s">
        <v>811</v>
      </c>
      <c r="U16" s="8"/>
      <c r="V16" s="8"/>
      <c r="W16" s="8"/>
      <c r="X16" s="8"/>
      <c r="Y16" s="8"/>
      <c r="Z16" s="8"/>
      <c r="AA16" s="8"/>
      <c r="AB16" s="8"/>
    </row>
    <row r="17" ht="12.75" customHeight="1" spans="1:28" x14ac:dyDescent="0.25">
      <c r="A17" s="686" t="s">
        <v>785</v>
      </c>
      <c r="B17" s="527" t="e">
        <f t="shared" si="3"/>
        <v>#NAME?</v>
      </c>
      <c r="C17" s="686">
        <v>1</v>
      </c>
      <c r="D17" s="8" t="str">
        <f t="shared" si="4"/>
        <v>Stifel Financial Corp.</v>
      </c>
      <c r="E17" s="8" t="str">
        <f t="shared" si="5"/>
        <v>IQ305275</v>
      </c>
      <c r="F17" s="481" t="e">
        <f t="shared" si="6"/>
        <v>#NAME?</v>
      </c>
      <c r="G17" s="693"/>
      <c r="H17" s="693"/>
      <c r="I17" s="8" t="e">
        <f t="shared" si="7"/>
        <v>#NAME?</v>
      </c>
      <c r="J17" s="8" t="s">
        <v>651</v>
      </c>
      <c r="K17" s="8" t="s">
        <v>786</v>
      </c>
      <c r="L17" s="8" t="s">
        <v>787</v>
      </c>
      <c r="M17" s="8" t="s">
        <v>788</v>
      </c>
      <c r="N17" s="693" t="s">
        <v>789</v>
      </c>
      <c r="O17" s="693" t="e">
        <f t="shared" si="8"/>
        <v>#NAME?</v>
      </c>
      <c r="P17" s="693" t="s">
        <v>735</v>
      </c>
      <c r="Q17" s="693" t="s">
        <v>790</v>
      </c>
      <c r="R17" s="693" t="s">
        <v>791</v>
      </c>
      <c r="S17" s="693" t="s">
        <v>792</v>
      </c>
      <c r="T17" s="693" t="s">
        <v>793</v>
      </c>
      <c r="U17" s="8"/>
      <c r="V17" s="8"/>
      <c r="W17" s="8"/>
      <c r="X17" s="8"/>
      <c r="Y17" s="8"/>
      <c r="Z17" s="8"/>
      <c r="AA17" s="8"/>
      <c r="AB17" s="8"/>
    </row>
    <row r="18" ht="12.75" customHeight="1" spans="1:28" x14ac:dyDescent="0.25">
      <c r="A18" s="686" t="s">
        <v>812</v>
      </c>
      <c r="B18" s="527" t="e">
        <f t="shared" si="3"/>
        <v>#NAME?</v>
      </c>
      <c r="C18" s="686">
        <v>1</v>
      </c>
      <c r="D18" s="8" t="str">
        <f t="shared" si="4"/>
        <v>Wells Fargo &amp; Company</v>
      </c>
      <c r="E18" s="8" t="str">
        <f t="shared" si="5"/>
        <v>IQ292891</v>
      </c>
      <c r="F18" s="481" t="e">
        <f t="shared" si="6"/>
        <v>#NAME?</v>
      </c>
      <c r="G18" s="693"/>
      <c r="H18" s="693"/>
      <c r="I18" s="8" t="e">
        <f t="shared" si="7"/>
        <v>#NAME?</v>
      </c>
      <c r="J18" s="8" t="s">
        <v>813</v>
      </c>
      <c r="K18" s="8" t="s">
        <v>814</v>
      </c>
      <c r="L18" s="8" t="s">
        <v>815</v>
      </c>
      <c r="M18" s="8" t="s">
        <v>816</v>
      </c>
      <c r="N18" s="693" t="s">
        <v>817</v>
      </c>
      <c r="O18" s="693" t="e">
        <f t="shared" si="8"/>
        <v>#NAME?</v>
      </c>
      <c r="P18" s="693" t="s">
        <v>749</v>
      </c>
      <c r="Q18" s="693" t="s">
        <v>818</v>
      </c>
      <c r="R18" s="693" t="s">
        <v>819</v>
      </c>
      <c r="S18" s="693" t="s">
        <v>820</v>
      </c>
      <c r="T18" s="693" t="s">
        <v>821</v>
      </c>
      <c r="U18" s="8"/>
      <c r="V18" s="8"/>
      <c r="W18" s="8"/>
      <c r="X18" s="8"/>
      <c r="Y18" s="8"/>
      <c r="Z18" s="8"/>
      <c r="AA18" s="8"/>
      <c r="AB18" s="8"/>
    </row>
    <row r="19" ht="12.75" customHeight="1" spans="1:28" x14ac:dyDescent="0.25">
      <c r="A19" s="686" t="s">
        <v>822</v>
      </c>
      <c r="B19" s="527" t="e">
        <f t="shared" si="3"/>
        <v>#NAME?</v>
      </c>
      <c r="C19" s="686">
        <v>1</v>
      </c>
      <c r="D19" s="8" t="str">
        <f t="shared" si="4"/>
        <v>Raymond James Financial, Inc.</v>
      </c>
      <c r="E19" s="8" t="str">
        <f t="shared" si="5"/>
        <v>IQ22623</v>
      </c>
      <c r="F19" s="481" t="e">
        <f t="shared" si="6"/>
        <v>#NAME?</v>
      </c>
      <c r="G19" s="693"/>
      <c r="H19" s="693"/>
      <c r="I19" s="8" t="e">
        <f t="shared" si="7"/>
        <v>#NAME?</v>
      </c>
      <c r="J19" s="8" t="s">
        <v>653</v>
      </c>
      <c r="K19" s="8" t="s">
        <v>823</v>
      </c>
      <c r="L19" s="8" t="s">
        <v>824</v>
      </c>
      <c r="M19" s="8" t="s">
        <v>825</v>
      </c>
      <c r="N19" s="693" t="s">
        <v>826</v>
      </c>
      <c r="O19" s="693" t="e">
        <f t="shared" si="8"/>
        <v>#NAME?</v>
      </c>
      <c r="P19" s="693" t="s">
        <v>723</v>
      </c>
      <c r="Q19" s="693" t="s">
        <v>827</v>
      </c>
      <c r="R19" s="693" t="s">
        <v>828</v>
      </c>
      <c r="S19" s="693" t="s">
        <v>829</v>
      </c>
      <c r="T19" s="693" t="s">
        <v>830</v>
      </c>
      <c r="U19" s="8"/>
      <c r="V19" s="8"/>
      <c r="W19" s="8"/>
      <c r="X19" s="8"/>
      <c r="Y19" s="8"/>
      <c r="Z19" s="8"/>
      <c r="AA19" s="8"/>
      <c r="AB19" s="8"/>
    </row>
    <row r="20" ht="12.75" customHeight="1" spans="1:28" x14ac:dyDescent="0.25">
      <c r="A20" s="686" t="s">
        <v>775</v>
      </c>
      <c r="B20" s="527" t="e">
        <f t="shared" si="3"/>
        <v>#NAME?</v>
      </c>
      <c r="C20" s="686">
        <v>1</v>
      </c>
      <c r="D20" s="8" t="str">
        <f t="shared" si="4"/>
        <v>Piper Sandler Companies</v>
      </c>
      <c r="E20" s="8" t="str">
        <f t="shared" si="5"/>
        <v>IQ522608</v>
      </c>
      <c r="F20" s="481" t="e">
        <f t="shared" si="6"/>
        <v>#NAME?</v>
      </c>
      <c r="G20" s="693"/>
      <c r="H20" s="693"/>
      <c r="I20" s="8" t="e">
        <f t="shared" si="7"/>
        <v>#NAME?</v>
      </c>
      <c r="J20" s="8" t="s">
        <v>648</v>
      </c>
      <c r="K20" s="8" t="s">
        <v>776</v>
      </c>
      <c r="L20" s="8" t="s">
        <v>777</v>
      </c>
      <c r="M20" s="8" t="s">
        <v>778</v>
      </c>
      <c r="N20" s="693" t="s">
        <v>779</v>
      </c>
      <c r="O20" s="693" t="e">
        <f t="shared" si="8"/>
        <v>#NAME?</v>
      </c>
      <c r="P20" s="693" t="s">
        <v>780</v>
      </c>
      <c r="Q20" s="693" t="s">
        <v>781</v>
      </c>
      <c r="R20" s="693" t="s">
        <v>782</v>
      </c>
      <c r="S20" s="693" t="s">
        <v>783</v>
      </c>
      <c r="T20" s="693" t="s">
        <v>784</v>
      </c>
      <c r="U20" s="8"/>
      <c r="V20" s="8"/>
      <c r="W20" s="8"/>
      <c r="X20" s="8"/>
      <c r="Y20" s="8"/>
      <c r="Z20" s="8"/>
      <c r="AA20" s="8"/>
      <c r="AB20" s="8"/>
    </row>
    <row r="21" ht="12.75" customHeight="1" spans="1:28" x14ac:dyDescent="0.25">
      <c r="A21" s="686" t="s">
        <v>831</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769</v>
      </c>
      <c r="L21" s="8" t="s">
        <v>832</v>
      </c>
      <c r="M21" s="8"/>
      <c r="N21" s="693"/>
      <c r="O21" s="693" t="e">
        <f t="shared" si="8"/>
        <v>#NAME?</v>
      </c>
      <c r="P21" s="693" t="s">
        <v>717</v>
      </c>
      <c r="Q21" s="693" t="s">
        <v>773</v>
      </c>
      <c r="R21" s="693" t="s">
        <v>833</v>
      </c>
      <c r="S21" s="693"/>
      <c r="T21" s="693"/>
      <c r="U21" s="8"/>
      <c r="V21" s="8"/>
      <c r="W21" s="8"/>
      <c r="X21" s="8"/>
      <c r="Y21" s="8"/>
      <c r="Z21" s="8"/>
      <c r="AA21" s="8"/>
      <c r="AB21" s="8"/>
    </row>
    <row r="22" ht="12.75" customHeight="1" spans="1:28" x14ac:dyDescent="0.25">
      <c r="A22" s="686" t="s">
        <v>785</v>
      </c>
      <c r="B22" s="527" t="e">
        <f t="shared" si="3"/>
        <v>#NAME?</v>
      </c>
      <c r="C22" s="686">
        <v>1</v>
      </c>
      <c r="D22" s="8" t="str">
        <f t="shared" si="4"/>
        <v>Stifel Financial Corp.</v>
      </c>
      <c r="E22" s="8" t="str">
        <f t="shared" si="5"/>
        <v>IQ305275</v>
      </c>
      <c r="F22" s="481" t="e">
        <f t="shared" si="6"/>
        <v>#NAME?</v>
      </c>
      <c r="G22" s="693"/>
      <c r="H22" s="693"/>
      <c r="I22" s="8" t="e">
        <f t="shared" si="7"/>
        <v>#NAME?</v>
      </c>
      <c r="J22" s="8" t="s">
        <v>651</v>
      </c>
      <c r="K22" s="8" t="s">
        <v>786</v>
      </c>
      <c r="L22" s="8" t="s">
        <v>787</v>
      </c>
      <c r="M22" s="8" t="s">
        <v>788</v>
      </c>
      <c r="N22" s="693" t="s">
        <v>789</v>
      </c>
      <c r="O22" s="693" t="e">
        <f t="shared" si="8"/>
        <v>#NAME?</v>
      </c>
      <c r="P22" s="693" t="s">
        <v>735</v>
      </c>
      <c r="Q22" s="693" t="s">
        <v>790</v>
      </c>
      <c r="R22" s="693" t="s">
        <v>791</v>
      </c>
      <c r="S22" s="693" t="s">
        <v>792</v>
      </c>
      <c r="T22" s="693" t="s">
        <v>793</v>
      </c>
      <c r="U22" s="8"/>
      <c r="V22" s="8"/>
      <c r="W22" s="8"/>
      <c r="X22" s="8"/>
      <c r="Y22" s="8"/>
      <c r="Z22" s="8"/>
      <c r="AA22" s="8"/>
      <c r="AB22" s="8"/>
    </row>
    <row r="23" ht="12.75" customHeight="1" spans="1:28" x14ac:dyDescent="0.25">
      <c r="A23" s="686" t="s">
        <v>834</v>
      </c>
      <c r="B23" s="527" t="e">
        <f t="shared" si="3"/>
        <v>#NAME?</v>
      </c>
      <c r="C23" s="686">
        <v>1</v>
      </c>
      <c r="D23" s="8" t="str">
        <f t="shared" si="4"/>
        <v>Moelis &amp; Company</v>
      </c>
      <c r="E23" s="8" t="str">
        <f t="shared" si="5"/>
        <v>IQ260034573</v>
      </c>
      <c r="F23" s="481" t="e">
        <f t="shared" si="6"/>
        <v>#NAME?</v>
      </c>
      <c r="G23" s="693"/>
      <c r="H23" s="693"/>
      <c r="I23" s="8" t="e">
        <f t="shared" si="7"/>
        <v>#NAME?</v>
      </c>
      <c r="J23" s="8" t="s">
        <v>738</v>
      </c>
      <c r="K23" s="8" t="s">
        <v>835</v>
      </c>
      <c r="L23" s="8" t="s">
        <v>836</v>
      </c>
      <c r="M23" s="8" t="s">
        <v>837</v>
      </c>
      <c r="N23" s="693" t="s">
        <v>838</v>
      </c>
      <c r="O23" s="693" t="e">
        <f t="shared" si="8"/>
        <v>#NAME?</v>
      </c>
      <c r="P23" s="693" t="s">
        <v>839</v>
      </c>
      <c r="Q23" s="693" t="s">
        <v>840</v>
      </c>
      <c r="R23" s="693" t="s">
        <v>841</v>
      </c>
      <c r="S23" s="693" t="s">
        <v>842</v>
      </c>
      <c r="T23" s="693" t="s">
        <v>843</v>
      </c>
      <c r="U23" s="8"/>
      <c r="V23" s="8"/>
      <c r="W23" s="8"/>
      <c r="X23" s="8"/>
      <c r="Y23" s="8"/>
      <c r="Z23" s="8"/>
      <c r="AA23" s="8"/>
      <c r="AB23" s="8"/>
    </row>
    <row r="24" ht="12.75" customHeight="1" spans="1:28" x14ac:dyDescent="0.25">
      <c r="A24" s="686" t="s">
        <v>844</v>
      </c>
      <c r="B24" s="527" t="e">
        <f t="shared" si="3"/>
        <v>#NAME?</v>
      </c>
      <c r="C24" s="686">
        <v>1</v>
      </c>
      <c r="D24" s="8" t="str">
        <f t="shared" si="4"/>
        <v>Evercore Inc.</v>
      </c>
      <c r="E24" s="8" t="str">
        <f t="shared" si="5"/>
        <v>IQ524568</v>
      </c>
      <c r="F24" s="481" t="e">
        <f t="shared" si="6"/>
        <v>#NAME?</v>
      </c>
      <c r="G24" s="693"/>
      <c r="H24" s="693"/>
      <c r="I24" s="8" t="e">
        <f t="shared" si="7"/>
        <v>#NAME?</v>
      </c>
      <c r="J24" s="8" t="s">
        <v>745</v>
      </c>
      <c r="K24" s="8" t="s">
        <v>845</v>
      </c>
      <c r="L24" s="8" t="s">
        <v>846</v>
      </c>
      <c r="M24" s="8" t="s">
        <v>847</v>
      </c>
      <c r="N24" s="693" t="s">
        <v>848</v>
      </c>
      <c r="O24" s="693" t="e">
        <f t="shared" si="8"/>
        <v>#NAME?</v>
      </c>
      <c r="P24" s="693" t="s">
        <v>849</v>
      </c>
      <c r="Q24" s="693" t="s">
        <v>850</v>
      </c>
      <c r="R24" s="693" t="s">
        <v>851</v>
      </c>
      <c r="S24" s="693" t="s">
        <v>852</v>
      </c>
      <c r="T24" s="693" t="s">
        <v>853</v>
      </c>
      <c r="U24" s="8"/>
      <c r="V24" s="8"/>
      <c r="W24" s="8"/>
      <c r="X24" s="8"/>
      <c r="Y24" s="8"/>
      <c r="Z24" s="8"/>
      <c r="AA24" s="8"/>
      <c r="AB24" s="8"/>
    </row>
    <row r="25" ht="12.75" customHeight="1" spans="1:28" x14ac:dyDescent="0.25">
      <c r="A25" s="686" t="s">
        <v>854</v>
      </c>
      <c r="B25" s="527" t="e">
        <f t="shared" si="3"/>
        <v>#NAME?</v>
      </c>
      <c r="C25" s="686">
        <v>1</v>
      </c>
      <c r="D25" s="8" t="str">
        <f t="shared" si="4"/>
        <v>Harmonic Inc.</v>
      </c>
      <c r="E25" s="8" t="str">
        <f t="shared" si="5"/>
        <v>IQ29282</v>
      </c>
      <c r="F25" s="481" t="e">
        <f t="shared" si="6"/>
        <v>#NAME?</v>
      </c>
      <c r="G25" s="693"/>
      <c r="H25" s="693"/>
      <c r="I25" s="8" t="e">
        <f t="shared" si="7"/>
        <v>#NAME?</v>
      </c>
      <c r="J25" s="8" t="s">
        <v>855</v>
      </c>
      <c r="K25" s="8" t="s">
        <v>856</v>
      </c>
      <c r="L25" s="8" t="s">
        <v>857</v>
      </c>
      <c r="M25" s="8" t="s">
        <v>858</v>
      </c>
      <c r="N25" s="693" t="s">
        <v>859</v>
      </c>
      <c r="O25" s="693" t="e">
        <f t="shared" si="8"/>
        <v>#NAME?</v>
      </c>
      <c r="P25" s="693" t="s">
        <v>860</v>
      </c>
      <c r="Q25" s="693" t="s">
        <v>861</v>
      </c>
      <c r="R25" s="693" t="s">
        <v>862</v>
      </c>
      <c r="S25" s="693" t="s">
        <v>863</v>
      </c>
      <c r="T25" s="693" t="s">
        <v>864</v>
      </c>
      <c r="U25" s="8"/>
      <c r="V25" s="8"/>
      <c r="W25" s="8"/>
      <c r="X25" s="8"/>
      <c r="Y25" s="8"/>
      <c r="Z25" s="8"/>
      <c r="AA25" s="8"/>
      <c r="AB25" s="8"/>
    </row>
    <row r="26" ht="12.75" customHeight="1" spans="1:28" x14ac:dyDescent="0.25">
      <c r="A26" s="686" t="s">
        <v>865</v>
      </c>
      <c r="B26" s="527" t="e">
        <f t="shared" si="3"/>
        <v>#NAME?</v>
      </c>
      <c r="C26" s="686">
        <v>1</v>
      </c>
      <c r="D26" s="8" t="str">
        <f t="shared" si="4"/>
        <v>NetApp, Inc.</v>
      </c>
      <c r="E26" s="8" t="str">
        <f t="shared" si="5"/>
        <v>IQ32052</v>
      </c>
      <c r="F26" s="481" t="e">
        <f t="shared" si="6"/>
        <v>#NAME?</v>
      </c>
      <c r="G26" s="693"/>
      <c r="H26" s="693"/>
      <c r="I26" s="8" t="e">
        <f t="shared" si="7"/>
        <v>#NAME?</v>
      </c>
      <c r="J26" s="8" t="s">
        <v>866</v>
      </c>
      <c r="K26" s="8" t="s">
        <v>867</v>
      </c>
      <c r="L26" s="8" t="s">
        <v>868</v>
      </c>
      <c r="M26" s="8" t="s">
        <v>869</v>
      </c>
      <c r="N26" s="693" t="s">
        <v>870</v>
      </c>
      <c r="O26" s="693" t="e">
        <f t="shared" si="8"/>
        <v>#NAME?</v>
      </c>
      <c r="P26" s="693" t="s">
        <v>871</v>
      </c>
      <c r="Q26" s="693" t="s">
        <v>872</v>
      </c>
      <c r="R26" s="693" t="s">
        <v>873</v>
      </c>
      <c r="S26" s="693" t="s">
        <v>874</v>
      </c>
      <c r="T26" s="693" t="s">
        <v>875</v>
      </c>
      <c r="U26" s="8"/>
      <c r="V26" s="8"/>
      <c r="W26" s="8"/>
      <c r="X26" s="8"/>
      <c r="Y26" s="8"/>
      <c r="Z26" s="8"/>
      <c r="AA26" s="8"/>
      <c r="AB26" s="8"/>
    </row>
    <row r="27" ht="12.75" customHeight="1" spans="1:28" x14ac:dyDescent="0.25">
      <c r="A27" s="686" t="s">
        <v>876</v>
      </c>
      <c r="B27" s="527" t="e">
        <f t="shared" si="3"/>
        <v>#NAME?</v>
      </c>
      <c r="C27" s="686">
        <v>1</v>
      </c>
      <c r="D27" s="8" t="str">
        <f t="shared" si="4"/>
        <v>Inseego Corp.</v>
      </c>
      <c r="E27" s="8" t="str">
        <f t="shared" si="5"/>
        <v>IQ32261</v>
      </c>
      <c r="F27" s="481" t="e">
        <f t="shared" si="6"/>
        <v>#NAME?</v>
      </c>
      <c r="G27" s="693"/>
      <c r="H27" s="693"/>
      <c r="I27" s="8" t="e">
        <f t="shared" si="7"/>
        <v>#NAME?</v>
      </c>
      <c r="J27" s="8" t="s">
        <v>877</v>
      </c>
      <c r="K27" s="8" t="s">
        <v>878</v>
      </c>
      <c r="L27" s="8" t="s">
        <v>879</v>
      </c>
      <c r="M27" s="8" t="s">
        <v>880</v>
      </c>
      <c r="N27" s="693" t="s">
        <v>881</v>
      </c>
      <c r="O27" s="693" t="e">
        <f t="shared" si="8"/>
        <v>#NAME?</v>
      </c>
      <c r="P27" s="693" t="s">
        <v>882</v>
      </c>
      <c r="Q27" s="693" t="s">
        <v>883</v>
      </c>
      <c r="R27" s="693" t="s">
        <v>884</v>
      </c>
      <c r="S27" s="693" t="s">
        <v>885</v>
      </c>
      <c r="T27" s="693" t="s">
        <v>886</v>
      </c>
      <c r="U27" s="8"/>
      <c r="V27" s="8"/>
      <c r="W27" s="8"/>
      <c r="X27" s="8"/>
      <c r="Y27" s="8"/>
      <c r="Z27" s="8"/>
      <c r="AA27" s="8"/>
      <c r="AB27" s="8"/>
    </row>
    <row r="28" ht="12.75" customHeight="1" spans="1:28" x14ac:dyDescent="0.25">
      <c r="A28" s="686" t="s">
        <v>887</v>
      </c>
      <c r="B28" s="527" t="e">
        <f t="shared" si="3"/>
        <v>#NAME?</v>
      </c>
      <c r="C28" s="686">
        <v>1</v>
      </c>
      <c r="D28" s="8" t="str">
        <f t="shared" si="4"/>
        <v>Intouch Insight Ltd.</v>
      </c>
      <c r="E28" s="8" t="str">
        <f t="shared" si="5"/>
        <v>IQ3160034</v>
      </c>
      <c r="F28" s="481" t="e">
        <f t="shared" si="6"/>
        <v>#NAME?</v>
      </c>
      <c r="G28" s="693"/>
      <c r="H28" s="693"/>
      <c r="I28" s="8" t="e">
        <f t="shared" si="7"/>
        <v>#NAME?</v>
      </c>
      <c r="J28" s="8" t="s">
        <v>888</v>
      </c>
      <c r="K28" s="8" t="s">
        <v>889</v>
      </c>
      <c r="L28" s="8"/>
      <c r="M28" s="8"/>
      <c r="N28" s="693"/>
      <c r="O28" s="693" t="e">
        <f t="shared" si="8"/>
        <v>#NAME?</v>
      </c>
      <c r="P28" s="693" t="s">
        <v>890</v>
      </c>
      <c r="Q28" s="693" t="s">
        <v>891</v>
      </c>
      <c r="R28" s="693"/>
      <c r="S28" s="693"/>
      <c r="T28" s="693"/>
      <c r="U28" s="8"/>
      <c r="V28" s="8"/>
      <c r="W28" s="8"/>
      <c r="X28" s="8"/>
      <c r="Y28" s="8"/>
      <c r="Z28" s="8"/>
      <c r="AA28" s="8"/>
      <c r="AB28" s="8"/>
    </row>
    <row r="29" ht="12.75" customHeight="1" spans="1:28" x14ac:dyDescent="0.25">
      <c r="A29" s="686" t="s">
        <v>892</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893</v>
      </c>
      <c r="K29" s="8"/>
      <c r="L29" s="8"/>
      <c r="M29" s="8"/>
      <c r="N29" s="693"/>
      <c r="O29" s="693" t="e">
        <f t="shared" si="8"/>
        <v>#NAME?</v>
      </c>
      <c r="P29" s="693" t="s">
        <v>894</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895</v>
      </c>
      <c r="D4" s="11"/>
      <c r="E4" s="11"/>
      <c r="F4" s="11"/>
      <c r="G4" s="12"/>
      <c r="H4" s="8"/>
      <c r="I4" s="8"/>
      <c r="J4" s="10" t="s">
        <v>896</v>
      </c>
      <c r="K4" s="11"/>
      <c r="L4" s="11"/>
      <c r="M4" s="54" t="s">
        <v>897</v>
      </c>
      <c r="N4" s="54" t="s">
        <v>898</v>
      </c>
      <c r="O4" s="55" t="s">
        <v>899</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900</v>
      </c>
      <c r="D6" s="8"/>
      <c r="E6" s="8"/>
      <c r="F6" s="8"/>
      <c r="G6" s="702">
        <v>0.04138</v>
      </c>
      <c r="H6" s="8"/>
      <c r="I6" s="8"/>
      <c r="J6" s="8" t="s">
        <v>901</v>
      </c>
      <c r="K6" s="8"/>
      <c r="L6" s="8"/>
      <c r="M6" s="703">
        <v>14165.9</v>
      </c>
      <c r="N6" s="584">
        <f>M6/$M$9</f>
        <v>0.6257843790551119</v>
      </c>
      <c r="O6" s="584">
        <f>Cost_of_Debt</f>
        <v>0.03895449121700725</v>
      </c>
      <c r="P6" s="8"/>
      <c r="Q6" s="8"/>
      <c r="R6" s="122"/>
      <c r="S6" s="8"/>
      <c r="T6" s="8"/>
      <c r="U6" s="8"/>
      <c r="V6" s="8"/>
      <c r="W6" s="8"/>
      <c r="X6" s="8"/>
      <c r="Y6" s="8"/>
      <c r="Z6" s="8"/>
    </row>
    <row r="7" spans="1:26" x14ac:dyDescent="0.25">
      <c r="A7" s="9"/>
      <c r="B7" s="8"/>
      <c r="C7" s="8" t="s">
        <v>902</v>
      </c>
      <c r="D7" s="8"/>
      <c r="E7" s="8"/>
      <c r="F7" s="8"/>
      <c r="G7" s="702">
        <v>0.0438</v>
      </c>
      <c r="H7" s="8"/>
      <c r="I7" s="8"/>
      <c r="J7" s="8" t="s">
        <v>903</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904</v>
      </c>
      <c r="D8" s="8"/>
      <c r="E8" s="8"/>
      <c r="F8" s="8"/>
      <c r="G8" s="702">
        <v>0.0503</v>
      </c>
      <c r="H8" s="8"/>
      <c r="I8" s="8"/>
      <c r="J8" s="8" t="s">
        <v>905</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906</v>
      </c>
      <c r="D9" s="8"/>
      <c r="E9" s="8"/>
      <c r="F9" s="8"/>
      <c r="G9" s="148">
        <f>Tax_Rate</f>
        <v>0.18721228897035092</v>
      </c>
      <c r="H9" s="8"/>
      <c r="I9" s="8"/>
      <c r="J9" s="122" t="s">
        <v>907</v>
      </c>
      <c r="K9" s="122"/>
      <c r="L9" s="122"/>
      <c r="M9" s="706">
        <f t="shared" ref="M9:N9" si="0">SUM(M6:M8)</f>
        <v>22637.030379999997</v>
      </c>
      <c r="N9" s="707">
        <f t="shared" si="0"/>
        <v>1</v>
      </c>
      <c r="O9" s="707">
        <f>SUMPRODUCT(N6:N8,O6:O8)</f>
        <v>0.06452272350473999</v>
      </c>
      <c r="P9" s="8"/>
      <c r="Q9" s="8"/>
      <c r="R9" s="8"/>
      <c r="S9" s="8"/>
      <c r="T9" s="8"/>
      <c r="U9" s="8"/>
      <c r="V9" s="8"/>
      <c r="W9" s="8"/>
      <c r="X9" s="8"/>
      <c r="Y9" s="8"/>
      <c r="Z9" s="8"/>
    </row>
    <row r="10" spans="1:26" x14ac:dyDescent="0.25">
      <c r="A10" s="9"/>
      <c r="B10" s="8"/>
      <c r="C10" s="8" t="s">
        <v>908</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909</v>
      </c>
      <c r="D13" s="11"/>
      <c r="E13" s="11"/>
      <c r="F13" s="11"/>
      <c r="G13" s="12"/>
      <c r="H13" s="8"/>
      <c r="I13" s="8"/>
      <c r="J13" s="709" t="s">
        <v>910</v>
      </c>
      <c r="K13" s="710"/>
      <c r="L13" s="710"/>
      <c r="M13" s="710"/>
      <c r="N13" s="710"/>
      <c r="O13" s="711">
        <f>SUMPRODUCT($N$6:$N$8,$O$6:$O$8)</f>
        <v>0.06452272350473999</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904</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911</v>
      </c>
      <c r="D16" s="8"/>
      <c r="E16" s="8"/>
      <c r="F16" s="8"/>
      <c r="G16" s="148">
        <f>+Model!T71</f>
        <v>0.22555683465194318</v>
      </c>
      <c r="H16" s="8"/>
      <c r="I16" s="8"/>
      <c r="J16" s="8"/>
      <c r="K16" s="8"/>
      <c r="L16" s="8"/>
      <c r="M16" s="8"/>
      <c r="N16" s="8"/>
      <c r="O16" s="8"/>
      <c r="P16" s="8"/>
      <c r="Q16" s="8"/>
      <c r="R16" s="8"/>
      <c r="S16" s="8"/>
      <c r="T16" s="8"/>
      <c r="U16" s="8"/>
      <c r="V16" s="8"/>
      <c r="W16" s="8"/>
      <c r="X16" s="8"/>
      <c r="Y16" s="8"/>
      <c r="Z16" s="8"/>
    </row>
    <row r="17" spans="1:26" x14ac:dyDescent="0.25">
      <c r="A17" s="9"/>
      <c r="B17" s="8"/>
      <c r="C17" s="122" t="s">
        <v>912</v>
      </c>
      <c r="D17" s="122"/>
      <c r="E17" s="122"/>
      <c r="F17" s="122"/>
      <c r="G17" s="712">
        <f>G15*(1-G16)</f>
        <v>0.03895449121700725</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913</v>
      </c>
      <c r="D20" s="11"/>
      <c r="E20" s="11"/>
      <c r="F20" s="11"/>
      <c r="G20" s="12"/>
      <c r="H20" s="8"/>
      <c r="I20" s="8"/>
      <c r="J20" s="10" t="s">
        <v>914</v>
      </c>
      <c r="K20" s="11"/>
      <c r="L20" s="11"/>
      <c r="M20" s="11"/>
      <c r="N20" s="11"/>
      <c r="O20" s="11"/>
      <c r="P20" s="12"/>
      <c r="Q20" s="713">
        <f>N26-Discount_Rate</f>
        <v>0.0065630835932582315</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915</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0.06452272350473999</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916</v>
      </c>
      <c r="D24" s="121"/>
      <c r="E24" s="121"/>
      <c r="F24" s="121"/>
      <c r="G24" s="718">
        <f>IF(J44="Comps Relevered Beta",G47,G49)</f>
        <v>1.50456</v>
      </c>
      <c r="H24" s="8"/>
      <c r="I24" s="8"/>
      <c r="J24" s="719" t="s">
        <v>917</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913</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918</v>
      </c>
      <c r="E30" s="74" t="s">
        <v>919</v>
      </c>
      <c r="F30" s="74" t="s">
        <v>920</v>
      </c>
      <c r="G30" s="74" t="s">
        <v>921</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659</v>
      </c>
      <c r="D31" s="207" t="s">
        <v>671</v>
      </c>
      <c r="E31" s="207" t="s">
        <v>676</v>
      </c>
      <c r="F31" s="207" t="s">
        <v>922</v>
      </c>
      <c r="G31" s="207" t="s">
        <v>671</v>
      </c>
      <c r="H31" s="8"/>
      <c r="I31" s="8"/>
      <c r="J31" s="82" t="s">
        <v>923</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924</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925</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926</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927</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928</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929</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930</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931</v>
      </c>
      <c r="K44" s="15"/>
      <c r="L44" s="8"/>
      <c r="M44" s="8"/>
      <c r="N44" s="8"/>
      <c r="O44" s="8"/>
      <c r="P44" s="8"/>
      <c r="Q44" s="8"/>
      <c r="R44" s="8"/>
      <c r="S44" s="8"/>
      <c r="T44" s="8"/>
      <c r="U44" s="8"/>
      <c r="V44" s="8"/>
      <c r="W44" s="8"/>
      <c r="X44" s="8"/>
      <c r="Y44" s="8"/>
      <c r="Z44" s="8"/>
    </row>
    <row r="45" ht="15.75" customHeight="1" spans="1:26" x14ac:dyDescent="0.25">
      <c r="A45" s="9"/>
      <c r="B45" s="8"/>
      <c r="C45" s="8"/>
      <c r="D45" s="74" t="s">
        <v>932</v>
      </c>
      <c r="E45" s="74" t="s">
        <v>933</v>
      </c>
      <c r="F45" s="74" t="s">
        <v>920</v>
      </c>
      <c r="G45" s="74" t="s">
        <v>934</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671</v>
      </c>
      <c r="E46" s="74" t="s">
        <v>676</v>
      </c>
      <c r="F46" s="74" t="s">
        <v>922</v>
      </c>
      <c r="G46" s="74" t="s">
        <v>671</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935</v>
      </c>
      <c r="D47" s="747">
        <f>G39</f>
        <v>0.9879328026922461</v>
      </c>
      <c r="E47" s="748">
        <f>'MM Banking Comparables'!O27</f>
        <v>3.177415</v>
      </c>
      <c r="F47" s="749">
        <f>Tax_Rate</f>
        <v>0.18721228897035092</v>
      </c>
      <c r="G47" s="750">
        <f>IF(ISERROR(D47*(1+(1-F47)*E47)),"NA",(D47*(1+(1-F47)*E47)))</f>
        <v>3.5393323598166035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936</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937</v>
      </c>
      <c r="E6" s="99" t="s">
        <v>938</v>
      </c>
      <c r="F6" s="754" t="s">
        <v>939</v>
      </c>
      <c r="G6" s="755" t="s">
        <v>940</v>
      </c>
      <c r="H6" s="8"/>
      <c r="I6" s="8"/>
      <c r="J6" s="8"/>
      <c r="K6" s="8"/>
      <c r="L6" s="756" t="s">
        <v>941</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9341.289065246798</v>
      </c>
      <c r="G7" s="760">
        <f>SUM(E7:F7)</f>
        <v>17812.319445246798</v>
      </c>
      <c r="H7" s="8"/>
      <c r="I7" s="8"/>
      <c r="J7" s="8"/>
      <c r="K7" s="8"/>
      <c r="L7" s="746"/>
      <c r="M7" s="99" t="s">
        <v>942</v>
      </c>
      <c r="N7" s="99"/>
      <c r="O7" s="99"/>
      <c r="P7" s="99"/>
      <c r="Q7" s="99" t="s">
        <v>943</v>
      </c>
      <c r="R7" s="38" t="s">
        <v>944</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945</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707</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76.26362221608488</v>
      </c>
      <c r="R10" s="204">
        <f>Q10/Share_Price-1</f>
        <v>1.005354252329342</v>
      </c>
      <c r="S10" s="8"/>
      <c r="T10" s="8"/>
      <c r="U10" s="8"/>
      <c r="V10" s="8"/>
      <c r="W10" s="8"/>
      <c r="X10" s="8"/>
      <c r="Y10" s="8"/>
      <c r="Z10" s="8"/>
      <c r="AA10" s="8"/>
      <c r="AB10" s="8"/>
      <c r="AC10" s="8"/>
      <c r="AD10" s="8"/>
      <c r="AE10" s="259" t="s">
        <v>946</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945</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76.26362221608488</v>
      </c>
      <c r="AJ12" s="204">
        <f>AI12/Share_Price-1</f>
        <v>1.005354252329342</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85.73526042525053</v>
      </c>
      <c r="R14" s="204">
        <f>Q14/Share_Price-1</f>
        <v>1.2544112654549178</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49.118053986417266</v>
      </c>
      <c r="R15" s="204">
        <f>Q15/Share_Price-1</f>
        <v>0.291560714867664</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947</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707</v>
      </c>
      <c r="D19" s="757"/>
      <c r="E19" s="757"/>
      <c r="F19" s="757"/>
      <c r="G19" s="757"/>
      <c r="H19" s="757"/>
      <c r="I19" s="757"/>
      <c r="J19" s="178"/>
      <c r="K19" s="8"/>
      <c r="L19" s="769">
        <v>0</v>
      </c>
      <c r="M19" s="110" t="str">
        <f>$G$226&amp;" EV/EBITDA"</f>
        <v>NTM EV/EBITDA</v>
      </c>
      <c r="N19" s="8"/>
      <c r="O19" s="8"/>
      <c r="P19" s="8"/>
      <c r="Q19" s="761">
        <f>$N$219</f>
        <v>22.922880687357228</v>
      </c>
      <c r="R19" s="204">
        <f>Q19/Share_Price-1</f>
        <v>-0.39724215915442473</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11.281186141495105</v>
      </c>
      <c r="R20" s="204">
        <f>Q20/Share_Price-1</f>
        <v>-0.7033608692743859</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948</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949</v>
      </c>
      <c r="N23" s="8"/>
      <c r="O23" s="8"/>
      <c r="P23" s="8"/>
      <c r="Q23" s="761">
        <f>AVERAGE(Q9:Q12)</f>
        <v>104.10561966734554</v>
      </c>
      <c r="R23" s="204">
        <f>Q23/Share_Price-1</f>
        <v>1.7374604172323305</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950</v>
      </c>
      <c r="D24" s="263" t="s">
        <v>951</v>
      </c>
      <c r="E24" s="8"/>
      <c r="F24" s="8"/>
      <c r="G24" s="8"/>
      <c r="H24" s="772"/>
      <c r="I24" s="772"/>
      <c r="J24" s="772"/>
      <c r="K24" s="8"/>
      <c r="L24" s="299"/>
      <c r="M24" s="8" t="s">
        <v>952</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7441.38</v>
      </c>
      <c r="H31" s="278">
        <f>Model!O28</f>
        <v>10515.069000000001</v>
      </c>
      <c r="I31" s="278">
        <f>Model!T28</f>
        <v>10823.677</v>
      </c>
      <c r="J31" s="788">
        <f>Model!U28</f>
        <v>2742.8525100000006</v>
      </c>
      <c r="K31" s="789">
        <f>Model!V28</f>
        <v>2804.45528</v>
      </c>
      <c r="L31" s="789">
        <f>Model!W28</f>
        <v>3225.2027500000004</v>
      </c>
      <c r="M31" s="790">
        <f>Model!X28</f>
        <v>3219.017969999999</v>
      </c>
      <c r="N31" s="278">
        <f>Model!Y28</f>
        <v>11991.52851</v>
      </c>
      <c r="O31" s="278">
        <f>Model!AD28</f>
        <v>13020.829885400002</v>
      </c>
      <c r="P31" s="278">
        <f>Model!AE28</f>
        <v>13894.990803084002</v>
      </c>
      <c r="Q31" s="278">
        <f>Model!AF28</f>
        <v>14550.91656634524</v>
      </c>
      <c r="R31" s="278">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425.8820000000003</v>
      </c>
      <c r="H32" s="324">
        <f>Model!O61</f>
        <v>1105.4070000000004</v>
      </c>
      <c r="I32" s="324">
        <f>Model!T61</f>
        <v>954.9390000000001</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312.9970000000003</v>
      </c>
      <c r="H33" s="324">
        <f>Model!O36</f>
        <v>954.4930000000004</v>
      </c>
      <c r="I33" s="324">
        <f>Model!T36</f>
        <v>818.2860000000001</v>
      </c>
      <c r="J33" s="791">
        <f>Model!U36</f>
        <v>292.56286468124995</v>
      </c>
      <c r="K33" s="792">
        <f>Model!V36</f>
        <v>304.6334830180126</v>
      </c>
      <c r="L33" s="792">
        <f>Model!W36</f>
        <v>359.57675150345585</v>
      </c>
      <c r="M33" s="793">
        <f>Model!X36</f>
        <v>355.9426018756485</v>
      </c>
      <c r="N33" s="324">
        <f>Model!Y36</f>
        <v>1312.715701078367</v>
      </c>
      <c r="O33" s="324">
        <f>Model!AD36</f>
        <v>1685.2174090339465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221.8010000000003</v>
      </c>
      <c r="H35" s="278">
        <f>Model!O51</f>
        <v>621.8870000000004</v>
      </c>
      <c r="I35" s="278">
        <f>Model!T51</f>
        <v>578.0880000000001</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953</v>
      </c>
      <c r="D36" s="8"/>
      <c r="E36" s="8"/>
      <c r="F36" s="8"/>
      <c r="G36" s="278"/>
      <c r="H36" s="485">
        <f t="shared" ref="H36:I36" si="12">H35/G35-1</f>
        <v>1.8038061144900137</v>
      </c>
      <c r="I36" s="485">
        <f t="shared" si="12"/>
        <v>-0.07042919372812151</v>
      </c>
      <c r="J36" s="797"/>
      <c r="K36" s="798"/>
      <c r="L36" s="798"/>
      <c r="M36" s="799"/>
      <c r="N36" s="485">
        <f>N35/I35-1</f>
        <v>-0.8268780462252474</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954</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955</v>
      </c>
      <c r="D38" s="8"/>
      <c r="E38" s="8"/>
      <c r="F38" s="8"/>
      <c r="G38" s="278">
        <f>G35-G37</f>
        <v>221.8010000000003</v>
      </c>
      <c r="H38" s="278">
        <f t="shared" ref="H38:J38" si="14">H35-H37</f>
        <v>621.8870000000004</v>
      </c>
      <c r="I38" s="278">
        <f t="shared" si="14"/>
        <v>578.0880000000001</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45.9563068069875</v>
      </c>
      <c r="L41" s="792">
        <f>-Model!W34</f>
        <v>46.09924510904429</v>
      </c>
      <c r="M41" s="793">
        <f>-Model!X34</f>
        <v>46.95459117435119</v>
      </c>
      <c r="N41" s="324">
        <f>-Model!Y34</f>
        <v>184.19468059038297</v>
      </c>
      <c r="O41" s="324">
        <f>-Model!AD34</f>
        <v>183.09628801980412</v>
      </c>
      <c r="P41" s="324">
        <f>-Model!AE34</f>
        <v>182.07061212384048</v>
      </c>
      <c r="Q41" s="324">
        <f>-Model!AF34</f>
        <v>178.1965373852448</v>
      </c>
      <c r="R41" s="324">
        <f>-Model!AG34</f>
        <v>169.96234908879086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18.990899320091682</v>
      </c>
      <c r="K42" s="792">
        <f>Model!V249</f>
        <v>19.417423166577603</v>
      </c>
      <c r="L42" s="792">
        <f>Model!W249</f>
        <v>22.330584852385236</v>
      </c>
      <c r="M42" s="793">
        <f>Model!X249</f>
        <v>22.287762814427044</v>
      </c>
      <c r="N42" s="324">
        <f>Model!Y249</f>
        <v>83.02667015348156</v>
      </c>
      <c r="O42" s="324">
        <f>Model!AD249</f>
        <v>90.15332341645754</v>
      </c>
      <c r="P42" s="324">
        <f>Model!AE249</f>
        <v>96.2058187353895</v>
      </c>
      <c r="Q42" s="324">
        <f>Model!AF249</f>
        <v>100.74730249586646</v>
      </c>
      <c r="R42" s="324">
        <f>Model!AG249</f>
        <v>103.69827879808666</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41.14278765000001</v>
      </c>
      <c r="K43" s="792">
        <f>-Model!V196</f>
        <v>42.0668292</v>
      </c>
      <c r="L43" s="792">
        <f>-Model!W196</f>
        <v>48.37804125</v>
      </c>
      <c r="M43" s="793">
        <f>-Model!X196</f>
        <v>48.28526954999998</v>
      </c>
      <c r="N43" s="324">
        <f>-Model!Y196</f>
        <v>179.87292764999998</v>
      </c>
      <c r="O43" s="324">
        <f>-Model!AD196</f>
        <v>195.312448281</v>
      </c>
      <c r="P43" s="324">
        <f>-Model!AE196</f>
        <v>208.42486204626002</v>
      </c>
      <c r="Q43" s="324">
        <f>-Model!AF196</f>
        <v>218.2637484951786</v>
      </c>
      <c r="R43" s="324">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-2847.4272972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-64.9341199999999</v>
      </c>
      <c r="K46" s="792">
        <f>Model!V79</f>
        <v>-66.23280239999985</v>
      </c>
      <c r="L46" s="792">
        <f>Model!W79</f>
        <v>-67.55745844800003</v>
      </c>
      <c r="M46" s="793">
        <f>Model!X79</f>
        <v>-68.90860761696058</v>
      </c>
      <c r="N46" s="324">
        <f>Model!Y79</f>
        <v>-267.63298846496036</v>
      </c>
      <c r="O46" s="324">
        <f>Model!AD79</f>
        <v>-289.6945537913816</v>
      </c>
      <c r="P46" s="324">
        <f>Model!AE79</f>
        <v>-285.3025156692256</v>
      </c>
      <c r="Q46" s="324">
        <f>Model!AF79</f>
        <v>-408.9336057925575</v>
      </c>
      <c r="R46" s="324">
        <f>Model!AG79</f>
        <v>-382.3529214160408</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956</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953</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957</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958</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959</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960</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961</v>
      </c>
      <c r="D56" s="8"/>
      <c r="E56" s="8"/>
      <c r="F56" s="8"/>
      <c r="G56" s="8"/>
      <c r="H56" s="8"/>
      <c r="I56" s="8"/>
      <c r="J56" s="785"/>
      <c r="K56" s="786"/>
      <c r="L56" s="786"/>
      <c r="M56" s="787"/>
      <c r="N56" s="804">
        <f t="shared" ref="N56:R56" si="27">IF($G$87="Yes",1/(1+$G$88)^N55,1/(1+$G$88)^N54)</f>
        <v>0.9775890661411781</v>
      </c>
      <c r="O56" s="804">
        <f t="shared" si="27"/>
        <v>0.926264890935255</v>
      </c>
      <c r="P56" s="804">
        <f t="shared" si="27"/>
        <v>0.8701222345782369</v>
      </c>
      <c r="Q56" s="804">
        <f t="shared" si="27"/>
        <v>0.8173824901675407</v>
      </c>
      <c r="R56" s="804">
        <f t="shared" si="27"/>
        <v>0.767839400812848</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962</v>
      </c>
      <c r="D58" s="90"/>
      <c r="E58" s="90"/>
      <c r="F58" s="90"/>
      <c r="G58" s="90"/>
      <c r="H58" s="90"/>
      <c r="I58" s="90"/>
      <c r="J58" s="801"/>
      <c r="K58" s="802"/>
      <c r="L58" s="802"/>
      <c r="M58" s="803"/>
      <c r="N58" s="394">
        <f t="shared" ref="N58:R58" si="28">N52*N56</f>
        <v>438.8944767784788</v>
      </c>
      <c r="O58" s="394">
        <f t="shared" si="28"/>
        <v>499.02261644967405</v>
      </c>
      <c r="P58" s="394">
        <f t="shared" si="28"/>
        <v>557.8433418687542</v>
      </c>
      <c r="Q58" s="394">
        <f t="shared" si="28"/>
        <v>602.6361194404421</v>
      </c>
      <c r="R58" s="416">
        <f t="shared" si="28"/>
        <v>622.7201324571205</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0.13699908030864427</v>
      </c>
      <c r="P59" s="485">
        <f t="shared" si="29"/>
        <v>0.11787186287780638</v>
      </c>
      <c r="Q59" s="485">
        <f t="shared" si="29"/>
        <v>0.0802963380751911</v>
      </c>
      <c r="R59" s="485">
        <f t="shared" si="29"/>
        <v>0.033326932071922055</v>
      </c>
      <c r="S59" s="8"/>
      <c r="T59" s="8"/>
      <c r="U59" s="8"/>
      <c r="V59" s="8"/>
      <c r="W59" s="8"/>
      <c r="X59" s="8" t="s">
        <v>963</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964</v>
      </c>
      <c r="H61" s="14"/>
      <c r="I61" s="14"/>
      <c r="J61" s="14"/>
      <c r="K61" s="15"/>
      <c r="L61" s="8"/>
      <c r="M61" s="8"/>
      <c r="N61" s="82" t="s">
        <v>6</v>
      </c>
      <c r="O61" s="14"/>
      <c r="P61" s="14"/>
      <c r="Q61" s="14"/>
      <c r="R61" s="15"/>
      <c r="S61" s="8"/>
      <c r="T61" s="8"/>
      <c r="U61" s="8"/>
      <c r="V61" s="8"/>
      <c r="W61" s="8"/>
      <c r="X61" s="82" t="s">
        <v>965</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966</v>
      </c>
      <c r="H63" s="8"/>
      <c r="I63" s="8"/>
      <c r="J63" s="8"/>
      <c r="K63" s="805">
        <f>R38</f>
        <v>2088.102581873281</v>
      </c>
      <c r="L63" s="8"/>
      <c r="M63" s="8"/>
      <c r="N63" s="185" t="s">
        <v>967</v>
      </c>
      <c r="O63" s="8"/>
      <c r="P63" s="8"/>
      <c r="Q63" s="8"/>
      <c r="R63" s="806">
        <f>R52</f>
        <v>811.00309752</v>
      </c>
      <c r="S63" s="8"/>
      <c r="T63" s="8"/>
      <c r="U63" s="8"/>
      <c r="V63" s="8"/>
      <c r="W63" s="186"/>
      <c r="X63" s="8" t="s">
        <v>966</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968</v>
      </c>
      <c r="H64" s="8"/>
      <c r="I64" s="8"/>
      <c r="J64" s="8"/>
      <c r="K64" s="807">
        <f>IF(Case_Scenario="Bear",Valuation!J88,IF(Case_Scenario="Base",Valuation!J89,IF(Case_Scenario="Bull",Valuation!J90,"Error")))</f>
        <v>8</v>
      </c>
      <c r="L64" s="8"/>
      <c r="M64" s="8"/>
      <c r="N64" s="185" t="s">
        <v>969</v>
      </c>
      <c r="O64" s="8"/>
      <c r="P64" s="8"/>
      <c r="Q64" s="8"/>
      <c r="R64" s="808">
        <f>G90</f>
        <v>0.02</v>
      </c>
      <c r="S64" s="8"/>
      <c r="T64" s="8"/>
      <c r="U64" s="8"/>
      <c r="V64" s="8"/>
      <c r="W64" s="186"/>
      <c r="X64" s="8" t="s">
        <v>968</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970</v>
      </c>
      <c r="H65" s="8"/>
      <c r="I65" s="8"/>
      <c r="J65" s="8"/>
      <c r="K65" s="809">
        <f>K63*K64</f>
        <v>16704.820654986248</v>
      </c>
      <c r="L65" s="8"/>
      <c r="M65" s="8"/>
      <c r="N65" s="185" t="s">
        <v>970</v>
      </c>
      <c r="O65" s="8"/>
      <c r="P65" s="8"/>
      <c r="Q65" s="8"/>
      <c r="R65" s="809">
        <f>(R63*(1+R64))/(Discount_Rate-R64)</f>
        <v>18579.796884670184</v>
      </c>
      <c r="S65" s="8"/>
      <c r="T65" s="8"/>
      <c r="U65" s="8"/>
      <c r="V65" s="8"/>
      <c r="W65" s="186"/>
      <c r="X65" s="8" t="s">
        <v>970</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971</v>
      </c>
      <c r="H66" s="8"/>
      <c r="I66" s="8"/>
      <c r="J66" s="8"/>
      <c r="K66" s="809">
        <f>K65*R56</f>
        <v>12496.36126103207</v>
      </c>
      <c r="L66" s="8"/>
      <c r="M66" s="8"/>
      <c r="N66" s="185" t="s">
        <v>971</v>
      </c>
      <c r="O66" s="8"/>
      <c r="P66" s="8"/>
      <c r="Q66" s="8"/>
      <c r="R66" s="809">
        <f>R65*R56</f>
        <v>14266.300107149573</v>
      </c>
      <c r="S66" s="8"/>
      <c r="T66" s="8"/>
      <c r="U66" s="8"/>
      <c r="V66" s="8"/>
      <c r="W66" s="186"/>
      <c r="X66" s="8" t="s">
        <v>971</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972</v>
      </c>
      <c r="H67" s="8"/>
      <c r="I67" s="8"/>
      <c r="J67" s="8"/>
      <c r="K67" s="809">
        <f>SUM(N58:R58)</f>
        <v>2721.11668699447</v>
      </c>
      <c r="L67" s="8"/>
      <c r="M67" s="8"/>
      <c r="N67" s="185" t="s">
        <v>973</v>
      </c>
      <c r="O67" s="8"/>
      <c r="P67" s="8"/>
      <c r="Q67" s="8"/>
      <c r="R67" s="809">
        <f>SUM(N58:R58)</f>
        <v>2721.11668699447</v>
      </c>
      <c r="S67" s="8"/>
      <c r="T67" s="8"/>
      <c r="U67" s="8"/>
      <c r="V67" s="8"/>
      <c r="W67" s="186"/>
      <c r="X67" s="8" t="s">
        <v>973</v>
      </c>
      <c r="Y67" s="8"/>
      <c r="Z67" s="8"/>
      <c r="AA67" s="8"/>
      <c r="AB67" s="809">
        <f>SUM(N58:R58)</f>
        <v>2721.11668699447</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15177.211803414293</v>
      </c>
      <c r="L69" s="8"/>
      <c r="M69" s="8"/>
      <c r="N69" s="187" t="s">
        <v>10</v>
      </c>
      <c r="O69" s="122"/>
      <c r="P69" s="122"/>
      <c r="Q69" s="122"/>
      <c r="R69" s="810">
        <f>R66+R67</f>
        <v>16987.416794144043</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974</v>
      </c>
      <c r="H70" s="8"/>
      <c r="I70" s="8"/>
      <c r="J70" s="8"/>
      <c r="K70" s="811">
        <f>IF(Last_FQR="1Q",Model!$U$120,IF(Last_FQR="2Q",Model!$V$120,IF(Last_FQR="3Q",Model!$W$120,Model!$X$120)))</f>
        <v>3427.7628450597585</v>
      </c>
      <c r="L70" s="8"/>
      <c r="M70" s="8"/>
      <c r="N70" s="185" t="s">
        <v>974</v>
      </c>
      <c r="O70" s="8"/>
      <c r="P70" s="8"/>
      <c r="Q70" s="8"/>
      <c r="R70" s="809">
        <f t="shared" ref="R70:R75" si="30">K70</f>
        <v>3427.7628450597585</v>
      </c>
      <c r="S70" s="8"/>
      <c r="T70" s="8"/>
      <c r="U70" s="8"/>
      <c r="V70" s="8"/>
      <c r="W70" s="186"/>
      <c r="X70" s="8" t="s">
        <v>974</v>
      </c>
      <c r="Y70" s="8"/>
      <c r="Z70" s="8"/>
      <c r="AA70" s="8"/>
      <c r="AB70" s="811">
        <f>Model!$V$120</f>
        <v>7054.601934753202</v>
      </c>
      <c r="AC70" s="8"/>
      <c r="AD70" s="8"/>
      <c r="AE70" s="8"/>
      <c r="AF70" s="8"/>
      <c r="AG70" s="8"/>
      <c r="AH70" s="8"/>
      <c r="AI70" s="8"/>
      <c r="AJ70" s="8"/>
    </row>
    <row r="71" ht="15.75" customHeight="1" hidden="1" spans="1:36" x14ac:dyDescent="0.25" outlineLevel="1" collapsed="1">
      <c r="A71" s="8"/>
      <c r="B71" s="8"/>
      <c r="C71" s="8"/>
      <c r="D71" s="8"/>
      <c r="E71" s="8"/>
      <c r="F71" s="186"/>
      <c r="G71" s="8" t="s">
        <v>975</v>
      </c>
      <c r="H71" s="8"/>
      <c r="I71" s="8"/>
      <c r="J71" s="8"/>
      <c r="K71" s="811">
        <f>WACC!$M$8</f>
        <v>0.1</v>
      </c>
      <c r="L71" s="8"/>
      <c r="M71" s="8"/>
      <c r="N71" s="185" t="s">
        <v>975</v>
      </c>
      <c r="O71" s="8"/>
      <c r="P71" s="8"/>
      <c r="Q71" s="8"/>
      <c r="R71" s="809">
        <f t="shared" si="30"/>
        <v>0.1</v>
      </c>
      <c r="S71" s="8"/>
      <c r="T71" s="8"/>
      <c r="U71" s="8"/>
      <c r="V71" s="8"/>
      <c r="W71" s="186"/>
      <c r="X71" s="8" t="s">
        <v>975</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976</v>
      </c>
      <c r="H72" s="8"/>
      <c r="I72" s="8"/>
      <c r="J72" s="8"/>
      <c r="K72" s="811">
        <f>-IF(Last_FQR="1Q",Model!$U$140+Model!$U$141,IF(Last_FQR="2Q",Model!$V$140+Model!$V$141,IF(Last_FQR="3Q",Model!$W$140+Model!$W$141,Model!$X$140+Model!$X$141)))</f>
        <v>-16895.891</v>
      </c>
      <c r="L72" s="8"/>
      <c r="M72" s="8"/>
      <c r="N72" s="185" t="s">
        <v>976</v>
      </c>
      <c r="O72" s="8"/>
      <c r="P72" s="8"/>
      <c r="Q72" s="8"/>
      <c r="R72" s="809">
        <f t="shared" si="30"/>
        <v>-16895.891</v>
      </c>
      <c r="S72" s="8"/>
      <c r="T72" s="8"/>
      <c r="U72" s="8"/>
      <c r="V72" s="8"/>
      <c r="W72" s="186"/>
      <c r="X72" s="8" t="s">
        <v>976</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977</v>
      </c>
      <c r="H73" s="8"/>
      <c r="I73" s="8"/>
      <c r="J73" s="8"/>
      <c r="K73" s="812">
        <v>0</v>
      </c>
      <c r="L73" s="8"/>
      <c r="M73" s="8"/>
      <c r="N73" s="185" t="s">
        <v>977</v>
      </c>
      <c r="O73" s="8"/>
      <c r="P73" s="8"/>
      <c r="Q73" s="8"/>
      <c r="R73" s="809">
        <f t="shared" si="30"/>
        <v>0</v>
      </c>
      <c r="S73" s="8"/>
      <c r="T73" s="8"/>
      <c r="U73" s="8"/>
      <c r="V73" s="8"/>
      <c r="W73" s="186"/>
      <c r="X73" s="8" t="s">
        <v>977</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978</v>
      </c>
      <c r="H74" s="8"/>
      <c r="I74" s="8"/>
      <c r="J74" s="8"/>
      <c r="K74" s="811">
        <f>-IF(Last_FQR="1Q",Model!$U$154,IF(Last_FQR="2Q",Model!$V$154,IF(Last_FQR="3Q",Model!$W$154,Model!$X$154)))</f>
        <v>-67.507</v>
      </c>
      <c r="L74" s="8"/>
      <c r="M74" s="8"/>
      <c r="N74" s="185" t="s">
        <v>978</v>
      </c>
      <c r="O74" s="8"/>
      <c r="P74" s="8"/>
      <c r="Q74" s="8"/>
      <c r="R74" s="809">
        <f t="shared" si="30"/>
        <v>-67.507</v>
      </c>
      <c r="S74" s="8"/>
      <c r="T74" s="8"/>
      <c r="U74" s="8"/>
      <c r="V74" s="8"/>
      <c r="W74" s="186"/>
      <c r="X74" s="8" t="s">
        <v>978</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979</v>
      </c>
      <c r="H75" s="8"/>
      <c r="I75" s="8"/>
      <c r="J75" s="8"/>
      <c r="K75" s="812">
        <v>0</v>
      </c>
      <c r="L75" s="8"/>
      <c r="M75" s="8"/>
      <c r="N75" s="185" t="s">
        <v>979</v>
      </c>
      <c r="O75" s="8"/>
      <c r="P75" s="8"/>
      <c r="Q75" s="8"/>
      <c r="R75" s="809">
        <f t="shared" si="30"/>
        <v>0</v>
      </c>
      <c r="S75" s="8"/>
      <c r="T75" s="8"/>
      <c r="U75" s="8"/>
      <c r="V75" s="8"/>
      <c r="W75" s="186"/>
      <c r="X75" s="8" t="s">
        <v>979</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15177.211803414293</v>
      </c>
      <c r="L76" s="8"/>
      <c r="M76" s="8"/>
      <c r="N76" s="187" t="s">
        <v>13</v>
      </c>
      <c r="O76" s="122"/>
      <c r="P76" s="122"/>
      <c r="Q76" s="122"/>
      <c r="R76" s="810">
        <f>SUM(R66:R67)</f>
        <v>16987.416794144043</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980</v>
      </c>
      <c r="H78" s="8"/>
      <c r="I78" s="8"/>
      <c r="J78" s="8"/>
      <c r="K78" s="813">
        <f>Diluted_Shares</f>
        <v>222.746</v>
      </c>
      <c r="L78" s="8"/>
      <c r="M78" s="8"/>
      <c r="N78" s="185" t="s">
        <v>980</v>
      </c>
      <c r="O78" s="8"/>
      <c r="P78" s="8"/>
      <c r="Q78" s="8"/>
      <c r="R78" s="814">
        <f>K78</f>
        <v>222.746</v>
      </c>
      <c r="S78" s="8"/>
      <c r="T78" s="8"/>
      <c r="U78" s="8"/>
      <c r="V78" s="8"/>
      <c r="W78" s="186"/>
      <c r="X78" s="8" t="s">
        <v>980</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68.13685454919187</v>
      </c>
      <c r="L80" s="8"/>
      <c r="M80" s="8"/>
      <c r="N80" s="187" t="s">
        <v>15</v>
      </c>
      <c r="O80" s="122"/>
      <c r="P80" s="122"/>
      <c r="Q80" s="122"/>
      <c r="R80" s="815">
        <f>R76/R78</f>
        <v>76.26362221608488</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0.7916606507807484</v>
      </c>
      <c r="L81" s="8"/>
      <c r="M81" s="8"/>
      <c r="N81" s="816" t="s">
        <v>12</v>
      </c>
      <c r="O81" s="121"/>
      <c r="P81" s="121"/>
      <c r="Q81" s="121"/>
      <c r="R81" s="817">
        <f>R80/Share_Price-1</f>
        <v>1.005354252329342</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981</v>
      </c>
      <c r="H83" s="8"/>
      <c r="I83" s="8"/>
      <c r="J83" s="8"/>
      <c r="K83" s="818">
        <f>R65/K63</f>
        <v>7.750307425026151</v>
      </c>
      <c r="L83" s="8"/>
      <c r="M83" s="8"/>
      <c r="N83" s="8" t="s">
        <v>982</v>
      </c>
      <c r="O83" s="8"/>
      <c r="P83" s="8"/>
      <c r="Q83" s="8"/>
      <c r="R83" s="819">
        <f>(K65*Discount_Rate-R63)/(R63+K65)</f>
        <v>0.021521524032860777</v>
      </c>
      <c r="S83" s="8"/>
      <c r="T83" s="8"/>
      <c r="U83" s="8"/>
      <c r="V83" s="8"/>
      <c r="W83" s="8"/>
      <c r="X83" s="8" t="s">
        <v>981</v>
      </c>
      <c r="Y83" s="8"/>
      <c r="Z83" s="8"/>
      <c r="AA83" s="8"/>
      <c r="AB83" s="818">
        <f>R65/AB63</f>
        <v>7.243593031179122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960</v>
      </c>
      <c r="D87" s="8"/>
      <c r="E87" s="8"/>
      <c r="F87" s="8"/>
      <c r="G87" s="35" t="s">
        <v>983</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984</v>
      </c>
      <c r="D88" s="8"/>
      <c r="E88" s="8"/>
      <c r="F88" s="8"/>
      <c r="G88" s="821">
        <f>Discount_Rate</f>
        <v>0.06452272350473999</v>
      </c>
      <c r="H88" s="8"/>
      <c r="I88" s="8" t="s">
        <v>985</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0.18721228897035092</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986</v>
      </c>
      <c r="D90" s="8"/>
      <c r="E90" s="8"/>
      <c r="F90" s="8"/>
      <c r="G90" s="824">
        <v>0.02</v>
      </c>
      <c r="H90" s="8"/>
      <c r="I90" s="8" t="s">
        <v>987</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988</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989</v>
      </c>
      <c r="D96" s="8"/>
      <c r="E96" s="818">
        <f>J89</f>
        <v>8</v>
      </c>
      <c r="F96" s="713">
        <f>E96-H102</f>
        <v>0</v>
      </c>
      <c r="G96" s="8"/>
      <c r="H96" s="8" t="s">
        <v>990</v>
      </c>
      <c r="I96" s="8"/>
      <c r="J96" s="825">
        <f>G90</f>
        <v>0.02</v>
      </c>
      <c r="K96" s="713">
        <f>J96-H110</f>
        <v>0</v>
      </c>
      <c r="L96" s="8"/>
      <c r="M96" s="8" t="s">
        <v>991</v>
      </c>
      <c r="N96" s="8"/>
      <c r="O96" s="825">
        <f>+E105</f>
        <v>0.06452272350473999</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992</v>
      </c>
      <c r="D97" s="8"/>
      <c r="E97" s="826">
        <v>1</v>
      </c>
      <c r="F97" s="8"/>
      <c r="G97" s="8"/>
      <c r="H97" s="8" t="s">
        <v>993</v>
      </c>
      <c r="I97" s="8"/>
      <c r="J97" s="827">
        <v>0.005</v>
      </c>
      <c r="K97" s="8"/>
      <c r="L97" s="8"/>
      <c r="M97" s="8" t="s">
        <v>994</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995</v>
      </c>
      <c r="E99" s="14"/>
      <c r="F99" s="14"/>
      <c r="G99" s="14"/>
      <c r="H99" s="14"/>
      <c r="I99" s="14"/>
      <c r="J99" s="15"/>
      <c r="K99" s="828"/>
      <c r="L99" s="54" t="s">
        <v>996</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68.13685454919187</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0.054522723504739995</v>
      </c>
      <c r="F103" s="834">
        <v>146.6099932465139</v>
      </c>
      <c r="G103" s="835">
        <v>146.6099932465139</v>
      </c>
      <c r="H103" s="835">
        <v>146.6099932465139</v>
      </c>
      <c r="I103" s="835">
        <v>146.6099932465139</v>
      </c>
      <c r="J103" s="836">
        <v>146.6099932465139</v>
      </c>
      <c r="K103" s="8"/>
      <c r="L103" s="719" t="s">
        <v>44</v>
      </c>
      <c r="M103" s="833">
        <f t="shared" ref="M103:M107" si="35">E103</f>
        <v>0.054522723504739995</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0.05952272350473999</v>
      </c>
      <c r="F104" s="839">
        <v>146.6099932465139</v>
      </c>
      <c r="G104" s="840">
        <v>146.6099932465139</v>
      </c>
      <c r="H104" s="840">
        <v>146.6099932465139</v>
      </c>
      <c r="I104" s="840">
        <v>146.6099932465139</v>
      </c>
      <c r="J104" s="841">
        <v>146.6099932465139</v>
      </c>
      <c r="K104" s="8"/>
      <c r="L104" s="724"/>
      <c r="M104" s="833">
        <f t="shared" si="35"/>
        <v>0.05952272350473999</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0.06452272350473999</v>
      </c>
      <c r="F105" s="844">
        <v>146.6099932465139</v>
      </c>
      <c r="G105" s="840">
        <v>146.6099932465139</v>
      </c>
      <c r="H105" s="840">
        <v>146.6099932465139</v>
      </c>
      <c r="I105" s="840">
        <v>146.6099932465139</v>
      </c>
      <c r="J105" s="841">
        <v>146.6099932465139</v>
      </c>
      <c r="K105" s="8"/>
      <c r="L105" s="724"/>
      <c r="M105" s="833">
        <f t="shared" si="35"/>
        <v>0.06452272350473999</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0.06952272350474</v>
      </c>
      <c r="F106" s="839">
        <v>146.6099932465139</v>
      </c>
      <c r="G106" s="840">
        <v>146.6099932465139</v>
      </c>
      <c r="H106" s="840">
        <v>146.6099932465139</v>
      </c>
      <c r="I106" s="840">
        <v>146.6099932465139</v>
      </c>
      <c r="J106" s="841">
        <v>146.6099932465139</v>
      </c>
      <c r="K106" s="8"/>
      <c r="L106" s="724"/>
      <c r="M106" s="833">
        <f t="shared" si="35"/>
        <v>0.06952272350474</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0.07452272350474</v>
      </c>
      <c r="F107" s="845">
        <v>146.6099932465139</v>
      </c>
      <c r="G107" s="846">
        <v>146.6099932465139</v>
      </c>
      <c r="H107" s="846">
        <v>146.6099932465139</v>
      </c>
      <c r="I107" s="846">
        <v>146.6099932465139</v>
      </c>
      <c r="J107" s="847">
        <v>146.6099932465139</v>
      </c>
      <c r="K107" s="8"/>
      <c r="L107" s="729"/>
      <c r="M107" s="833">
        <f t="shared" si="35"/>
        <v>0.07452272350474</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997</v>
      </c>
      <c r="G109" s="714"/>
      <c r="H109" s="714"/>
      <c r="I109" s="714"/>
      <c r="J109" s="714"/>
      <c r="K109" s="8"/>
      <c r="L109" s="620"/>
      <c r="M109" s="622"/>
      <c r="N109" s="622" t="s">
        <v>997</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76.26362221608488</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0.054522723504739995</v>
      </c>
      <c r="F111" s="834">
        <v>39.287570414775445</v>
      </c>
      <c r="G111" s="835">
        <v>41.8528356935007</v>
      </c>
      <c r="H111" s="844">
        <v>44.871513150043214</v>
      </c>
      <c r="I111" s="835">
        <v>48.475467697564994</v>
      </c>
      <c r="J111" s="836">
        <v>52.85318670789136</v>
      </c>
      <c r="K111" s="8"/>
      <c r="L111" s="719" t="s">
        <v>44</v>
      </c>
      <c r="M111" s="833">
        <f t="shared" ref="M111:M115" si="42">E111</f>
        <v>0.054522723504739995</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0.05952272350473999</v>
      </c>
      <c r="F112" s="839">
        <v>38.72212619379026</v>
      </c>
      <c r="G112" s="840">
        <v>41.24495498386613</v>
      </c>
      <c r="H112" s="840">
        <v>44.213695276917925</v>
      </c>
      <c r="I112" s="840">
        <v>47.758030580567656</v>
      </c>
      <c r="J112" s="841">
        <v>52.063330171104326</v>
      </c>
      <c r="K112" s="8"/>
      <c r="L112" s="724"/>
      <c r="M112" s="833">
        <f t="shared" si="42"/>
        <v>0.05952272350473999</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0.06452272350473999</v>
      </c>
      <c r="F113" s="839">
        <v>36.853414514023115</v>
      </c>
      <c r="G113" s="840">
        <v>39.236171901998745</v>
      </c>
      <c r="H113" s="840">
        <v>42.04008308855112</v>
      </c>
      <c r="I113" s="840">
        <v>45.387631350032734</v>
      </c>
      <c r="J113" s="841">
        <v>49.453893970450665</v>
      </c>
      <c r="K113" s="8"/>
      <c r="L113" s="724"/>
      <c r="M113" s="833">
        <f t="shared" si="42"/>
        <v>0.06452272350473999</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0.06952272350474</v>
      </c>
      <c r="F114" s="839">
        <v>37.62577269915506</v>
      </c>
      <c r="G114" s="840">
        <v>40.066389689290126</v>
      </c>
      <c r="H114" s="840">
        <v>42.938387197413896</v>
      </c>
      <c r="I114" s="840">
        <v>46.36722271524662</v>
      </c>
      <c r="J114" s="841">
        <v>50.532224862684984</v>
      </c>
      <c r="K114" s="8"/>
      <c r="L114" s="724"/>
      <c r="M114" s="833">
        <f t="shared" si="42"/>
        <v>0.06952272350474</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0.07452272350474</v>
      </c>
      <c r="F115" s="845">
        <v>37.09428582507126</v>
      </c>
      <c r="G115" s="846">
        <v>39.4950824165073</v>
      </c>
      <c r="H115" s="846">
        <v>42.32022124655978</v>
      </c>
      <c r="I115" s="846">
        <v>45.69311287891381</v>
      </c>
      <c r="J115" s="847">
        <v>49.79016005973365</v>
      </c>
      <c r="K115" s="8"/>
      <c r="L115" s="729"/>
      <c r="M115" s="833">
        <f t="shared" si="42"/>
        <v>0.07452272350474</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998</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999</v>
      </c>
      <c r="E120" s="14"/>
      <c r="F120" s="15"/>
      <c r="G120" s="8"/>
      <c r="H120" s="82" t="s">
        <v>1000</v>
      </c>
      <c r="I120" s="14"/>
      <c r="J120" s="15"/>
      <c r="K120" s="8"/>
      <c r="L120" s="82" t="s">
        <v>137</v>
      </c>
      <c r="M120" s="14"/>
      <c r="N120" s="15"/>
      <c r="O120" s="186"/>
      <c r="P120" s="82" t="s">
        <v>1001</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1002</v>
      </c>
      <c r="E122" s="8"/>
      <c r="F122" s="852">
        <f>$D$11</f>
        <v>8.3</v>
      </c>
      <c r="G122" s="8"/>
      <c r="H122" s="185" t="s">
        <v>1003</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1002</v>
      </c>
      <c r="M122" s="8"/>
      <c r="N122" s="852">
        <f>$D$12</f>
        <v>10.8796</v>
      </c>
      <c r="O122" s="186"/>
      <c r="P122" s="185" t="s">
        <v>1003</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1004</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1005</v>
      </c>
      <c r="I123" s="8"/>
      <c r="J123" s="852">
        <f>IF(G147="1 Year",J148,IF(G147="2 Year",J149,IF(G147="3 Year",J150,IF(G147="5 Year",J151,"N/A"))))</f>
        <v>13.59608394778371</v>
      </c>
      <c r="K123" s="8"/>
      <c r="L123" s="185" t="s">
        <v>1004</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1005</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1006</v>
      </c>
      <c r="E124" s="299"/>
      <c r="F124" s="853">
        <f>F122/F123-1</f>
        <v>-0.4147447512514091</v>
      </c>
      <c r="G124" s="8"/>
      <c r="H124" s="301" t="s">
        <v>1007</v>
      </c>
      <c r="I124" s="299"/>
      <c r="J124" s="854">
        <f>J122/J123-1</f>
        <v>-0.04316116690353289</v>
      </c>
      <c r="K124" s="8"/>
      <c r="L124" s="301" t="s">
        <v>1006</v>
      </c>
      <c r="M124" s="299"/>
      <c r="N124" s="853">
        <f>N122/N123-1</f>
        <v>-0.06724006076880096</v>
      </c>
      <c r="O124" s="186"/>
      <c r="P124" s="185" t="s">
        <v>1007</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1008</v>
      </c>
      <c r="E125" s="299"/>
      <c r="F125" s="855">
        <v>0</v>
      </c>
      <c r="G125" s="8"/>
      <c r="H125" s="185" t="s">
        <v>1009</v>
      </c>
      <c r="I125" s="8"/>
      <c r="J125" s="852">
        <f>IF($G$149=$K$224,$E$11,IF($G$149=$M$224,$E$16,IF($G$149=$O$224,$E$21,"N/A")))</f>
        <v>12.44131492677972</v>
      </c>
      <c r="K125" s="8"/>
      <c r="L125" s="301" t="s">
        <v>1008</v>
      </c>
      <c r="M125" s="299"/>
      <c r="N125" s="855">
        <v>0</v>
      </c>
      <c r="O125" s="186"/>
      <c r="P125" s="185" t="s">
        <v>1009</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1010</v>
      </c>
      <c r="E127" s="8"/>
      <c r="F127" s="852">
        <f>F123*(1+F125)</f>
        <v>14.181846327302988</v>
      </c>
      <c r="G127" s="8"/>
      <c r="H127" s="185" t="s">
        <v>1010</v>
      </c>
      <c r="I127" s="8"/>
      <c r="J127" s="852">
        <f>J125*(1+J124)</f>
        <v>11.904333256725565</v>
      </c>
      <c r="K127" s="8"/>
      <c r="L127" s="185" t="s">
        <v>1010</v>
      </c>
      <c r="M127" s="8"/>
      <c r="N127" s="852">
        <f>N123*(1+N125)</f>
        <v>11.663880000000002</v>
      </c>
      <c r="O127" s="186"/>
      <c r="P127" s="185" t="s">
        <v>1010</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1011</v>
      </c>
      <c r="E128" s="8"/>
      <c r="F128" s="856">
        <f>NTM_EPS</f>
        <v>8.67062762807427</v>
      </c>
      <c r="G128" s="8"/>
      <c r="H128" s="185" t="s">
        <v>1011</v>
      </c>
      <c r="I128" s="8"/>
      <c r="J128" s="856">
        <f>F128</f>
        <v>8.67062762807427</v>
      </c>
      <c r="K128" s="8"/>
      <c r="L128" s="857" t="s">
        <v>1012</v>
      </c>
      <c r="M128" s="8"/>
      <c r="N128" s="858">
        <f>NTM_EBITDA</f>
        <v>2797.7586766687496</v>
      </c>
      <c r="O128" s="186"/>
      <c r="P128" s="185" t="s">
        <v>1012</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1013</v>
      </c>
      <c r="M129" s="8"/>
      <c r="N129" s="858">
        <f>N127*N128</f>
        <v>32632.7214736231</v>
      </c>
      <c r="O129" s="186"/>
      <c r="P129" s="185" t="s">
        <v>1013</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1014</v>
      </c>
      <c r="E130" s="8"/>
      <c r="F130" s="858">
        <f>F127*F128</f>
        <v>122.9655085826169</v>
      </c>
      <c r="G130" s="8"/>
      <c r="H130" s="185" t="s">
        <v>1014</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1015</v>
      </c>
      <c r="E131" s="121"/>
      <c r="F131" s="817">
        <f>F130/Share_Price-1</f>
        <v>2.233381766568943</v>
      </c>
      <c r="G131" s="8"/>
      <c r="H131" s="304" t="s">
        <v>1015</v>
      </c>
      <c r="I131" s="121"/>
      <c r="J131" s="817">
        <f>J130/Share_Price-1</f>
        <v>1.714121504853222</v>
      </c>
      <c r="K131" s="8"/>
      <c r="L131" s="185" t="s">
        <v>1016</v>
      </c>
      <c r="M131" s="8"/>
      <c r="N131" s="860">
        <f t="shared" ref="N131:N136" si="45">K70</f>
        <v>3427.7628450597585</v>
      </c>
      <c r="O131" s="186"/>
      <c r="P131" s="185" t="s">
        <v>1016</v>
      </c>
      <c r="Q131" s="8"/>
      <c r="R131" s="809">
        <f t="shared" ref="R131:R136" si="46">N131</f>
        <v>3427.7628450597585</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1017</v>
      </c>
      <c r="M132" s="8"/>
      <c r="N132" s="860">
        <f t="shared" si="45"/>
        <v>0.1</v>
      </c>
      <c r="O132" s="186"/>
      <c r="P132" s="185" t="s">
        <v>1017</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1018</v>
      </c>
      <c r="M133" s="8"/>
      <c r="N133" s="860">
        <f t="shared" si="45"/>
        <v>-16895.891</v>
      </c>
      <c r="O133" s="186"/>
      <c r="P133" s="185" t="s">
        <v>1018</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1019</v>
      </c>
      <c r="M134" s="8"/>
      <c r="N134" s="860">
        <f t="shared" si="45"/>
        <v>0</v>
      </c>
      <c r="O134" s="186"/>
      <c r="P134" s="185" t="s">
        <v>1019</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1011</v>
      </c>
      <c r="E135" s="122"/>
      <c r="F135" s="861">
        <f>IF(Last_FQR="3Q",SUM(Model!X57,Model!Z57:AB57),IF(Last_FQR="2Q",SUM(Model!W57:X57,Model!Z57:AA57),IF(Last_FQR="1Q",SUM(Model!V57:X57,Model!Z57),IF(Last_FQR="4Q",SUM(Model!U57:X57),"Error"))))</f>
        <v>8.67062762807427</v>
      </c>
      <c r="G135" s="8"/>
      <c r="H135" s="8"/>
      <c r="I135" s="8"/>
      <c r="J135" s="8"/>
      <c r="K135" s="8"/>
      <c r="L135" s="185" t="s">
        <v>1020</v>
      </c>
      <c r="M135" s="8"/>
      <c r="N135" s="860">
        <f t="shared" si="45"/>
        <v>-67.507</v>
      </c>
      <c r="O135" s="186"/>
      <c r="P135" s="185" t="s">
        <v>1020</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1012</v>
      </c>
      <c r="E136" s="121"/>
      <c r="F136" s="862">
        <f>IF(Last_FQR="3Q",SUM(Model!X61,Model!Z61:AB61),IF(Last_FQR="2Q",SUM(Model!W61:X61,Model!Z61:AA61),IF(Last_FQR="1Q",SUM(Model!V61:X61,Model!Z61),IF(Last_FQR="4Q",SUM(Model!U61:X61),"Error"))))</f>
        <v>2797.7586766687496</v>
      </c>
      <c r="G136" s="8"/>
      <c r="H136" s="8"/>
      <c r="I136" s="8"/>
      <c r="J136" s="8"/>
      <c r="K136" s="8"/>
      <c r="L136" s="185" t="s">
        <v>1021</v>
      </c>
      <c r="M136" s="121"/>
      <c r="N136" s="863">
        <f t="shared" si="45"/>
        <v>0</v>
      </c>
      <c r="O136" s="186"/>
      <c r="P136" s="189" t="s">
        <v>1021</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1022</v>
      </c>
      <c r="M138" s="8"/>
      <c r="N138" s="858">
        <f>SUM(N129:N136)</f>
        <v>19097.186318682856</v>
      </c>
      <c r="O138" s="186"/>
      <c r="P138" s="185" t="s">
        <v>1022</v>
      </c>
      <c r="Q138" s="8"/>
      <c r="R138" s="858">
        <f>SUM(R129:R136)</f>
        <v>10940.8500532585</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1014</v>
      </c>
      <c r="M141" s="8"/>
      <c r="N141" s="858">
        <f>N138/N139</f>
        <v>85.73526042525053</v>
      </c>
      <c r="O141" s="186"/>
      <c r="P141" s="185" t="s">
        <v>1014</v>
      </c>
      <c r="Q141" s="8"/>
      <c r="R141" s="858">
        <f>R138/R139</f>
        <v>49.118053986417266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1015</v>
      </c>
      <c r="M142" s="121"/>
      <c r="N142" s="817">
        <f>N141/Share_Price-1</f>
        <v>1.2544112654549178</v>
      </c>
      <c r="O142" s="186"/>
      <c r="P142" s="304" t="s">
        <v>1015</v>
      </c>
      <c r="Q142" s="121"/>
      <c r="R142" s="817">
        <f>R141/Share_Price-1</f>
        <v>0.291560714867664</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1023</v>
      </c>
      <c r="D146" s="8"/>
      <c r="E146" s="8"/>
      <c r="F146" s="8"/>
      <c r="G146" s="35" t="s">
        <v>1024</v>
      </c>
      <c r="H146" s="8"/>
      <c r="I146" s="8"/>
      <c r="J146" s="101" t="s">
        <v>1025</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1026</v>
      </c>
      <c r="D147" s="8"/>
      <c r="E147" s="8"/>
      <c r="F147" s="8"/>
      <c r="G147" s="35" t="s">
        <v>1027</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950</v>
      </c>
      <c r="D148" s="8"/>
      <c r="E148" s="8"/>
      <c r="F148" s="8"/>
      <c r="G148" s="35" t="s">
        <v>951</v>
      </c>
      <c r="H148" s="40" t="b">
        <f>G148=$D$24</f>
        <v>1</v>
      </c>
      <c r="I148" s="74" t="s">
        <v>1028</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1029</v>
      </c>
      <c r="D149" s="8"/>
      <c r="E149" s="8"/>
      <c r="F149" s="8"/>
      <c r="G149" s="35" t="s">
        <v>707</v>
      </c>
      <c r="H149" s="8"/>
      <c r="I149" s="74" t="s">
        <v>1024</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1027</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1030</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988</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1031</v>
      </c>
      <c r="D155" s="8"/>
      <c r="E155" s="818">
        <v>14.181846327302988</v>
      </c>
      <c r="F155" s="713">
        <f>E155-H165</f>
        <v>0</v>
      </c>
      <c r="G155" s="8"/>
      <c r="H155" s="8" t="s">
        <v>1032</v>
      </c>
      <c r="I155" s="8"/>
      <c r="J155" s="8"/>
      <c r="K155" s="818">
        <f>N127</f>
        <v>11.663880000000002</v>
      </c>
      <c r="L155" s="713">
        <f>K155-H181</f>
        <v>0</v>
      </c>
      <c r="M155" s="8"/>
      <c r="N155" s="7" t="s">
        <v>1011</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992</v>
      </c>
      <c r="D156" s="8"/>
      <c r="E156" s="826">
        <v>1</v>
      </c>
      <c r="F156" s="8"/>
      <c r="G156" s="8"/>
      <c r="H156" s="8" t="s">
        <v>992</v>
      </c>
      <c r="I156" s="8"/>
      <c r="J156" s="8"/>
      <c r="K156" s="826">
        <v>1</v>
      </c>
      <c r="L156" s="866"/>
      <c r="M156" s="8"/>
      <c r="N156" s="513" t="s">
        <v>1033</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1034</v>
      </c>
      <c r="D157" s="8"/>
      <c r="E157" s="827">
        <v>0.1</v>
      </c>
      <c r="F157" s="8"/>
      <c r="G157" s="8"/>
      <c r="H157" s="8" t="s">
        <v>1035</v>
      </c>
      <c r="I157" s="8"/>
      <c r="J157" s="8"/>
      <c r="K157" s="827">
        <v>0.1</v>
      </c>
      <c r="L157" s="866"/>
      <c r="M157" s="8"/>
      <c r="N157" s="7" t="s">
        <v>1012</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1036</v>
      </c>
      <c r="D158" s="8"/>
      <c r="E158" s="818">
        <f>$J$127</f>
        <v>11.904333256725565</v>
      </c>
      <c r="F158" s="713">
        <f>E158-H173</f>
        <v>0</v>
      </c>
      <c r="G158" s="8"/>
      <c r="H158" s="8" t="s">
        <v>1037</v>
      </c>
      <c r="I158" s="8"/>
      <c r="J158" s="8"/>
      <c r="K158" s="818">
        <f>R127</f>
        <v>8.748569135827832</v>
      </c>
      <c r="L158" s="713">
        <f>K158-H189</f>
        <v>0</v>
      </c>
      <c r="M158" s="868"/>
      <c r="N158" s="513" t="s">
        <v>1033</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992</v>
      </c>
      <c r="D159" s="8"/>
      <c r="E159" s="826">
        <v>1</v>
      </c>
      <c r="F159" s="8"/>
      <c r="G159" s="8"/>
      <c r="H159" s="8" t="s">
        <v>992</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995</v>
      </c>
      <c r="E162" s="14"/>
      <c r="F162" s="14"/>
      <c r="G162" s="14"/>
      <c r="H162" s="14"/>
      <c r="I162" s="14"/>
      <c r="J162" s="15"/>
      <c r="K162" s="828"/>
      <c r="L162" s="54" t="s">
        <v>996</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85.73526042525053</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49.118053986417266</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1038</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999</v>
      </c>
      <c r="E198" s="14"/>
      <c r="F198" s="15"/>
      <c r="G198" s="8"/>
      <c r="H198" s="82" t="s">
        <v>1000</v>
      </c>
      <c r="I198" s="14"/>
      <c r="J198" s="15"/>
      <c r="K198" s="8"/>
      <c r="L198" s="82" t="s">
        <v>137</v>
      </c>
      <c r="M198" s="14"/>
      <c r="N198" s="15"/>
      <c r="O198" s="8"/>
      <c r="P198" s="82" t="s">
        <v>1001</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1002</v>
      </c>
      <c r="E200" s="8"/>
      <c r="F200" s="852">
        <f>$D$11</f>
        <v>8.3</v>
      </c>
      <c r="G200" s="8"/>
      <c r="H200" s="857" t="s">
        <v>1039</v>
      </c>
      <c r="I200" s="8"/>
      <c r="J200" s="852">
        <f t="array" ref="J200">INDEX(Company_Cyclical_Multiples_Data,MATCH(CONCATENATE($G$224," ",$G$225),'Multiples Data'!$C$14:$C$26,0),MATCH(CONCATENATE(Valuation!$G$226," P/E"),'Multiples Data'!$C$14:$H$14,0))</f>
        <v>15.122041525404525</v>
      </c>
      <c r="K200" s="8"/>
      <c r="L200" s="185" t="s">
        <v>1002</v>
      </c>
      <c r="M200" s="8"/>
      <c r="N200" s="852">
        <f>$D$12</f>
        <v>10.8796</v>
      </c>
      <c r="O200" s="8"/>
      <c r="P200" s="857" t="s">
        <v>1039</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1040</v>
      </c>
      <c r="E201" s="8"/>
      <c r="F201" s="852">
        <f t="array" ref="F201">INDEX(Company_Cyclical_Multiples_Data,MATCH(CONCATENATE($G$224," ",$G$225),'Multiples Data'!$C$14:$C$26,0),MATCH(CONCATENATE(Valuation!$G$226," P/E"),'Multiples Data'!$C$14:$H$14,0))</f>
        <v>15.122041525404525</v>
      </c>
      <c r="G201" s="8"/>
      <c r="H201" s="857" t="s">
        <v>1041</v>
      </c>
      <c r="I201" s="8"/>
      <c r="J201" s="852">
        <f t="array" ref="J201">INDEX($J$224:$O$226,2,MATCH($G$227,$J$224:$O$224,0))</f>
        <v>12.901904038556673</v>
      </c>
      <c r="K201" s="8"/>
      <c r="L201" s="185" t="s">
        <v>1040</v>
      </c>
      <c r="M201" s="8"/>
      <c r="N201" s="852">
        <f>INDEX(Company_Cyclical_Multiples_Data,MATCH(CONCATENATE($G$224," ",$G$225),'Multiples Data'!$C$14:$C$26,0),MATCH(CONCATENATE(Valuation!$G$226," EV/EBITDA"),'Multiples Data'!$C$14:$H$14,0))</f>
        <v>6.663017540427217</v>
      </c>
      <c r="O201" s="8"/>
      <c r="P201" s="857" t="s">
        <v>1041</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1006</v>
      </c>
      <c r="E202" s="299"/>
      <c r="F202" s="853">
        <f>F200/F201-1</f>
        <v>-0.4511323100087856</v>
      </c>
      <c r="G202" s="8"/>
      <c r="H202" s="301" t="s">
        <v>1007</v>
      </c>
      <c r="I202" s="8"/>
      <c r="J202" s="854">
        <f>J200/J201-1</f>
        <v>0.17207828241576495</v>
      </c>
      <c r="K202" s="8"/>
      <c r="L202" s="301" t="s">
        <v>1006</v>
      </c>
      <c r="M202" s="299"/>
      <c r="N202" s="853">
        <f>N200/N201-1</f>
        <v>0.6328337624790983</v>
      </c>
      <c r="O202" s="8"/>
      <c r="P202" s="301" t="s">
        <v>1007</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1008</v>
      </c>
      <c r="E203" s="299"/>
      <c r="F203" s="855">
        <v>0</v>
      </c>
      <c r="G203" s="8"/>
      <c r="H203" s="185" t="s">
        <v>1009</v>
      </c>
      <c r="I203" s="8"/>
      <c r="J203" s="852">
        <f>IF($G$227=$K$224,$E$11,IF($G$227=$M$224,$E$16,IF($G$227=$O$224,$E$21,"N/A")))</f>
        <v>12.44131492677972</v>
      </c>
      <c r="K203" s="8"/>
      <c r="L203" s="301" t="s">
        <v>1008</v>
      </c>
      <c r="M203" s="299"/>
      <c r="N203" s="855">
        <v>0</v>
      </c>
      <c r="O203" s="8"/>
      <c r="P203" s="185" t="s">
        <v>1009</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1010</v>
      </c>
      <c r="E205" s="8"/>
      <c r="F205" s="852">
        <f>F201*(1+F203)</f>
        <v>15.122041525404525</v>
      </c>
      <c r="G205" s="8"/>
      <c r="H205" s="185" t="s">
        <v>1010</v>
      </c>
      <c r="I205" s="8"/>
      <c r="J205" s="852">
        <f>J203*(1+J202)</f>
        <v>14.582195030373592</v>
      </c>
      <c r="K205" s="8"/>
      <c r="L205" s="185" t="s">
        <v>1010</v>
      </c>
      <c r="M205" s="8"/>
      <c r="N205" s="852">
        <f>N201*(1+N203)</f>
        <v>6.663017540427217</v>
      </c>
      <c r="O205" s="8"/>
      <c r="P205" s="185" t="s">
        <v>1010</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1011</v>
      </c>
      <c r="E206" s="8"/>
      <c r="F206" s="856">
        <f>SUM(NTM_EPS)</f>
        <v>8.67062762807427</v>
      </c>
      <c r="G206" s="8"/>
      <c r="H206" s="185" t="s">
        <v>1011</v>
      </c>
      <c r="I206" s="8"/>
      <c r="J206" s="856">
        <f>SUM(NTM_EPS)</f>
        <v>8.67062762807427</v>
      </c>
      <c r="K206" s="8"/>
      <c r="L206" s="857" t="s">
        <v>1012</v>
      </c>
      <c r="M206" s="8"/>
      <c r="N206" s="858">
        <f>SUM(NTM_EBITDA)</f>
        <v>2797.7586766687496</v>
      </c>
      <c r="O206" s="8"/>
      <c r="P206" s="185" t="s">
        <v>1012</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1013</v>
      </c>
      <c r="M207" s="8"/>
      <c r="N207" s="858">
        <f>N205*N206</f>
        <v>18641.515136526315</v>
      </c>
      <c r="O207" s="8"/>
      <c r="P207" s="185" t="s">
        <v>1013</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1014</v>
      </c>
      <c r="E208" s="8"/>
      <c r="F208" s="856">
        <f>F205*F206</f>
        <v>131.11759104305884</v>
      </c>
      <c r="G208" s="8"/>
      <c r="H208" s="185" t="s">
        <v>1014</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1015</v>
      </c>
      <c r="E209" s="121"/>
      <c r="F209" s="817">
        <f>F208/Share_Price-1</f>
        <v>2.4477410213794064</v>
      </c>
      <c r="G209" s="8"/>
      <c r="H209" s="304" t="s">
        <v>1015</v>
      </c>
      <c r="I209" s="121"/>
      <c r="J209" s="817">
        <f>J208/Share_Price-1</f>
        <v>2.324659035191285</v>
      </c>
      <c r="K209" s="8"/>
      <c r="L209" s="185" t="s">
        <v>1016</v>
      </c>
      <c r="M209" s="8"/>
      <c r="N209" s="809">
        <f t="shared" ref="N209:N214" si="76">N131</f>
        <v>3427.7628450597585</v>
      </c>
      <c r="O209" s="8"/>
      <c r="P209" s="185" t="s">
        <v>1016</v>
      </c>
      <c r="Q209" s="8"/>
      <c r="R209" s="809">
        <f t="shared" ref="R209:R214" si="77">N209</f>
        <v>3427.7628450597585</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1017</v>
      </c>
      <c r="M210" s="8"/>
      <c r="N210" s="809">
        <f t="shared" si="76"/>
        <v>0.1</v>
      </c>
      <c r="O210" s="8"/>
      <c r="P210" s="185" t="s">
        <v>1017</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1018</v>
      </c>
      <c r="M211" s="8"/>
      <c r="N211" s="809">
        <f t="shared" si="76"/>
        <v>-16895.891</v>
      </c>
      <c r="O211" s="8"/>
      <c r="P211" s="185" t="s">
        <v>1018</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1019</v>
      </c>
      <c r="M212" s="8"/>
      <c r="N212" s="809">
        <f t="shared" si="76"/>
        <v>0</v>
      </c>
      <c r="O212" s="8"/>
      <c r="P212" s="185" t="s">
        <v>1019</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1020</v>
      </c>
      <c r="M213" s="8"/>
      <c r="N213" s="809">
        <f t="shared" si="76"/>
        <v>-67.507</v>
      </c>
      <c r="O213" s="8"/>
      <c r="P213" s="185" t="s">
        <v>1020</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1021</v>
      </c>
      <c r="M214" s="121"/>
      <c r="N214" s="863">
        <f t="shared" si="76"/>
        <v>0</v>
      </c>
      <c r="O214" s="8"/>
      <c r="P214" s="189" t="s">
        <v>1021</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1022</v>
      </c>
      <c r="M216" s="8"/>
      <c r="N216" s="858">
        <f>SUM(N207:N214)</f>
        <v>5105.979981586073</v>
      </c>
      <c r="O216" s="8"/>
      <c r="P216" s="185" t="s">
        <v>1022</v>
      </c>
      <c r="Q216" s="8"/>
      <c r="R216" s="858">
        <f>SUM(R207:R214)</f>
        <v>2512.839088273469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1014</v>
      </c>
      <c r="M219" s="8"/>
      <c r="N219" s="858">
        <f>N216/N217</f>
        <v>22.922880687357228</v>
      </c>
      <c r="O219" s="8"/>
      <c r="P219" s="185" t="s">
        <v>1014</v>
      </c>
      <c r="Q219" s="8"/>
      <c r="R219" s="858">
        <f>R216/R217</f>
        <v>11.281186141495105</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1015</v>
      </c>
      <c r="M220" s="121"/>
      <c r="N220" s="817">
        <f>N219/Share_Price-1</f>
        <v>-0.39724215915442473</v>
      </c>
      <c r="O220" s="8"/>
      <c r="P220" s="304" t="s">
        <v>1015</v>
      </c>
      <c r="Q220" s="121"/>
      <c r="R220" s="817">
        <f>R219/Share_Price-1</f>
        <v>-0.7033608692743859</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1042</v>
      </c>
      <c r="D224" s="8"/>
      <c r="E224" s="8"/>
      <c r="F224" s="8"/>
      <c r="G224" s="35" t="s">
        <v>1043</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1044</v>
      </c>
      <c r="D225" s="8"/>
      <c r="E225" s="8"/>
      <c r="F225" s="8"/>
      <c r="G225" s="35" t="s">
        <v>1045</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1046</v>
      </c>
      <c r="D226" s="8"/>
      <c r="E226" s="8"/>
      <c r="F226" s="8"/>
      <c r="G226" s="35" t="s">
        <v>951</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1029</v>
      </c>
      <c r="D227" s="8"/>
      <c r="E227" s="8"/>
      <c r="F227" s="8"/>
      <c r="G227" s="35" t="s">
        <v>707</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988</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1031</v>
      </c>
      <c r="D231" s="8"/>
      <c r="E231" s="818">
        <f>$F$205</f>
        <v>15.122041525404525</v>
      </c>
      <c r="F231" s="713">
        <f>E231-H241</f>
        <v>0</v>
      </c>
      <c r="G231" s="8"/>
      <c r="H231" s="8" t="s">
        <v>1032</v>
      </c>
      <c r="I231" s="8"/>
      <c r="J231" s="8"/>
      <c r="K231" s="818">
        <f>$N$205</f>
        <v>6.663017540427217</v>
      </c>
      <c r="L231" s="713">
        <f>K231-H257</f>
        <v>0</v>
      </c>
      <c r="M231" s="8"/>
      <c r="N231" s="7" t="s">
        <v>1011</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992</v>
      </c>
      <c r="D232" s="8"/>
      <c r="E232" s="826">
        <v>1</v>
      </c>
      <c r="F232" s="866"/>
      <c r="G232" s="8"/>
      <c r="H232" s="8" t="s">
        <v>992</v>
      </c>
      <c r="I232" s="8"/>
      <c r="J232" s="8"/>
      <c r="K232" s="826">
        <v>1</v>
      </c>
      <c r="L232" s="866"/>
      <c r="M232" s="8"/>
      <c r="N232" s="513" t="s">
        <v>1033</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1034</v>
      </c>
      <c r="D233" s="8"/>
      <c r="E233" s="827">
        <v>0.1</v>
      </c>
      <c r="F233" s="866"/>
      <c r="G233" s="8"/>
      <c r="H233" s="8" t="s">
        <v>1035</v>
      </c>
      <c r="I233" s="8"/>
      <c r="J233" s="8"/>
      <c r="K233" s="827">
        <v>0.1</v>
      </c>
      <c r="L233" s="866"/>
      <c r="M233" s="8"/>
      <c r="N233" s="7" t="s">
        <v>1012</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1036</v>
      </c>
      <c r="D234" s="8"/>
      <c r="E234" s="818">
        <f>$J$205</f>
        <v>14.582195030373592</v>
      </c>
      <c r="F234" s="713">
        <f>E234-H249</f>
        <v>0</v>
      </c>
      <c r="G234" s="8"/>
      <c r="H234" s="8" t="s">
        <v>1037</v>
      </c>
      <c r="I234" s="8"/>
      <c r="J234" s="8"/>
      <c r="K234" s="818">
        <f>$R$205</f>
        <v>5.736153863821548</v>
      </c>
      <c r="L234" s="713">
        <f>K234-H265</f>
        <v>0</v>
      </c>
      <c r="M234" s="8"/>
      <c r="N234" s="513" t="s">
        <v>1033</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992</v>
      </c>
      <c r="D235" s="8"/>
      <c r="E235" s="826">
        <v>1</v>
      </c>
      <c r="F235" s="866"/>
      <c r="G235" s="8"/>
      <c r="H235" s="8" t="s">
        <v>992</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995</v>
      </c>
      <c r="E238" s="14"/>
      <c r="F238" s="14"/>
      <c r="G238" s="14"/>
      <c r="H238" s="14"/>
      <c r="I238" s="14"/>
      <c r="J238" s="15"/>
      <c r="K238" s="828"/>
      <c r="L238" s="54" t="s">
        <v>996</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22.922880687357228</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11.281186141495105</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948</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1012</v>
      </c>
      <c r="F274" s="37"/>
      <c r="G274" s="99" t="s">
        <v>1047</v>
      </c>
      <c r="H274" s="99"/>
      <c r="I274" s="99" t="s">
        <v>1048</v>
      </c>
      <c r="J274" s="99"/>
      <c r="K274" s="99" t="s">
        <v>1010</v>
      </c>
      <c r="L274" s="99"/>
      <c r="M274" s="38" t="s">
        <v>1049</v>
      </c>
      <c r="N274" s="8"/>
      <c r="O274" s="82" t="s">
        <v>1050</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11643.365525682262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1013</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0</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1016</v>
      </c>
      <c r="P278" s="8"/>
      <c r="Q278" s="8"/>
      <c r="R278" s="860">
        <f t="shared" ref="R278:R283" si="104">K70</f>
        <v>3427.7628450597585</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0</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1017</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0</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1018</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0</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1019</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1020</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1021</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1022</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1014</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1015</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1051</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1051</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1052</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1052</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1052</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1052</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1053</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1054</v>
      </c>
      <c r="M5" s="102"/>
      <c r="N5" s="102"/>
      <c r="O5" s="102"/>
      <c r="P5" s="102"/>
      <c r="Q5" s="102"/>
      <c r="R5" s="883" t="s">
        <v>1055</v>
      </c>
      <c r="S5" s="102"/>
      <c r="T5" s="102"/>
      <c r="U5" s="102"/>
      <c r="V5" s="102"/>
      <c r="W5" s="102"/>
      <c r="X5" s="883" t="s">
        <v>1056</v>
      </c>
      <c r="Y5" s="102"/>
      <c r="Z5" s="102"/>
      <c r="AA5" s="102"/>
      <c r="AB5" s="102"/>
      <c r="AC5" s="102"/>
      <c r="AD5" s="883" t="s">
        <v>1057</v>
      </c>
      <c r="AE5" s="102"/>
      <c r="AF5" s="102"/>
      <c r="AG5" s="102"/>
      <c r="AH5" s="102"/>
      <c r="AI5" s="102"/>
      <c r="AJ5" s="8"/>
      <c r="AK5" s="8"/>
      <c r="AL5" s="884" t="s">
        <v>1054</v>
      </c>
      <c r="AM5" s="102"/>
      <c r="AN5" s="102"/>
      <c r="AO5" s="102"/>
      <c r="AP5" s="102"/>
      <c r="AQ5" s="102"/>
      <c r="AR5" s="883" t="s">
        <v>1055</v>
      </c>
      <c r="AS5" s="102"/>
      <c r="AT5" s="102"/>
      <c r="AU5" s="102"/>
      <c r="AV5" s="102"/>
      <c r="AW5" s="102"/>
      <c r="AX5" s="883" t="s">
        <v>1056</v>
      </c>
      <c r="AY5" s="102"/>
      <c r="AZ5" s="102"/>
      <c r="BA5" s="102"/>
      <c r="BB5" s="102"/>
      <c r="BC5" s="102"/>
      <c r="BD5" s="883" t="s">
        <v>1057</v>
      </c>
      <c r="BE5" s="102"/>
      <c r="BF5" s="102"/>
      <c r="BG5" s="102"/>
      <c r="BH5" s="102"/>
      <c r="BI5" s="102"/>
      <c r="BJ5" s="8"/>
      <c r="BK5" s="8"/>
      <c r="BL5" s="884" t="s">
        <v>1054</v>
      </c>
      <c r="BM5" s="102"/>
      <c r="BN5" s="102"/>
      <c r="BO5" s="102"/>
      <c r="BP5" s="102"/>
      <c r="BQ5" s="102"/>
      <c r="BR5" s="883" t="s">
        <v>1055</v>
      </c>
      <c r="BS5" s="102"/>
      <c r="BT5" s="102"/>
      <c r="BU5" s="102"/>
      <c r="BV5" s="102"/>
      <c r="BW5" s="102"/>
      <c r="BX5" s="883" t="s">
        <v>1056</v>
      </c>
      <c r="BY5" s="102"/>
      <c r="BZ5" s="102"/>
      <c r="CA5" s="102"/>
      <c r="CB5" s="102"/>
      <c r="CC5" s="102"/>
      <c r="CD5" s="883" t="s">
        <v>1057</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1058</v>
      </c>
      <c r="AY6" s="887" t="e">
        <f t="shared" ref="AY6:BC6" si="4">AS6</f>
        <v>#REF!</v>
      </c>
      <c r="AZ6" s="887" t="e">
        <f t="shared" si="4"/>
        <v>#REF!</v>
      </c>
      <c r="BA6" s="887" t="e">
        <f t="shared" si="4"/>
        <v>#REF!</v>
      </c>
      <c r="BB6" s="887" t="e">
        <f t="shared" si="4"/>
        <v>#REF!</v>
      </c>
      <c r="BC6" s="888" t="e">
        <f t="shared" si="4"/>
        <v>#REF!</v>
      </c>
      <c r="BD6" s="887" t="s">
        <v>1058</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1058</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1059</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685</v>
      </c>
      <c r="AY7" s="887" t="e">
        <f t="shared" ref="AY7:BC7" si="13">AS7</f>
        <v>#REF!</v>
      </c>
      <c r="AZ7" s="887" t="e">
        <f t="shared" si="13"/>
        <v>#REF!</v>
      </c>
      <c r="BA7" s="887" t="e">
        <f t="shared" si="13"/>
        <v>#REF!</v>
      </c>
      <c r="BB7" s="887" t="e">
        <f t="shared" si="13"/>
        <v>#REF!</v>
      </c>
      <c r="BC7" s="889" t="e">
        <f t="shared" si="13"/>
        <v>#REF!</v>
      </c>
      <c r="BD7" s="887" t="s">
        <v>685</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685</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1054</v>
      </c>
      <c r="F8" s="74" t="s">
        <v>1055</v>
      </c>
      <c r="G8" s="74" t="s">
        <v>1056</v>
      </c>
      <c r="H8" s="74" t="s">
        <v>1057</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1028</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1024</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1027</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1030</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1060</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1054</v>
      </c>
      <c r="F14" s="74" t="s">
        <v>1055</v>
      </c>
      <c r="G14" s="74" t="s">
        <v>1056</v>
      </c>
      <c r="H14" s="74" t="s">
        <v>1057</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1061</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1062</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1063</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1064</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1065</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1066</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1067</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1068</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1069</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1070</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1071</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1072</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707</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1059</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1054</v>
      </c>
      <c r="F30" s="74" t="s">
        <v>1055</v>
      </c>
      <c r="G30" s="74" t="s">
        <v>1056</v>
      </c>
      <c r="H30" s="74" t="s">
        <v>1057</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1028</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1024</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1027</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1030</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1060</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1054</v>
      </c>
      <c r="F36" s="74" t="s">
        <v>1055</v>
      </c>
      <c r="G36" s="74" t="s">
        <v>1056</v>
      </c>
      <c r="H36" s="74" t="s">
        <v>1057</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1061</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1062</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1063</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1064</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1065</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1066</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1067</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1068</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1069</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1070</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1071</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1072</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707</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1059</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1054</v>
      </c>
      <c r="F52" s="74" t="s">
        <v>1055</v>
      </c>
      <c r="G52" s="74" t="s">
        <v>1056</v>
      </c>
      <c r="H52" s="74" t="s">
        <v>1057</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1028</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1024</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1027</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1030</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1060</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1054</v>
      </c>
      <c r="F58" s="74" t="s">
        <v>1055</v>
      </c>
      <c r="G58" s="74" t="s">
        <v>1056</v>
      </c>
      <c r="H58" s="74" t="s">
        <v>1057</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1061</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1062</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1063</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1064</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1065</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1066</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1067</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1068</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1069</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1070</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1071</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1072</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707</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1059</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1054</v>
      </c>
      <c r="F74" s="74" t="s">
        <v>1055</v>
      </c>
      <c r="G74" s="74" t="s">
        <v>1056</v>
      </c>
      <c r="H74" s="74" t="s">
        <v>1057</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1028</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1024</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1027</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1030</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1060</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1054</v>
      </c>
      <c r="F80" s="74" t="s">
        <v>1055</v>
      </c>
      <c r="G80" s="74" t="s">
        <v>1056</v>
      </c>
      <c r="H80" s="74" t="s">
        <v>1057</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1061</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1062</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1063</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1064</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1065</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1066</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1067</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1068</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1069</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1070</v>
      </c>
      <c r="D90" s="8"/>
      <c r="E90" s="772">
        <f>AVERAGE(BM36:BQ51)</f>
        <v>15.126464651316216</v>
      </c>
      <c r="F90" s="772">
        <f>AVERAGE(BS36:BW51)</f>
        <v>14.60348394048503</v>
      </c>
      <c r="G90" s="772">
        <f>AVERAGE(BY36:CC51)</f>
        <v>8.170565698635658</v>
      </c>
      <c r="H90" s="772">
        <f>AVERAGE(CE36:CI51)</f>
        <v>7.715030716735617</v>
      </c>
      <c r="I90" s="772"/>
      <c r="J90" s="8"/>
      <c r="K90" s="74" t="s">
        <v>670</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1071</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1072</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1073</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0.04206168748269814</v>
      </c>
      <c r="E7" s="899">
        <f>Summary!U16</f>
        <v>0.09077382183607166</v>
      </c>
      <c r="F7" s="899">
        <f>Summary!V16</f>
        <v>0.07560147997764531</v>
      </c>
      <c r="G7" s="899">
        <f>Summary!W16</f>
        <v>0.10947025643842354</v>
      </c>
      <c r="H7" s="899">
        <f>Summary!X16</f>
        <v>0.12942473128564158</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0.05723158876444964</v>
      </c>
      <c r="E8" s="899">
        <f>Summary!U28</f>
        <v>0.10512598633446915</v>
      </c>
      <c r="F8" s="899">
        <f>Summary!V28</f>
        <v>0.08822685673269814</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1074</v>
      </c>
      <c r="D9" s="902">
        <f>Summary!T20</f>
        <v>0.02971451531839529</v>
      </c>
      <c r="E9" s="902">
        <f>Summary!U20</f>
        <v>0.06289060014727439</v>
      </c>
      <c r="F9" s="902">
        <f>Summary!V20</f>
        <v>0.05854904945888538</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7441.38</v>
      </c>
      <c r="M31" s="876">
        <f t="array" ref="M31">INDEX(Revenue_Data_Summary,MATCH($K31,'Revenue Build'!$C$28:$C$49,0),MATCH(Charts!M$30,'Revenue Build'!$C$28:$AG$28,0))</f>
        <v>10515.069000000001</v>
      </c>
      <c r="N31" s="876">
        <f t="array" ref="N31">INDEX(Revenue_Data_Summary,MATCH($K31,'Revenue Build'!$C$28:$C$49,0),MATCH(Charts!N$30,'Revenue Build'!$C$28:$AG$28,0))</f>
        <v>10823.677</v>
      </c>
      <c r="O31" s="876">
        <f t="array" ref="O31">INDEX(Revenue_Data_Summary,MATCH($K31,'Revenue Build'!$C$28:$C$49,0),MATCH(Charts!O$30,'Revenue Build'!$C$28:$AG$28,0))</f>
        <v>11991.52851</v>
      </c>
      <c r="P31" s="876">
        <f t="array" ref="P31">INDEX(Revenue_Data_Summary,MATCH($K31,'Revenue Build'!$C$28:$C$49,0),MATCH(Charts!P$30,'Revenue Build'!$C$28:$AG$28,0))</f>
        <v>13020.829885400002</v>
      </c>
      <c r="Q31" s="876">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1" t="s">
        <v>1075</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1075</v>
      </c>
      <c r="L32" s="904">
        <v>0.213</v>
      </c>
      <c r="M32" s="905">
        <f t="shared" ref="M32:Q32" si="3">M31/L31-1</f>
        <v>0.4130536271498031</v>
      </c>
      <c r="N32" s="905">
        <f t="shared" si="3"/>
        <v>0.029349117918294088</v>
      </c>
      <c r="O32" s="905">
        <f t="shared" si="3"/>
        <v>0.10789785301242816</v>
      </c>
      <c r="P32" s="905">
        <f t="shared" si="3"/>
        <v>0.08583571098060139</v>
      </c>
      <c r="Q32" s="905">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0</v>
      </c>
      <c r="M51" s="876">
        <f t="array" ref="M51">INDEX(Revenue_Data_Summary,MATCH($K51,'Revenue Build'!$C$28:$C$49,0),MATCH(Charts!M$50,'Revenue Build'!$C$28:$AG$28,0))</f>
        <v>0</v>
      </c>
      <c r="N51" s="876">
        <f t="array" ref="N51">INDEX(Revenue_Data_Summary,MATCH($K51,'Revenue Build'!$C$28:$C$49,0),MATCH(Charts!N$50,'Revenue Build'!$C$28:$AG$28,0))</f>
        <v>0</v>
      </c>
      <c r="O51" s="876">
        <f t="array" ref="O51">INDEX(Revenue_Data_Summary,MATCH($K51,'Revenue Build'!$C$28:$C$49,0),MATCH(Charts!O$50,'Revenue Build'!$C$28:$AG$28,0))</f>
        <v>0</v>
      </c>
      <c r="P51" s="876">
        <f t="array" ref="P51">INDEX(Revenue_Data_Summary,MATCH($K51,'Revenue Build'!$C$28:$C$49,0),MATCH(Charts!P$50,'Revenue Build'!$C$28:$AG$28,0))</f>
        <v>0</v>
      </c>
      <c r="Q51" s="876">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1" t="s">
        <v>1075</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1075</v>
      </c>
      <c r="L52" s="904">
        <v>0</v>
      </c>
      <c r="M52" s="905">
        <v>0</v>
      </c>
      <c r="N52" s="905" t="e">
        <f t="shared" ref="N52:Q52" si="7">N51/M51-1</f>
        <v>#DIV/0!</v>
      </c>
      <c r="O52" s="905" t="e">
        <f t="shared" si="7"/>
        <v>#DIV/0!</v>
      </c>
      <c r="P52" s="905" t="e">
        <f t="shared" si="7"/>
        <v>#DIV/0!</v>
      </c>
      <c r="Q52" s="905"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-235.61099999999976</v>
      </c>
      <c r="E71" s="876">
        <f t="array" ref="E71">INDEX(Data,MATCH($C71,Line_Items,0),MATCH(Charts!E$70,Fiscal_Periods,0))</f>
        <v>-367.94500000000016</v>
      </c>
      <c r="F71" s="876">
        <f t="array" ref="F71">INDEX(Data,MATCH($C71,Line_Items,0),MATCH(Charts!F$70,Fiscal_Periods,0))</f>
        <v>2332.925</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0.9414303904923612</v>
      </c>
      <c r="M71" s="907">
        <f t="array" ref="M71">INDEX(Data,MATCH($K71,Line_Items,0),MATCH(Charts!M$70,Fiscal_Periods,0))</f>
        <v>2.7800044702726887</v>
      </c>
      <c r="N71" s="907">
        <f t="array" ref="N71">INDEX(Data,MATCH($K71,Line_Items,0),MATCH(Charts!N$70,Fiscal_Periods,0))</f>
        <v>2.5987147760298313</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1075</v>
      </c>
      <c r="D72" s="904">
        <v>-0.8</v>
      </c>
      <c r="E72" s="905">
        <f t="shared" ref="E72:I72" si="10">E71/D71-1</f>
        <v>0.56166308024668</v>
      </c>
      <c r="F72" s="905">
        <f t="shared" si="10"/>
        <v>-7.340417725475272</v>
      </c>
      <c r="G72" s="905">
        <f>G71/F71-1</f>
        <v>-1.050206403180229</v>
      </c>
      <c r="H72" s="905">
        <f t="shared" si="10"/>
        <v>-4.122053569058362</v>
      </c>
      <c r="I72" s="905">
        <f t="shared" si="10"/>
        <v>-0.069421805219406</v>
      </c>
      <c r="J72" s="8"/>
      <c r="K72" s="901" t="s">
        <v>1075</v>
      </c>
      <c r="L72" s="904">
        <v>0.26</v>
      </c>
      <c r="M72" s="905">
        <f t="shared" ref="M72:Q72" si="11">M71/L71-1</f>
        <v>1.9529580714074535</v>
      </c>
      <c r="N72" s="905">
        <f t="shared" si="11"/>
        <v>-0.06521201536955623</v>
      </c>
      <c r="O72" s="905">
        <f t="shared" si="11"/>
        <v>-0.8292232746357159</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7441.38</v>
      </c>
      <c r="I91" s="876">
        <f t="array" ref="I91">INDEX(Revenue_Data_Summary,MATCH($C91,'Revenue Build'!$C$28:$C$49,0),MATCH(Charts!I$90,'Revenue Build'!$C$28:$AG$28,0))</f>
        <v>10515.069000000001</v>
      </c>
      <c r="J91" s="876">
        <f t="array" ref="J91">INDEX(Revenue_Data_Summary,MATCH($C91,'Revenue Build'!$C$28:$C$49,0),MATCH(Charts!J$90,'Revenue Build'!$C$28:$AG$28,0))</f>
        <v>10823.677</v>
      </c>
      <c r="K91" s="876">
        <f t="array" ref="K91">INDEX(Revenue_Data_Summary,MATCH($C91,'Revenue Build'!$C$28:$C$49,0),MATCH(Charts!K$90,'Revenue Build'!$C$28:$AG$28,0))</f>
        <v>11991.52851</v>
      </c>
      <c r="L91" s="876">
        <f t="array" ref="L91">INDEX(Revenue_Data_Summary,MATCH($C91,'Revenue Build'!$C$28:$C$49,0),MATCH(Charts!L$90,'Revenue Build'!$C$28:$AG$28,0))</f>
        <v>13020.829885400002</v>
      </c>
      <c r="M91" s="876">
        <f t="array" ref="M91">INDEX(Revenue_Data_Summary,MATCH($C91,'Revenue Build'!$C$28:$C$49,0),MATCH(Charts!M$90,'Revenue Build'!$C$28:$AG$28,0))</f>
        <v>13894.990803084002</v>
      </c>
      <c r="N91" s="876">
        <f>IF(Charts!$R$88="1Q",SUM('Revenue Build'!K30),IF(Charts!$R$88="2Q",SUM('Revenue Build'!K30:L30),IF(Charts!$R$88="3Q",SUM('Revenue Build'!K30:M30),IF(Charts!$R$88="4Q",SUM('Revenue Build'!K30:N30),"N/A"))))</f>
        <v>10515.069000000001</v>
      </c>
      <c r="O91" s="876">
        <f>IF(Charts!$R$88="1Q",SUM('Revenue Build'!P30),IF(Charts!$R$88="2Q",SUM('Revenue Build'!P30:Q30),IF(Charts!$R$88="3Q",SUM('Revenue Build'!P30:R30),IF(Charts!$R$88="4Q",SUM('Revenue Build'!P30:S30),"N/A"))))</f>
        <v>10823.677</v>
      </c>
      <c r="P91" s="876">
        <f>IF(Charts!$R$88="1Q",SUM('Revenue Build'!U30),IF(Charts!$R$88="2Q",SUM('Revenue Build'!U30:V30),IF(Charts!$R$88="3Q",SUM('Revenue Build'!U30:W30),IF(Charts!$R$88="4Q",SUM('Revenue Build'!U30:X30),"N/A"))))</f>
        <v>11991.52851</v>
      </c>
      <c r="Q91" s="876">
        <f>IF(Charts!$R$88="1Q",SUM('Revenue Build'!V30),IF(Charts!$R$88="2Q",SUM('Revenue Build'!V30:W30),IF(Charts!$R$88="3Q",SUM('Revenue Build'!V30:X30),IF(Charts!$R$88="4Q",SUM('Revenue Build'!V30:Y30),"N/A"))))</f>
        <v>21240.20451</v>
      </c>
      <c r="R91" s="876"/>
      <c r="S91" s="8"/>
      <c r="T91" s="876"/>
      <c r="U91" s="8"/>
      <c r="V91" s="8"/>
      <c r="W91" s="876"/>
      <c r="X91" s="876"/>
      <c r="Y91" s="8"/>
      <c r="Z91" s="8"/>
      <c r="AA91" s="8"/>
      <c r="AB91" s="8"/>
      <c r="AC91" s="8"/>
      <c r="AD91" s="876"/>
    </row>
    <row r="92" ht="15.75" customHeight="1" spans="1:30" x14ac:dyDescent="0.25">
      <c r="A92" s="9"/>
      <c r="B92" s="8"/>
      <c r="C92" s="901" t="s">
        <v>1075</v>
      </c>
      <c r="D92" s="904">
        <v>0.053</v>
      </c>
      <c r="E92" s="905">
        <f t="shared" ref="E92:M92" si="15">E91/D91-1</f>
        <v>0.05070878466108186</v>
      </c>
      <c r="F92" s="905">
        <f t="shared" si="15"/>
        <v>0.1006026339844941</v>
      </c>
      <c r="G92" s="905">
        <f t="shared" si="15"/>
        <v>0.055400895150499174</v>
      </c>
      <c r="H92" s="905">
        <f t="shared" si="15"/>
        <v>-0.8915551086433786</v>
      </c>
      <c r="I92" s="905">
        <f t="shared" si="15"/>
        <v>0.4130536271498031</v>
      </c>
      <c r="J92" s="905">
        <f t="shared" si="15"/>
        <v>0.029349117918294088</v>
      </c>
      <c r="K92" s="905">
        <f t="shared" si="15"/>
        <v>0.10789785301242816</v>
      </c>
      <c r="L92" s="905">
        <f t="shared" si="15"/>
        <v>0.08583571098060139</v>
      </c>
      <c r="M92" s="905">
        <f t="shared" si="15"/>
        <v>0.06713557625571775</v>
      </c>
      <c r="N92" s="905">
        <v>0.175</v>
      </c>
      <c r="O92" s="905">
        <f t="shared" ref="O92:Q92" si="16">O91/N91-1</f>
        <v>0.029349117918294088</v>
      </c>
      <c r="P92" s="905">
        <f t="shared" si="16"/>
        <v>0.10789785301242816</v>
      </c>
      <c r="Q92" s="905">
        <f t="shared" si="16"/>
        <v>0.7712674820634688</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1076</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1077</v>
      </c>
      <c r="D117" s="911">
        <f>'Segment Analysis'!$T$16</f>
        <v>0.9364026661179929</v>
      </c>
      <c r="E117" s="912">
        <f>'Segment Analysis'!$T$17</f>
        <v>0.06359733388200701</v>
      </c>
      <c r="F117" s="912">
        <f>'Segment Analysis'!$T$20</f>
        <v>0</v>
      </c>
      <c r="G117" s="912">
        <f>'Segment Analysis'!$T$18</f>
        <v>0</v>
      </c>
      <c r="H117" s="912">
        <f>'Segment Analysis'!$T$19</f>
        <v>0</v>
      </c>
      <c r="I117" s="912">
        <f>'Segment Analysis'!$T$21</f>
        <v>0</v>
      </c>
      <c r="J117" s="165" t="s">
        <v>1078</v>
      </c>
      <c r="K117" s="913">
        <f>SUM(D117:I117)</f>
        <v>1</v>
      </c>
      <c r="L117" s="8" t="s">
        <v>1079</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1080</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1081</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1082</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1083</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1084</v>
      </c>
      <c r="D157" s="100"/>
      <c r="E157" s="100"/>
      <c r="F157" s="100"/>
      <c r="G157" s="100"/>
      <c r="H157" s="100"/>
      <c r="I157" s="100"/>
      <c r="J157" s="8"/>
      <c r="K157" s="100" t="s">
        <v>1085</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1086</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1087</v>
      </c>
      <c r="D160" s="908">
        <v>380</v>
      </c>
      <c r="E160" s="908">
        <v>400</v>
      </c>
      <c r="F160" s="908">
        <v>420</v>
      </c>
      <c r="G160" s="908">
        <v>460</v>
      </c>
      <c r="H160" s="908">
        <v>480</v>
      </c>
      <c r="I160" s="908">
        <v>490</v>
      </c>
      <c r="J160" s="8"/>
      <c r="K160" s="901" t="s">
        <v>1088</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1089</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1090</v>
      </c>
      <c r="E179" s="207" t="s">
        <v>243</v>
      </c>
      <c r="F179" s="207" t="s">
        <v>241</v>
      </c>
      <c r="G179" s="207" t="s">
        <v>240</v>
      </c>
      <c r="H179" s="207" t="s">
        <v>239</v>
      </c>
      <c r="I179" s="8"/>
      <c r="J179" s="8"/>
      <c r="K179" s="8"/>
      <c r="L179" s="8"/>
      <c r="M179" s="8"/>
      <c r="N179" s="235" t="s">
        <v>1091</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1092</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1093</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1094</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1095</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1096</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1097</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1098</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1099</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1100</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1101</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1102</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1103</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1104</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1105</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1106</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1107</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1108</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1109</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1110</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1111</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1112</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1113</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1114</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1115</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1116</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1117</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1118</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1119</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1120</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1121</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1122</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1123</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1124</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1125</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1126</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1127</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1128</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1129</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1130</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1131</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1132</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1133</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1134</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1135</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1136</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1137</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1138</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1139</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1140</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1141</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1142</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1143</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1144</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1145</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1146</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1147</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1148</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1149</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1150</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1151</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1152</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1153</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1154</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1155</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1156</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1157</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1158</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1159</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1160</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1161</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1162</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1163</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1164</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1165</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1166</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1167</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1168</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1169</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1170</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1171</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1172</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1173</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1174</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1175</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1176</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1177</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1178</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1179</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1180</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1181</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1182</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1183</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1184</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1185</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1186</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1187</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1188</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1189</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1190</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1191</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1192</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1193</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1194</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1195</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1196</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1197</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1198</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1199</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1200</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1201</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1202</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1203</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1204</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1205</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1206</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1207</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1208</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1209</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1210</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1211</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1212</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1213</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1214</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1215</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1216</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1217</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1218</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1219</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1220</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1221</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1222</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1223</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1224</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1225</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1226</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1227</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1228</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1229</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1230</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1231</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1232</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1233</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1234</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1235</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1236</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1237</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1238</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1239</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1240</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1241</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1242</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1243</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1244</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1245</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1246</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1247</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1248</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1249</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1250</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1251</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1252</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1253</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1254</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1255</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1256</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1257</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1258</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1259</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1260</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1261</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1262</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1263</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1264</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1265</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1266</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1267</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1268</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1269</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1270</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1271</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1272</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1273</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1274</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1275</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1276</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1277</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1278</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1279</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1280</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1281</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1282</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1283</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1284</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1285</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1286</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1287</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1288</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1289</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1290</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1291</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1292</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1293</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1294</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1295</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1296</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1297</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1298</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1299</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1300</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1301</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1302</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1303</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1304</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1305</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1306</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1307</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1308</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1309</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1310</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1311</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1312</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1313</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1314</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1315</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1316</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1317</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1318</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1319</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1320</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1321</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1322</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1323</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1324</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1325</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1326</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1327</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1328</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1329</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1330</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1331</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1332</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1333</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1334</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1335</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1336</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1337</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1338</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1339</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1340</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1341</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1342</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1343</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1344</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1345</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1346</v>
      </c>
      <c r="D10" s="102"/>
      <c r="E10" s="102"/>
      <c r="F10" s="40"/>
      <c r="G10" s="8"/>
      <c r="H10" s="8"/>
      <c r="I10" s="8"/>
      <c r="J10" s="8"/>
      <c r="K10" s="8"/>
      <c r="L10" s="8"/>
      <c r="M10" s="8"/>
      <c r="N10" s="8"/>
      <c r="O10" s="930" t="s">
        <v>1347</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648</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651</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653</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655</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0.21900095372569195</v>
      </c>
      <c r="E29" s="935">
        <f>MEDIAN(D29:D32)</f>
        <v>0.1751508311315102</v>
      </c>
      <c r="F29" s="8"/>
      <c r="G29" s="8"/>
      <c r="H29" s="8"/>
      <c r="I29" s="8"/>
      <c r="J29" s="8"/>
      <c r="K29" s="8"/>
      <c r="L29" s="8"/>
      <c r="M29" s="8"/>
      <c r="N29" s="8"/>
      <c r="O29" s="780" t="str">
        <f t="shared" ref="O29:O33" si="8">INDEX($C$29:$C$33,MATCH(P29,$D$29:$D$33,0),1)</f>
        <v>Houlihan Lokey, Inc.</v>
      </c>
      <c r="P29" s="935">
        <f t="shared" ref="P29:P33" si="9">LARGE($D$29:$D$33,B29)</f>
        <v>0.36860551484460635</v>
      </c>
      <c r="Q29" s="935">
        <f t="shared" ref="Q29:Q33" si="10">E29</f>
        <v>0.1751508311315102</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0.007000174057652397</v>
      </c>
      <c r="E30" s="935">
        <f t="shared" ref="E30:E33" si="12">E29</f>
        <v>0.1751508311315102</v>
      </c>
      <c r="F30" s="8"/>
      <c r="G30" s="8"/>
      <c r="H30" s="8"/>
      <c r="I30" s="8"/>
      <c r="J30" s="8"/>
      <c r="K30" s="8"/>
      <c r="L30" s="8"/>
      <c r="M30" s="8"/>
      <c r="N30" s="8"/>
      <c r="O30" s="780" t="str">
        <f t="shared" si="8"/>
        <v>Piper Sandler Companies</v>
      </c>
      <c r="P30" s="935">
        <f t="shared" si="9"/>
        <v>0.21900095372569195</v>
      </c>
      <c r="Q30" s="935">
        <f t="shared" si="10"/>
        <v>0.1751508311315102</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0.13130070853732845</v>
      </c>
      <c r="E31" s="935">
        <f t="shared" si="12"/>
        <v>0.1751508311315102</v>
      </c>
      <c r="F31" s="8"/>
      <c r="G31" s="8"/>
      <c r="H31" s="8"/>
      <c r="I31" s="8"/>
      <c r="J31" s="8"/>
      <c r="K31" s="8"/>
      <c r="L31" s="8"/>
      <c r="M31" s="8"/>
      <c r="N31" s="8"/>
      <c r="O31" s="780" t="str">
        <f t="shared" si="8"/>
        <v>Raymond James Financial, Inc.</v>
      </c>
      <c r="P31" s="935">
        <f t="shared" si="9"/>
        <v>0.13130070853732845</v>
      </c>
      <c r="Q31" s="935">
        <f t="shared" si="10"/>
        <v>0.1751508311315102</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0.36860551484460635</v>
      </c>
      <c r="E32" s="935">
        <f t="shared" si="12"/>
        <v>0.1751508311315102</v>
      </c>
      <c r="F32" s="8"/>
      <c r="G32" s="8"/>
      <c r="H32" s="8"/>
      <c r="I32" s="8"/>
      <c r="J32" s="8"/>
      <c r="K32" s="8"/>
      <c r="L32" s="8"/>
      <c r="M32" s="8"/>
      <c r="N32" s="8"/>
      <c r="O32" s="780" t="str">
        <f t="shared" si="8"/>
        <v>Stifel Financial Corp.</v>
      </c>
      <c r="P32" s="935">
        <f t="shared" si="9"/>
        <v>0.007000174057652397</v>
      </c>
      <c r="Q32" s="935">
        <f t="shared" si="10"/>
        <v>0.1751508311315102</v>
      </c>
      <c r="R32" s="8"/>
      <c r="S32" s="8"/>
      <c r="T32" s="8"/>
      <c r="U32" s="8"/>
      <c r="V32" s="8"/>
      <c r="W32" s="8"/>
      <c r="X32" s="8"/>
      <c r="Y32" s="8"/>
      <c r="Z32" s="8"/>
    </row>
    <row r="33" ht="15.75" customHeight="1" spans="1:26" x14ac:dyDescent="0.25">
      <c r="A33" s="9"/>
      <c r="B33" s="8">
        <f t="shared" si="11"/>
        <v>5</v>
      </c>
      <c r="C33" s="780">
        <f t="shared" si="6"/>
        <v>0</v>
      </c>
      <c r="D33" s="934">
        <f>'MM Banking Comparables'!L16+RAND()/1000000</f>
        <v>5.489827964597855e-7</v>
      </c>
      <c r="E33" s="935">
        <f t="shared" si="12"/>
        <v>0.1751508311315102</v>
      </c>
      <c r="F33" s="8"/>
      <c r="G33" s="8"/>
      <c r="H33" s="8"/>
      <c r="I33" s="8"/>
      <c r="J33" s="8"/>
      <c r="K33" s="8"/>
      <c r="L33" s="8"/>
      <c r="M33" s="8"/>
      <c r="N33" s="8"/>
      <c r="O33" s="780">
        <f t="shared" si="8"/>
        <v>0</v>
      </c>
      <c r="P33" s="935">
        <f t="shared" si="9"/>
        <v>5.489827964597855e-7</v>
      </c>
      <c r="Q33" s="935">
        <f t="shared" si="10"/>
        <v>0.1751508311315102</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1348</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682</v>
      </c>
      <c r="E45" s="940">
        <f>MEDIAN(D45:D49)</f>
        <v>10.840549116514474</v>
      </c>
      <c r="F45" s="8"/>
      <c r="G45" s="8"/>
      <c r="H45" s="8"/>
      <c r="I45" s="8"/>
      <c r="J45" s="8"/>
      <c r="K45" s="8"/>
      <c r="L45" s="8"/>
      <c r="M45" s="8"/>
      <c r="N45" s="8"/>
      <c r="O45" s="780" t="str">
        <f t="shared" ref="O45:O49" si="15">INDEX($C$45:$C$49,MATCH(P45,$D$45:$D$49,0),1)</f>
        <v>Stifel Financial Corp.</v>
      </c>
      <c r="P45" s="940">
        <f t="shared" ref="P45:P49" si="16">LARGE($D$45:$D$49,B45)</f>
        <v>10.840549116514474</v>
      </c>
      <c r="Q45" s="940">
        <f t="shared" ref="Q45:Q49" si="17">E45</f>
        <v>10.840549116514474</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10.840549116514474</v>
      </c>
      <c r="E46" s="940">
        <f t="shared" ref="E46:E48" si="19">E45</f>
        <v>10.840549116514474</v>
      </c>
      <c r="F46" s="8"/>
      <c r="G46" s="8"/>
      <c r="H46" s="8"/>
      <c r="I46" s="8"/>
      <c r="J46" s="8"/>
      <c r="K46" s="8"/>
      <c r="L46" s="8"/>
      <c r="M46" s="8"/>
      <c r="N46" s="8"/>
      <c r="O46" s="780" t="e">
        <f t="shared" si="15"/>
        <v>#NUM!</v>
      </c>
      <c r="P46" s="940" t="e">
        <f t="shared" si="16"/>
        <v>#NUM!</v>
      </c>
      <c r="Q46" s="940">
        <f t="shared" si="17"/>
        <v>10.840549116514474</v>
      </c>
      <c r="R46" s="8"/>
      <c r="S46" s="8"/>
      <c r="T46" s="8"/>
      <c r="U46" s="8"/>
      <c r="V46" s="8"/>
      <c r="W46" s="8"/>
      <c r="X46" s="8"/>
      <c r="Y46" s="8"/>
      <c r="Z46" s="8"/>
    </row>
    <row r="47" ht="15.75" customHeight="1" spans="1:26" x14ac:dyDescent="0.25">
      <c r="A47" s="9"/>
      <c r="B47" s="8">
        <f t="shared" si="18"/>
        <v>3</v>
      </c>
      <c r="C47" s="780" t="str">
        <f t="shared" si="13"/>
        <v>Raymond James Financial, Inc.</v>
      </c>
      <c r="D47" s="939" t="s">
        <v>682</v>
      </c>
      <c r="E47" s="940">
        <f t="shared" si="19"/>
        <v>10.840549116514474</v>
      </c>
      <c r="F47" s="8"/>
      <c r="G47" s="8"/>
      <c r="H47" s="8"/>
      <c r="I47" s="8"/>
      <c r="J47" s="8"/>
      <c r="K47" s="8"/>
      <c r="L47" s="8"/>
      <c r="M47" s="8"/>
      <c r="N47" s="8"/>
      <c r="O47" s="780" t="e">
        <f t="shared" si="15"/>
        <v>#NUM!</v>
      </c>
      <c r="P47" s="940" t="e">
        <f t="shared" si="16"/>
        <v>#NUM!</v>
      </c>
      <c r="Q47" s="940">
        <f t="shared" si="17"/>
        <v>10.840549116514474</v>
      </c>
      <c r="R47" s="8"/>
      <c r="S47" s="8"/>
      <c r="T47" s="8"/>
      <c r="U47" s="8"/>
      <c r="V47" s="8"/>
      <c r="W47" s="8"/>
      <c r="X47" s="8"/>
      <c r="Y47" s="8"/>
      <c r="Z47" s="8"/>
    </row>
    <row r="48" ht="15.75" customHeight="1" spans="1:26" x14ac:dyDescent="0.25">
      <c r="A48" s="9"/>
      <c r="B48" s="8">
        <f t="shared" si="18"/>
        <v>4</v>
      </c>
      <c r="C48" s="780" t="str">
        <f t="shared" si="13"/>
        <v>Houlihan Lokey, Inc.</v>
      </c>
      <c r="D48" s="939" t="s">
        <v>682</v>
      </c>
      <c r="E48" s="940">
        <f t="shared" si="19"/>
        <v>10.840549116514474</v>
      </c>
      <c r="F48" s="8"/>
      <c r="G48" s="8"/>
      <c r="H48" s="8"/>
      <c r="I48" s="8"/>
      <c r="J48" s="8"/>
      <c r="K48" s="8"/>
      <c r="L48" s="8"/>
      <c r="M48" s="8"/>
      <c r="N48" s="8"/>
      <c r="O48" s="780" t="e">
        <f t="shared" si="15"/>
        <v>#NUM!</v>
      </c>
      <c r="P48" s="940" t="e">
        <f t="shared" si="16"/>
        <v>#NUM!</v>
      </c>
      <c r="Q48" s="940">
        <f t="shared" si="17"/>
        <v>10.840549116514474</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1349</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20.802103129256928</v>
      </c>
      <c r="E61" s="940">
        <f>MEDIAN(D61:D64)</f>
        <v>17.94992950496819</v>
      </c>
      <c r="F61" s="8"/>
      <c r="G61" s="8"/>
      <c r="H61" s="8"/>
      <c r="I61" s="8"/>
      <c r="J61" s="8"/>
      <c r="K61" s="8"/>
      <c r="L61" s="8"/>
      <c r="M61" s="8"/>
      <c r="N61" s="8"/>
      <c r="O61" s="780" t="str">
        <f t="shared" ref="O61:O65" si="22">INDEX($C$61:$C$65,MATCH(P61,$D$61:$D$65,0),1)</f>
        <v>Houlihan Lokey, Inc.</v>
      </c>
      <c r="P61" s="940">
        <f t="shared" ref="P61:P65" si="23">LARGE($D$61:$D$65,B61)</f>
        <v>22.993840144556295</v>
      </c>
      <c r="Q61" s="940">
        <f t="shared" ref="Q61:Q65" si="24">E61</f>
        <v>17.94992950496819</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15.09775588067945</v>
      </c>
      <c r="E62" s="940">
        <f t="shared" ref="E62:E64" si="26">E61</f>
        <v>17.94992950496819</v>
      </c>
      <c r="F62" s="8"/>
      <c r="G62" s="8"/>
      <c r="H62" s="8"/>
      <c r="I62" s="8"/>
      <c r="J62" s="8"/>
      <c r="K62" s="8"/>
      <c r="L62" s="8"/>
      <c r="M62" s="8"/>
      <c r="N62" s="8"/>
      <c r="O62" s="780" t="str">
        <f t="shared" si="22"/>
        <v>Piper Sandler Companies</v>
      </c>
      <c r="P62" s="940">
        <f t="shared" si="23"/>
        <v>20.802103129256928</v>
      </c>
      <c r="Q62" s="940">
        <f t="shared" si="24"/>
        <v>17.94992950496819</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13.297628686569816</v>
      </c>
      <c r="E63" s="940">
        <f t="shared" si="26"/>
        <v>17.94992950496819</v>
      </c>
      <c r="F63" s="8"/>
      <c r="G63" s="8"/>
      <c r="H63" s="8"/>
      <c r="I63" s="8"/>
      <c r="J63" s="8"/>
      <c r="K63" s="8"/>
      <c r="L63" s="8"/>
      <c r="M63" s="8"/>
      <c r="N63" s="8"/>
      <c r="O63" s="780" t="str">
        <f t="shared" si="22"/>
        <v>Stifel Financial Corp.</v>
      </c>
      <c r="P63" s="940">
        <f t="shared" si="23"/>
        <v>15.09775588067945</v>
      </c>
      <c r="Q63" s="940">
        <f t="shared" si="24"/>
        <v>17.94992950496819</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22.993840144556295</v>
      </c>
      <c r="E64" s="940">
        <f t="shared" si="26"/>
        <v>17.94992950496819</v>
      </c>
      <c r="F64" s="8"/>
      <c r="G64" s="8"/>
      <c r="H64" s="8"/>
      <c r="I64" s="8"/>
      <c r="J64" s="8"/>
      <c r="K64" s="8"/>
      <c r="L64" s="8"/>
      <c r="M64" s="8"/>
      <c r="N64" s="8"/>
      <c r="O64" s="780" t="str">
        <f t="shared" si="22"/>
        <v>Raymond James Financial, Inc.</v>
      </c>
      <c r="P64" s="940">
        <f t="shared" si="23"/>
        <v>13.297628686569816</v>
      </c>
      <c r="Q64" s="940">
        <f t="shared" si="24"/>
        <v>17.94992950496819</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1350</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0.07147834226948983</v>
      </c>
      <c r="E77" s="940">
        <f>MEDIAN(D77:D80)</f>
        <v>0.28526607598403697</v>
      </c>
      <c r="F77" s="8"/>
      <c r="G77" s="8"/>
      <c r="H77" s="8"/>
      <c r="I77" s="8"/>
      <c r="J77" s="8"/>
      <c r="K77" s="8"/>
      <c r="L77" s="8"/>
      <c r="M77" s="8"/>
      <c r="N77" s="8"/>
      <c r="O77" s="780" t="str">
        <f t="shared" ref="O77:O81" si="29">INDEX($C$77:$C$81,MATCH(P77,$D$77:$D$81,0),1)</f>
        <v>Stifel Financial Corp.</v>
      </c>
      <c r="P77" s="940">
        <f t="shared" ref="P77:P81" si="30">LARGE($D$77:$D$81,B77)</f>
        <v>0.3930240703697081</v>
      </c>
      <c r="Q77" s="940">
        <f t="shared" ref="Q77:Q81" si="31">E77</f>
        <v>0.28526607598403697</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0.3930240703697081</v>
      </c>
      <c r="E78" s="940">
        <f t="shared" ref="E78:E80" si="33">E77</f>
        <v>0.28526607598403697</v>
      </c>
      <c r="F78" s="8"/>
      <c r="G78" s="8"/>
      <c r="H78" s="8"/>
      <c r="I78" s="8"/>
      <c r="J78" s="8"/>
      <c r="K78" s="8"/>
      <c r="L78" s="8"/>
      <c r="M78" s="8"/>
      <c r="N78" s="8"/>
      <c r="O78" s="780" t="str">
        <f t="shared" si="29"/>
        <v>Raymond James Financial, Inc.</v>
      </c>
      <c r="P78" s="940">
        <f t="shared" si="30"/>
        <v>0.36905696890812273</v>
      </c>
      <c r="Q78" s="940">
        <f t="shared" si="31"/>
        <v>0.28526607598403697</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0.36905696890812273</v>
      </c>
      <c r="E79" s="940">
        <f t="shared" si="33"/>
        <v>0.28526607598403697</v>
      </c>
      <c r="F79" s="8"/>
      <c r="G79" s="8"/>
      <c r="H79" s="8"/>
      <c r="I79" s="8"/>
      <c r="J79" s="8"/>
      <c r="K79" s="8"/>
      <c r="L79" s="8"/>
      <c r="M79" s="8"/>
      <c r="N79" s="8"/>
      <c r="O79" s="780" t="str">
        <f t="shared" si="29"/>
        <v>Houlihan Lokey, Inc.</v>
      </c>
      <c r="P79" s="940">
        <f t="shared" si="30"/>
        <v>0.20147518305995124</v>
      </c>
      <c r="Q79" s="940">
        <f t="shared" si="31"/>
        <v>0.28526607598403697</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0.20147518305995124</v>
      </c>
      <c r="E80" s="940">
        <f t="shared" si="33"/>
        <v>0.28526607598403697</v>
      </c>
      <c r="F80" s="8"/>
      <c r="G80" s="8"/>
      <c r="H80" s="8"/>
      <c r="I80" s="8"/>
      <c r="J80" s="8"/>
      <c r="K80" s="8"/>
      <c r="L80" s="8"/>
      <c r="M80" s="8"/>
      <c r="N80" s="8"/>
      <c r="O80" s="780" t="str">
        <f t="shared" si="29"/>
        <v>Piper Sandler Companies</v>
      </c>
      <c r="P80" s="940">
        <f t="shared" si="30"/>
        <v>0.07147834226948983</v>
      </c>
      <c r="Q80" s="940">
        <f t="shared" si="31"/>
        <v>0.28526607598403697</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1351</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0.17840938896900121</v>
      </c>
      <c r="E109" s="935">
        <f>MEDIAN(D109:D113)</f>
        <v>0.1815639344334149</v>
      </c>
      <c r="F109" s="8"/>
      <c r="G109" s="8"/>
      <c r="H109" s="8"/>
      <c r="I109" s="8"/>
      <c r="J109" s="8"/>
      <c r="K109" s="8"/>
      <c r="L109" s="8"/>
      <c r="M109" s="8"/>
      <c r="N109" s="8"/>
      <c r="O109" s="780" t="str">
        <f t="shared" ref="O109:O112" si="43">INDEX($C$109:$C$113,MATCH(P109,$D$109:$D$113,0),1)</f>
        <v>Houlihan Lokey, Inc.</v>
      </c>
      <c r="P109" s="935">
        <f t="shared" ref="P109:P112" si="44">LARGE($D$109:$D$113,B109)</f>
        <v>0.2361626838211586</v>
      </c>
      <c r="Q109" s="935">
        <f t="shared" ref="Q109:Q112" si="45">E109</f>
        <v>0.1815639344334149</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0.1815639344334149</v>
      </c>
      <c r="E110" s="935">
        <f t="shared" ref="E110:E112" si="47">E109</f>
        <v>0.1815639344334149</v>
      </c>
      <c r="F110" s="8"/>
      <c r="G110" s="8"/>
      <c r="H110" s="8"/>
      <c r="I110" s="8"/>
      <c r="J110" s="8"/>
      <c r="K110" s="8"/>
      <c r="L110" s="8"/>
      <c r="M110" s="8"/>
      <c r="N110" s="8"/>
      <c r="O110" s="780" t="str">
        <f t="shared" si="43"/>
        <v>Stifel Financial Corp.</v>
      </c>
      <c r="P110" s="935">
        <f t="shared" si="44"/>
        <v>0.1815639344334149</v>
      </c>
      <c r="Q110" s="935">
        <f t="shared" si="45"/>
        <v>0.1815639344334149</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682</v>
      </c>
      <c r="E111" s="935">
        <f t="shared" si="47"/>
        <v>0.1815639344334149</v>
      </c>
      <c r="F111" s="8"/>
      <c r="G111" s="8"/>
      <c r="H111" s="8"/>
      <c r="I111" s="8"/>
      <c r="J111" s="8"/>
      <c r="K111" s="8"/>
      <c r="L111" s="8"/>
      <c r="M111" s="8"/>
      <c r="N111" s="8"/>
      <c r="O111" s="780" t="str">
        <f t="shared" si="43"/>
        <v>Piper Sandler Companies</v>
      </c>
      <c r="P111" s="935">
        <f t="shared" si="44"/>
        <v>0.17840938896900121</v>
      </c>
      <c r="Q111" s="935">
        <f t="shared" si="45"/>
        <v>0.1815639344334149</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0.2361626838211586</v>
      </c>
      <c r="E112" s="935">
        <f t="shared" si="47"/>
        <v>0.1815639344334149</v>
      </c>
      <c r="F112" s="8"/>
      <c r="G112" s="8"/>
      <c r="H112" s="8"/>
      <c r="I112" s="8"/>
      <c r="J112" s="8"/>
      <c r="K112" s="8"/>
      <c r="L112" s="8"/>
      <c r="M112" s="8"/>
      <c r="N112" s="8"/>
      <c r="O112" s="780" t="e">
        <f t="shared" si="43"/>
        <v>#NUM!</v>
      </c>
      <c r="P112" s="935" t="e">
        <f t="shared" si="44"/>
        <v>#NUM!</v>
      </c>
      <c r="Q112" s="935">
        <f t="shared" si="45"/>
        <v>0.1815639344334149</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1352</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1353</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1354</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1359</v>
      </c>
      <c r="I10" s="101" t="s">
        <v>1360</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6">
        <v>19670.3</v>
      </c>
      <c r="J12" s="945">
        <f t="array" ref="J12">INDEX(Data,MATCH($C12,Line_Items,0),MATCH(LEFT(J$10,4),Fiscal_Periods,0))</f>
        <v>2948.8239999999987</v>
      </c>
      <c r="K12" s="945" t="e">
        <f t="array" ref="K12">INDEX(Data,MATCH($C12,Line_Items,0),MATCH(LEFT(K$10,4),Fiscal_Periods,0))</f>
        <v>#N/A</v>
      </c>
      <c r="L12" s="947">
        <f t="shared" ref="L12:N12" si="1">IFERROR($H12/I12-1,"N/A")</f>
        <v>-0.8363513535634942</v>
      </c>
      <c r="M12" s="625">
        <f t="shared" si="1"/>
        <v>0.09162770311147783</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9">
        <v>3968.1</v>
      </c>
      <c r="J13" s="948">
        <f t="array" ref="J13">INDEX(Data,MATCH($C13,Line_Items,0),MATCH(LEFT(J$10,4),Fiscal_Periods,0))</f>
        <v>2068.8529999999987</v>
      </c>
      <c r="K13" s="948" t="e">
        <f t="array" ref="K13">INDEX(Data,MATCH($C13,Line_Items,0),MATCH(LEFT(K$10,4),Fiscal_Periods,0))</f>
        <v>#N/A</v>
      </c>
      <c r="L13" s="947">
        <f t="shared" ref="L13:N13" si="2">IFERROR($H13/I13-1,"N/A")</f>
        <v>-0.4212295645271039</v>
      </c>
      <c r="M13" s="625">
        <f t="shared" si="2"/>
        <v>0.11009287030059656</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0.7015857847060386</v>
      </c>
      <c r="K14" s="950" t="e">
        <f t="array" ref="K14">INDEX(Data,MATCH($C14,Line_Items,0),MATCH(LEFT(K$10,4),Fiscal_Periods,0))</f>
        <v>#N/A</v>
      </c>
      <c r="L14" s="952">
        <f t="shared" ref="L14:N14" si="3">$H14-I14</f>
        <v>0.798</v>
      </c>
      <c r="M14" s="953">
        <f t="shared" si="3"/>
        <v>0.2984142152939614</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231.63899999999876</v>
      </c>
      <c r="K15" s="948" t="e">
        <f t="array" ref="K15">INDEX(Data,MATCH($C15,Line_Items,0),MATCH(LEFT(K$10,4),Fiscal_Periods,0))</f>
        <v>#N/A</v>
      </c>
      <c r="L15" s="947">
        <f t="shared" ref="L15:N15" si="4">IFERROR($H15/I15-1,"N/A")</f>
        <v>-0.6346338729320269</v>
      </c>
      <c r="M15" s="625">
        <f t="shared" si="4"/>
        <v>-0.7643164208054046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0.07195952373015141</v>
      </c>
      <c r="K16" s="954" t="e">
        <f t="shared" si="5"/>
        <v>#N/A</v>
      </c>
      <c r="L16" s="952">
        <f t="shared" ref="L16:N16" si="6">$H16-I16</f>
        <v>0.03328423921660552</v>
      </c>
      <c r="M16" s="953">
        <f t="shared" si="6"/>
        <v>-0.4743964196417868</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9">
        <v>1952.8</v>
      </c>
      <c r="J17" s="948">
        <f t="array" ref="J17">INDEX(Data,MATCH($C17,Line_Items,0),MATCH(LEFT(J$10,4),Fiscal_Periods,0))</f>
        <v>200.50499999999874</v>
      </c>
      <c r="K17" s="948" t="e">
        <f t="array" ref="K17">INDEX(Data,MATCH($C17,Line_Items,0),MATCH(LEFT(K$10,4),Fiscal_Periods,0))</f>
        <v>#N/A</v>
      </c>
      <c r="L17" s="947">
        <f t="shared" ref="L17:N17" si="7">IFERROR($H17/I17-1,"N/A")</f>
        <v>-0.8177270576220563</v>
      </c>
      <c r="M17" s="625">
        <f t="shared" si="7"/>
        <v>0.7752305522338632</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0.11057490364853373</v>
      </c>
      <c r="I18" s="951">
        <v>0.099</v>
      </c>
      <c r="J18" s="954">
        <f t="shared" ref="J18:K18" si="8">J17/$H$12</f>
        <v>0.062287629913416985</v>
      </c>
      <c r="K18" s="954" t="e">
        <f t="shared" si="8"/>
        <v>#N/A</v>
      </c>
      <c r="L18" s="952">
        <f t="shared" ref="L18:N18" si="9">$H18-I18</f>
        <v>0.011574903648533724</v>
      </c>
      <c r="M18" s="953">
        <f t="shared" si="9"/>
        <v>0.048287273735116744</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162.96799999999877</v>
      </c>
      <c r="K19" s="948" t="e">
        <f t="array" ref="K19">INDEX(Data,MATCH($C19,Line_Items,0),MATCH(LEFT(K$10,4),Fiscal_Periods,0))</f>
        <v>#N/A</v>
      </c>
      <c r="L19" s="947">
        <f t="shared" ref="L19:N19" si="10">IFERROR($H19/I19-1,"N/A")</f>
        <v>-0.5643808617471835</v>
      </c>
      <c r="M19" s="625">
        <f t="shared" si="10"/>
        <v>-0.8222429874149559</v>
      </c>
      <c r="N19" s="625" t="str">
        <f t="shared" si="10"/>
        <v>N/A</v>
      </c>
      <c r="O19" s="8"/>
      <c r="P19" s="8"/>
      <c r="Q19" s="4"/>
      <c r="R19" s="4"/>
      <c r="S19" s="4"/>
      <c r="T19" s="4"/>
      <c r="U19" s="4"/>
      <c r="V19" s="4"/>
      <c r="W19" s="4"/>
      <c r="X19" s="4"/>
      <c r="Y19" s="4"/>
      <c r="Z19" s="4"/>
    </row>
    <row r="20" ht="14.25" customHeight="1" spans="1:26" x14ac:dyDescent="0.25">
      <c r="A20" s="8"/>
      <c r="B20" s="8"/>
      <c r="C20" s="110" t="s">
        <v>644</v>
      </c>
      <c r="D20" s="8"/>
      <c r="E20" s="8"/>
      <c r="F20" s="8"/>
      <c r="G20" s="8"/>
      <c r="H20" s="950">
        <f>H19/H12</f>
        <v>0.10813320599558722</v>
      </c>
      <c r="I20" s="951">
        <v>0.07</v>
      </c>
      <c r="J20" s="950">
        <f t="shared" ref="J20:K20" si="11">J19/J12</f>
        <v>0.055265421062769035</v>
      </c>
      <c r="K20" s="950" t="e">
        <f t="shared" si="11"/>
        <v>#N/A</v>
      </c>
      <c r="L20" s="952">
        <f t="shared" ref="L20:N20" si="12">$H20-I20</f>
        <v>0.03813320599558721</v>
      </c>
      <c r="M20" s="953">
        <f t="shared" si="12"/>
        <v>-0.5312839767934716</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0.620850655006145</v>
      </c>
      <c r="K21" s="955" t="e">
        <f t="array" ref="K21">INDEX(Data,MATCH($C21,Line_Items,0),MATCH(LEFT(K$10,4),Fiscal_Periods,0))</f>
        <v>#N/A</v>
      </c>
      <c r="L21" s="947">
        <f t="shared" ref="L21:N21" si="13">IFERROR($H21/I21-1,"N/A")</f>
        <v>0.23227017050223053</v>
      </c>
      <c r="M21" s="625">
        <f t="shared" si="13"/>
        <v>-0.8241020091739948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6">
        <v>50</v>
      </c>
      <c r="J42" s="945">
        <f t="array" ref="J42">INDEX(Data,MATCH($C42,Line_Items,0),MATCH(LEFT(J$40,4),Fiscal_Periods,0))</f>
        <v>0</v>
      </c>
      <c r="K42" s="945" t="e">
        <f t="array" ref="K42">INDEX(Data,MATCH($C42,Line_Items,0),MATCH(LEFT(K$40,4),Fiscal_Periods,0))</f>
        <v>#N/A</v>
      </c>
      <c r="L42" s="947">
        <f t="shared" ref="L42:N42" si="28">IFERROR($H42/I42-1,"N/A")</f>
        <v>-27.36464737606306</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9">
        <v>-668</v>
      </c>
      <c r="J43" s="948">
        <f t="array" ref="J43">INDEX(Data,MATCH($C43,Line_Items,0),MATCH(LEFT(J$40,4),Fiscal_Periods,0))</f>
        <v>-56.042</v>
      </c>
      <c r="K43" s="948" t="e">
        <f t="array" ref="K43">INDEX(Data,MATCH($C43,Line_Items,0),MATCH(LEFT(K$40,4),Fiscal_Periods,0))</f>
        <v>#N/A</v>
      </c>
      <c r="L43" s="947">
        <f t="shared" ref="L43:N43" si="29">IFERROR($H43/I43-1,"N/A")</f>
        <v>-1.0722833376497005</v>
      </c>
      <c r="M43" s="625">
        <f t="shared" si="29"/>
        <v>-1.8615907631776163</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2315.3029999999985</v>
      </c>
      <c r="K44" s="948" t="e">
        <f t="array" ref="K44">INDEX(Data,MATCH($C44,Line_Items,0),MATCH(LEFT(K$40,4),Fiscal_Periods,0))</f>
        <v>#N/A</v>
      </c>
      <c r="L44" s="947">
        <f t="shared" ref="L44:N44" si="30">IFERROR($H44/I44-1,"N/A")</f>
        <v>0.09672490332970574</v>
      </c>
      <c r="M44" s="625">
        <f t="shared" si="30"/>
        <v>-0.7199514538015707</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1354</v>
      </c>
      <c r="D4" s="8"/>
      <c r="E4" s="8"/>
      <c r="F4" s="8"/>
      <c r="G4" s="8"/>
      <c r="H4" s="42" t="s">
        <v>33</v>
      </c>
      <c r="I4" s="8"/>
      <c r="J4" s="962" t="s">
        <v>1053</v>
      </c>
      <c r="K4" s="8"/>
      <c r="L4" s="8"/>
      <c r="M4" s="8"/>
      <c r="N4" s="8"/>
      <c r="O4" s="8"/>
      <c r="P4" s="8"/>
      <c r="Q4" s="8"/>
      <c r="R4" s="8"/>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1359</v>
      </c>
      <c r="J10" s="101" t="s">
        <v>1360</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5">
        <f t="array" ref="I12">INDEX(Data,MATCH($C12,Line_Items,0),MATCH($H$6,Fiscal_Periods,0))</f>
        <v>3219.017969999999</v>
      </c>
      <c r="J12" s="946">
        <v>19670.3</v>
      </c>
      <c r="K12" s="945">
        <f t="array" ref="K12">INDEX(Data,MATCH($C12,Line_Items,0),MATCH(LEFT(K$10,4),Fiscal_Periods,0))</f>
        <v>2948.8239999999987</v>
      </c>
      <c r="L12" s="945" t="e">
        <f t="array" ref="L12">INDEX(Data,MATCH($C12,Line_Items,0),MATCH(LEFT(L$10,4),Fiscal_Periods,0))</f>
        <v>#N/A</v>
      </c>
      <c r="M12" s="947">
        <f t="shared" ref="M12:N12" si="1">IFERROR($H12/I12-1,"N/A")</f>
        <v>0</v>
      </c>
      <c r="N12" s="625">
        <f t="shared" si="1"/>
        <v>-0.8363513535634942</v>
      </c>
      <c r="O12" s="625">
        <f t="shared" ref="O12:P12" si="2">IFERROR($I12/K12-1,"N/A")</f>
        <v>0.09162770311147783</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8">
        <f t="array" ref="I13">INDEX(Data,MATCH($C13,Line_Items,0),MATCH($H$6,Fiscal_Periods,0))</f>
        <v>2296.6189649999988</v>
      </c>
      <c r="J13" s="949">
        <v>3968.1</v>
      </c>
      <c r="K13" s="948">
        <f t="array" ref="K13">INDEX(Data,MATCH($C13,Line_Items,0),MATCH(LEFT(K$10,4),Fiscal_Periods,0))</f>
        <v>2068.8529999999987</v>
      </c>
      <c r="L13" s="948" t="e">
        <f t="array" ref="L13">INDEX(Data,MATCH($C13,Line_Items,0),MATCH(LEFT(L$10,4),Fiscal_Periods,0))</f>
        <v>#N/A</v>
      </c>
      <c r="M13" s="947">
        <f t="shared" ref="M13:P13" si="3">IFERROR($H13/I13-1,"N/A")</f>
        <v>0</v>
      </c>
      <c r="N13" s="625">
        <f t="shared" si="3"/>
        <v>-0.4212295645271039</v>
      </c>
      <c r="O13" s="625">
        <f t="shared" si="3"/>
        <v>0.11009287030059656</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0.7015857847060386</v>
      </c>
      <c r="L14" s="950" t="e">
        <f t="array" ref="L14">INDEX(Data,MATCH($C14,Line_Items,0),MATCH(LEFT(L$10,4),Fiscal_Periods,0))</f>
        <v>#N/A</v>
      </c>
      <c r="M14" s="952">
        <f t="shared" ref="M14:P14" si="4">$H14-I14</f>
        <v>0</v>
      </c>
      <c r="N14" s="953">
        <f t="shared" si="4"/>
        <v>0.798</v>
      </c>
      <c r="O14" s="953">
        <f t="shared" si="4"/>
        <v>0.2984142152939614</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231.63899999999876</v>
      </c>
      <c r="L15" s="948" t="e">
        <f t="array" ref="L15">INDEX(Data,MATCH($C15,Line_Items,0),MATCH(LEFT(L$10,4),Fiscal_Periods,0))</f>
        <v>#N/A</v>
      </c>
      <c r="M15" s="947">
        <f t="shared" ref="M15:P15" si="5">IFERROR($H15/I15-1,"N/A")</f>
        <v>0</v>
      </c>
      <c r="N15" s="625">
        <f t="shared" si="5"/>
        <v>-0.6346338729320269</v>
      </c>
      <c r="O15" s="625">
        <f t="shared" si="5"/>
        <v>-0.7643164208054046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0.07195952373015141</v>
      </c>
      <c r="L16" s="954" t="e">
        <f t="shared" si="7"/>
        <v>#N/A</v>
      </c>
      <c r="M16" s="952">
        <f t="shared" ref="M16:P16" si="8">$H16-I16</f>
        <v>0</v>
      </c>
      <c r="N16" s="953">
        <f t="shared" si="8"/>
        <v>0.03328423921660552</v>
      </c>
      <c r="O16" s="953">
        <f t="shared" si="8"/>
        <v>-0.4743964196417868</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8">
        <f t="array" ref="I17">INDEX(Data,MATCH($C17,Line_Items,0),MATCH($H$6,Fiscal_Periods,0))</f>
        <v>355.9426018756485</v>
      </c>
      <c r="J17" s="949">
        <v>1952.8</v>
      </c>
      <c r="K17" s="948">
        <f t="array" ref="K17">INDEX(Data,MATCH($C17,Line_Items,0),MATCH(LEFT(K$10,4),Fiscal_Periods,0))</f>
        <v>200.50499999999874</v>
      </c>
      <c r="L17" s="948" t="e">
        <f t="array" ref="L17">INDEX(Data,MATCH($C17,Line_Items,0),MATCH(LEFT(L$10,4),Fiscal_Periods,0))</f>
        <v>#N/A</v>
      </c>
      <c r="M17" s="947">
        <f t="shared" ref="M17:P17" si="9">IFERROR($H17/I17-1,"N/A")</f>
        <v>0</v>
      </c>
      <c r="N17" s="625">
        <f t="shared" si="9"/>
        <v>-0.8177270576220563</v>
      </c>
      <c r="O17" s="625">
        <f t="shared" si="9"/>
        <v>0.7752305522338632</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0.11057490364853373</v>
      </c>
      <c r="I18" s="954">
        <f t="shared" si="10"/>
        <v>0.11057490364853373</v>
      </c>
      <c r="J18" s="951">
        <v>0.099</v>
      </c>
      <c r="K18" s="954">
        <f t="shared" ref="K18:L18" si="11">K17/$H$12</f>
        <v>0.062287629913416985</v>
      </c>
      <c r="L18" s="954" t="e">
        <f t="shared" si="11"/>
        <v>#N/A</v>
      </c>
      <c r="M18" s="952">
        <f t="shared" ref="M18:P18" si="12">$H18-I18</f>
        <v>0</v>
      </c>
      <c r="N18" s="953">
        <f t="shared" si="12"/>
        <v>0.011574903648533724</v>
      </c>
      <c r="O18" s="953">
        <f t="shared" si="12"/>
        <v>0.048287273735116744</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162.96799999999877</v>
      </c>
      <c r="L19" s="948" t="e">
        <f t="array" ref="L19">INDEX(Data,MATCH($C19,Line_Items,0),MATCH(LEFT(L$10,4),Fiscal_Periods,0))</f>
        <v>#N/A</v>
      </c>
      <c r="M19" s="947">
        <f t="shared" ref="M19:P19" si="13">IFERROR($H19/I19-1,"N/A")</f>
        <v>0</v>
      </c>
      <c r="N19" s="625">
        <f t="shared" si="13"/>
        <v>-0.5643808617471835</v>
      </c>
      <c r="O19" s="625">
        <f t="shared" si="13"/>
        <v>-0.8222429874149559</v>
      </c>
      <c r="P19" s="625" t="str">
        <f t="shared" si="13"/>
        <v>N/A</v>
      </c>
      <c r="Q19" s="8"/>
      <c r="R19" s="8"/>
      <c r="S19" s="4"/>
      <c r="T19" s="4"/>
      <c r="U19" s="4"/>
      <c r="V19" s="4"/>
      <c r="W19" s="4"/>
      <c r="X19" s="4"/>
      <c r="Y19" s="4"/>
      <c r="Z19" s="4"/>
    </row>
    <row r="20" ht="14.25" customHeight="1" spans="1:26" x14ac:dyDescent="0.25">
      <c r="A20" s="8"/>
      <c r="B20" s="8"/>
      <c r="C20" s="110" t="s">
        <v>644</v>
      </c>
      <c r="D20" s="8"/>
      <c r="E20" s="8"/>
      <c r="F20" s="8"/>
      <c r="G20" s="8"/>
      <c r="H20" s="950">
        <f t="shared" ref="H20:I20" si="14">H19/H12</f>
        <v>0.10813320599558722</v>
      </c>
      <c r="I20" s="950">
        <f t="shared" si="14"/>
        <v>0.10813320599558722</v>
      </c>
      <c r="J20" s="951">
        <v>0.07</v>
      </c>
      <c r="K20" s="950">
        <f t="shared" ref="K20:L20" si="15">K19/K12</f>
        <v>0.055265421062769035</v>
      </c>
      <c r="L20" s="950" t="e">
        <f t="shared" si="15"/>
        <v>#N/A</v>
      </c>
      <c r="M20" s="952">
        <f t="shared" ref="M20:P20" si="16">$H20-I20</f>
        <v>0</v>
      </c>
      <c r="N20" s="953">
        <f t="shared" si="16"/>
        <v>0.03813320599558721</v>
      </c>
      <c r="O20" s="953">
        <f t="shared" si="16"/>
        <v>-0.5312839767934716</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0.620850655006145</v>
      </c>
      <c r="L21" s="955" t="e">
        <f t="array" ref="L21">INDEX(Data,MATCH($C21,Line_Items,0),MATCH(LEFT(L$10,4),Fiscal_Periods,0))</f>
        <v>#N/A</v>
      </c>
      <c r="M21" s="947">
        <f t="shared" ref="M21:P21" si="17">IFERROR($H21/I21-1,"N/A")</f>
        <v>0</v>
      </c>
      <c r="N21" s="625">
        <f t="shared" si="17"/>
        <v>0.23227017050223053</v>
      </c>
      <c r="O21" s="625">
        <f t="shared" si="17"/>
        <v>-0.8241020091739948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5">
        <f t="array" ref="I42">INDEX(Data,MATCH($C42,Line_Items,0),MATCH($H$6,Fiscal_Periods,0))</f>
        <v>-1318.2323688031531</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-27.36464737606306</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8">
        <f t="array" ref="I43">INDEX(Data,MATCH($C43,Line_Items,0),MATCH($H$6,Fiscal_Periods,0))</f>
        <v>48.28526954999998</v>
      </c>
      <c r="J43" s="949">
        <v>-668</v>
      </c>
      <c r="K43" s="948">
        <f t="array" ref="K43">INDEX(Data,MATCH($C43,Line_Items,0),MATCH(LEFT(K$40,4),Fiscal_Periods,0))</f>
        <v>-56.042</v>
      </c>
      <c r="L43" s="948" t="e">
        <f t="array" ref="L43">INDEX(Data,MATCH($C43,Line_Items,0),MATCH(LEFT(L$40,4),Fiscal_Periods,0))</f>
        <v>#N/A</v>
      </c>
      <c r="M43" s="947">
        <f t="shared" ref="M43:N43" si="46">IFERROR($H43/I43-1,"N/A")</f>
        <v>0</v>
      </c>
      <c r="N43" s="625">
        <f t="shared" si="46"/>
        <v>-1.0722833376497005</v>
      </c>
      <c r="O43" s="625">
        <f t="shared" ref="O43:P43" si="47">IFERROR($I43/K43-1,"N/A")</f>
        <v>-1.8615907631776163</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2315.3029999999985</v>
      </c>
      <c r="L44" s="948" t="e">
        <f t="array" ref="L44">INDEX(Data,MATCH($C44,Line_Items,0),MATCH(LEFT(L$40,4),Fiscal_Periods,0))</f>
        <v>#N/A</v>
      </c>
      <c r="M44" s="947">
        <f t="shared" ref="M44:N44" si="48">IFERROR($H44/I44-1,"N/A")</f>
        <v>0</v>
      </c>
      <c r="N44" s="625">
        <f t="shared" si="48"/>
        <v>0.09672490332970574</v>
      </c>
      <c r="O44" s="625">
        <f t="shared" ref="O44:P44" si="49">IFERROR($I44/K44-1,"N/A")</f>
        <v>-0.7199514538015707</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476</v>
      </c>
      <c r="C1" t="s">
        <v>477</v>
      </c>
      <c r="D1" t="s">
        <v>478</v>
      </c>
      <c r="E1" t="s">
        <v>479</v>
      </c>
      <c r="F1" t="s">
        <v>480</v>
      </c>
      <c r="G1" t="s">
        <v>481</v>
      </c>
      <c r="H1" t="s">
        <v>482</v>
      </c>
      <c r="I1" t="s">
        <v>483</v>
      </c>
      <c r="J1" t="s">
        <v>484</v>
      </c>
      <c r="K1" t="s">
        <v>485</v>
      </c>
      <c r="L1" t="s">
        <v>486</v>
      </c>
      <c r="M1" t="s">
        <v>487</v>
      </c>
      <c r="N1" t="s">
        <v>488</v>
      </c>
      <c r="O1" t="s">
        <v>489</v>
      </c>
      <c r="P1" t="s">
        <v>490</v>
      </c>
      <c r="Q1" t="s">
        <v>491</v>
      </c>
      <c r="R1" t="s">
        <v>492</v>
      </c>
      <c r="S1" t="s">
        <v>493</v>
      </c>
      <c r="T1" t="s">
        <v>494</v>
      </c>
      <c r="U1" t="s">
        <v>495</v>
      </c>
      <c r="V1" t="s">
        <v>496</v>
      </c>
      <c r="W1" t="s">
        <v>497</v>
      </c>
      <c r="X1" t="s">
        <v>498</v>
      </c>
      <c r="Y1" t="s">
        <v>499</v>
      </c>
      <c r="Z1" t="s">
        <v>500</v>
      </c>
      <c r="AA1" t="s">
        <v>501</v>
      </c>
      <c r="AB1" t="s">
        <v>502</v>
      </c>
      <c r="AC1" t="s">
        <v>503</v>
      </c>
      <c r="AD1" t="s">
        <v>504</v>
      </c>
      <c r="AE1" t="s">
        <v>505</v>
      </c>
      <c r="AF1" t="s">
        <v>506</v>
      </c>
      <c r="AG1" t="s">
        <v>507</v>
      </c>
      <c r="AH1" t="s">
        <v>508</v>
      </c>
      <c r="AI1" t="s">
        <v>509</v>
      </c>
      <c r="AJ1" t="s">
        <v>510</v>
      </c>
      <c r="AK1" t="s">
        <v>511</v>
      </c>
      <c r="AL1" t="s">
        <v>512</v>
      </c>
      <c r="AM1" t="s">
        <v>513</v>
      </c>
      <c r="AN1" t="s">
        <v>514</v>
      </c>
      <c r="AO1" t="s">
        <v>515</v>
      </c>
      <c r="AP1" t="s">
        <v>516</v>
      </c>
      <c r="AQ1" t="s">
        <v>517</v>
      </c>
      <c r="AR1" t="s">
        <v>518</v>
      </c>
      <c r="AS1" t="s">
        <v>519</v>
      </c>
      <c r="AT1" t="s">
        <v>520</v>
      </c>
      <c r="AU1" t="s">
        <v>521</v>
      </c>
      <c r="AV1" t="s">
        <v>522</v>
      </c>
      <c r="AW1" t="s">
        <v>523</v>
      </c>
      <c r="AX1" t="s">
        <v>524</v>
      </c>
      <c r="AY1" t="s">
        <v>525</v>
      </c>
      <c r="AZ1" t="s">
        <v>526</v>
      </c>
      <c r="BA1" t="s">
        <v>527</v>
      </c>
      <c r="BB1" t="s">
        <v>528</v>
      </c>
      <c r="BC1" t="s">
        <v>529</v>
      </c>
      <c r="BD1" t="s">
        <v>530</v>
      </c>
      <c r="BE1" t="s">
        <v>531</v>
      </c>
      <c r="BF1" t="s">
        <v>532</v>
      </c>
      <c r="BG1" t="s">
        <v>533</v>
      </c>
      <c r="BH1" t="s">
        <v>534</v>
      </c>
      <c r="BI1" t="s">
        <v>535</v>
      </c>
      <c r="BJ1" t="s">
        <v>536</v>
      </c>
      <c r="BK1" t="s">
        <v>537</v>
      </c>
      <c r="BL1" t="s">
        <v>538</v>
      </c>
      <c r="BM1" t="s">
        <v>539</v>
      </c>
      <c r="BN1" t="s">
        <v>540</v>
      </c>
      <c r="BO1" t="s">
        <v>541</v>
      </c>
      <c r="BP1" t="s">
        <v>542</v>
      </c>
      <c r="BQ1" t="s">
        <v>543</v>
      </c>
      <c r="BR1" t="s">
        <v>544</v>
      </c>
      <c r="BS1" t="s">
        <v>545</v>
      </c>
      <c r="BT1" t="s">
        <v>546</v>
      </c>
      <c r="BU1" t="s">
        <v>547</v>
      </c>
      <c r="BV1" t="s">
        <v>548</v>
      </c>
      <c r="BW1" t="s">
        <v>549</v>
      </c>
      <c r="BX1" t="s">
        <v>550</v>
      </c>
      <c r="BY1" t="s">
        <v>551</v>
      </c>
      <c r="BZ1" t="s">
        <v>552</v>
      </c>
      <c r="CA1" t="s">
        <v>553</v>
      </c>
      <c r="CB1" t="s">
        <v>554</v>
      </c>
      <c r="CC1" t="s">
        <v>555</v>
      </c>
      <c r="CD1" t="s">
        <v>556</v>
      </c>
      <c r="CE1" t="s">
        <v>557</v>
      </c>
      <c r="CF1" t="s">
        <v>558</v>
      </c>
      <c r="CG1" t="s">
        <v>559</v>
      </c>
      <c r="CH1" t="s">
        <v>560</v>
      </c>
      <c r="CI1" t="s">
        <v>561</v>
      </c>
      <c r="CJ1" t="s">
        <v>562</v>
      </c>
      <c r="CK1" t="s">
        <v>563</v>
      </c>
      <c r="CL1" t="s">
        <v>564</v>
      </c>
      <c r="CM1" t="s">
        <v>565</v>
      </c>
      <c r="CN1" t="s">
        <v>566</v>
      </c>
      <c r="CO1" t="s">
        <v>567</v>
      </c>
      <c r="CP1" t="s">
        <v>568</v>
      </c>
      <c r="CQ1" t="s">
        <v>569</v>
      </c>
      <c r="CR1" t="s">
        <v>570</v>
      </c>
      <c r="CS1" t="s">
        <v>571</v>
      </c>
      <c r="CT1" t="s">
        <v>572</v>
      </c>
      <c r="CU1" t="s">
        <v>573</v>
      </c>
      <c r="CV1" t="s">
        <v>574</v>
      </c>
      <c r="CW1" t="s">
        <v>575</v>
      </c>
      <c r="CX1" t="s">
        <v>576</v>
      </c>
      <c r="CY1" t="s">
        <v>577</v>
      </c>
      <c r="CZ1" t="s">
        <v>578</v>
      </c>
      <c r="DA1" t="s">
        <v>579</v>
      </c>
      <c r="DB1" t="s">
        <v>580</v>
      </c>
      <c r="DC1" t="s">
        <v>581</v>
      </c>
      <c r="DD1" t="s">
        <v>582</v>
      </c>
      <c r="DE1" t="s">
        <v>583</v>
      </c>
      <c r="DF1" t="s">
        <v>584</v>
      </c>
      <c r="DG1" t="s">
        <v>585</v>
      </c>
      <c r="DH1" t="s">
        <v>586</v>
      </c>
      <c r="DI1" t="s">
        <v>587</v>
      </c>
      <c r="DJ1" t="s">
        <v>588</v>
      </c>
      <c r="DK1" t="s">
        <v>589</v>
      </c>
      <c r="DL1" t="s">
        <v>590</v>
      </c>
      <c r="DM1" t="s">
        <v>591</v>
      </c>
      <c r="DN1" t="s">
        <v>592</v>
      </c>
      <c r="DO1" t="s">
        <v>593</v>
      </c>
      <c r="DP1" t="s">
        <v>594</v>
      </c>
      <c r="DQ1" t="s">
        <v>595</v>
      </c>
      <c r="DR1" t="s">
        <v>596</v>
      </c>
      <c r="DS1" t="s">
        <v>597</v>
      </c>
      <c r="DT1" t="s">
        <v>598</v>
      </c>
      <c r="DU1" t="s">
        <v>599</v>
      </c>
      <c r="DV1" t="s">
        <v>600</v>
      </c>
      <c r="DW1" t="s">
        <v>601</v>
      </c>
      <c r="DX1" t="s">
        <v>602</v>
      </c>
      <c r="DY1" t="s">
        <v>603</v>
      </c>
      <c r="DZ1" t="s">
        <v>604</v>
      </c>
      <c r="EA1" t="s">
        <v>605</v>
      </c>
      <c r="EB1" t="s">
        <v>606</v>
      </c>
      <c r="EC1" t="s">
        <v>607</v>
      </c>
      <c r="ED1" t="s">
        <v>608</v>
      </c>
      <c r="EE1" t="s">
        <v>609</v>
      </c>
      <c r="EF1" t="s">
        <v>610</v>
      </c>
      <c r="EG1" t="s">
        <v>611</v>
      </c>
      <c r="EH1" t="s">
        <v>612</v>
      </c>
      <c r="EI1" t="s">
        <v>613</v>
      </c>
      <c r="EJ1" t="s">
        <v>614</v>
      </c>
      <c r="EK1" t="s">
        <v>615</v>
      </c>
      <c r="EL1" t="s">
        <v>616</v>
      </c>
      <c r="EM1" t="s">
        <v>617</v>
      </c>
      <c r="EN1" t="s">
        <v>618</v>
      </c>
      <c r="EO1" t="s">
        <v>619</v>
      </c>
      <c r="EP1" t="s">
        <v>620</v>
      </c>
      <c r="EQ1" t="s">
        <v>621</v>
      </c>
      <c r="ER1" t="s">
        <v>622</v>
      </c>
      <c r="ES1" t="s">
        <v>623</v>
      </c>
      <c r="ET1" t="s">
        <v>624</v>
      </c>
      <c r="EU1" t="s">
        <v>625</v>
      </c>
      <c r="EV1" t="s">
        <v>626</v>
      </c>
      <c r="EW1" t="s">
        <v>627</v>
      </c>
      <c r="EX1" t="s">
        <v>628</v>
      </c>
      <c r="EY1" t="s">
        <v>629</v>
      </c>
      <c r="EZ1" t="s">
        <v>630</v>
      </c>
      <c r="FA1" t="s">
        <v>631</v>
      </c>
      <c r="FB1" t="s">
        <v>632</v>
      </c>
      <c r="FC1" t="s">
        <v>633</v>
      </c>
      <c r="FD1" t="s">
        <v>634</v>
      </c>
      <c r="FE1" t="s">
        <v>635</v>
      </c>
      <c r="FF1" t="s">
        <v>636</v>
      </c>
      <c r="FG1" t="s">
        <v>637</v>
      </c>
      <c r="FH1" t="s">
        <v>638</v>
      </c>
      <c r="FI1"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2026-05-18T03:54:38Z</dcterms:modified>
</cp:coreProperties>
</file>