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Mode="auto" fullCalcOnLoad="1" forceFullCalc="1" calcOnSave="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t/>
        </r>
      </text>
    </comment>
    <comment ref="F28" authorId="0">
      <text>
        <r>
          <rPr>
            <b/>
          </rPr>
          <t xml:space="preserve">EDGAR Mapper:
</t>
        </r>
        <r>
          <t xml:space="preserve">Revenue maps directly to:
- Revenue from Contract with Customer, Excluding Assessed Tax</t>
        </r>
      </text>
    </comment>
    <comment ref="G28" authorId="0">
      <text>
        <r>
          <rPr>
            <b/>
          </rPr>
          <t xml:space="preserve">EDGAR Mapper:
</t>
        </r>
        <r>
          <t xml:space="preserve">Revenue maps directly to:
- Revenue from Contract with Customer, Excluding Assessed Tax</t>
        </r>
      </text>
    </comment>
    <comment ref="H28" authorId="0">
      <text>
        <r>
          <rPr>
            <b/>
          </rPr>
          <t xml:space="preserve">EDGAR Mapper:
</t>
        </r>
        <r>
          <t xml:space="preserve">Revenue maps directly to:
- Revenue from Contract with Customer, Excluding Assessed Tax</t>
        </r>
      </text>
    </comment>
    <comment ref="I28" authorId="0">
      <text>
        <r>
          <t/>
        </r>
      </text>
    </comment>
    <comment ref="K28" authorId="0">
      <text>
        <r>
          <rPr>
            <b/>
          </rPr>
          <t xml:space="preserve">EDGAR Mapper:
</t>
        </r>
        <r>
          <t xml:space="preserve">Revenue maps directly to:
- Revenue from Contract with Customer, Excluding Assessed Tax</t>
        </r>
      </text>
    </comment>
    <comment ref="L28" authorId="0">
      <text>
        <r>
          <t/>
        </r>
      </text>
    </comment>
    <comment ref="M28" authorId="0">
      <text>
        <r>
          <t/>
        </r>
      </text>
    </comment>
    <comment ref="N28" authorId="0">
      <text>
        <r>
          <t/>
        </r>
      </text>
    </comment>
    <comment ref="P28" authorId="0">
      <text>
        <r>
          <t/>
        </r>
      </text>
    </comment>
    <comment ref="Q28" authorId="0">
      <text>
        <r>
          <t/>
        </r>
      </text>
    </comment>
    <comment ref="R28" authorId="0">
      <text>
        <r>
          <t/>
        </r>
      </text>
    </comment>
    <comment ref="S28" authorId="0">
      <text>
        <r>
          <t/>
        </r>
      </text>
    </comment>
    <comment ref="U28" authorId="0">
      <text>
        <r>
          <t/>
        </r>
      </text>
    </comment>
    <comment ref="F29" authorId="0">
      <text>
        <r>
          <rPr>
            <b/>
          </rPr>
          <t xml:space="preserve">EDGAR Mapper:
</t>
        </r>
        <r>
          <t xml:space="preserve">Cost of Goods Sold maps directly to:
- Cost of Revenue</t>
        </r>
      </text>
    </comment>
    <comment ref="G29" authorId="0">
      <text>
        <r>
          <rPr>
            <b/>
          </rPr>
          <t xml:space="preserve">EDGAR Mapper:
</t>
        </r>
        <r>
          <t xml:space="preserve">Cost of Goods Sold maps directly to:
- Cost of Revenue</t>
        </r>
      </text>
    </comment>
    <comment ref="H29" authorId="0">
      <text>
        <r>
          <rPr>
            <b/>
          </rPr>
          <t xml:space="preserve">EDGAR Mapper:
</t>
        </r>
        <r>
          <t xml:space="preserve">Cost of Goods Sold maps directly to:
- Cost of Revenue</t>
        </r>
      </text>
    </comment>
    <comment ref="I29" authorId="0">
      <text>
        <r>
          <t/>
        </r>
      </text>
    </comment>
    <comment ref="K29" authorId="0">
      <text>
        <r>
          <rPr>
            <b/>
          </rPr>
          <t xml:space="preserve">EDGAR Mapper:
</t>
        </r>
        <r>
          <t xml:space="preserve">Cost of Goods Sold maps directly to:
- Cost of Revenue</t>
        </r>
      </text>
    </comment>
    <comment ref="L29" authorId="0">
      <text>
        <r>
          <rPr>
            <b/>
          </rPr>
          <t xml:space="preserve">EDGAR Mapper:
</t>
        </r>
        <r>
          <t xml:space="preserve">Cost of Goods Sold maps directly to:
- Cost of Revenue</t>
        </r>
      </text>
    </comment>
    <comment ref="M29" authorId="0">
      <text>
        <r>
          <rPr>
            <b/>
          </rPr>
          <t xml:space="preserve">EDGAR Mapper:
</t>
        </r>
        <r>
          <t xml:space="preserve">Cost of Goods Sold maps directly to:
- Cost of Revenue</t>
        </r>
      </text>
    </comment>
    <comment ref="N29" authorId="0">
      <text>
        <r>
          <t/>
        </r>
      </text>
    </comment>
    <comment ref="P29" authorId="0">
      <text>
        <r>
          <rPr>
            <b/>
          </rPr>
          <t xml:space="preserve">EDGAR Mapper:
</t>
        </r>
        <r>
          <t xml:space="preserve">Cost of Goods Sold maps directly to:
- Cost of Revenue</t>
        </r>
      </text>
    </comment>
    <comment ref="Q29" authorId="0">
      <text>
        <r>
          <rPr>
            <b/>
          </rPr>
          <t xml:space="preserve">EDGAR Mapper:
</t>
        </r>
        <r>
          <t xml:space="preserve">Cost of Goods Sold maps directly to:
- Cost of Revenue</t>
        </r>
      </text>
    </comment>
    <comment ref="R29" authorId="0">
      <text>
        <r>
          <rPr>
            <b/>
          </rPr>
          <t xml:space="preserve">EDGAR Mapper:
</t>
        </r>
        <r>
          <t xml:space="preserve">Cost of Goods Sold maps directly to:
- Cost of Revenue</t>
        </r>
      </text>
    </comment>
    <comment ref="S29" authorId="0">
      <text>
        <r>
          <t/>
        </r>
      </text>
    </comment>
    <comment ref="U29" authorId="0">
      <text>
        <r>
          <rPr>
            <b/>
          </rPr>
          <t xml:space="preserve">EDGAR Mapper:
</t>
        </r>
        <r>
          <t xml:space="preserve">Cost of Goods Sold maps directly to:
- Cost of Revenue</t>
        </r>
      </text>
    </comment>
    <comment ref="C32" authorId="0">
      <text>
        <r>
          <rPr>
            <b/>
          </rPr>
          <t xml:space="preserve">EDGAR Mapper:
</t>
        </r>
        <r>
          <t xml:space="preserve">Selling, General &amp; Administration (SG&amp;A) includes:
- Selling and Marketing Expense
- General and Administrative Expense</t>
        </r>
      </text>
    </comment>
    <comment ref="F32" authorId="0">
      <text>
        <r>
          <rPr>
            <b/>
          </rPr>
          <t xml:space="preserve">EDGAR Mapper:
</t>
        </r>
        <r>
          <t xml:space="preserve">Selling, General &amp; Administration (SG&amp;A) includes:
- Selling and Marketing Expense
- General and Administrative Expense</t>
        </r>
      </text>
    </comment>
    <comment ref="G32" authorId="0">
      <text>
        <r>
          <rPr>
            <b/>
          </rPr>
          <t xml:space="preserve">EDGAR Mapper:
</t>
        </r>
        <r>
          <t xml:space="preserve">Selling, General &amp; Administration (SG&amp;A) includes:
- Selling and Marketing Expense
- General and Administrative Expense</t>
        </r>
      </text>
    </comment>
    <comment ref="H32" authorId="0">
      <text>
        <r>
          <rPr>
            <b/>
          </rPr>
          <t xml:space="preserve">EDGAR Mapper:
</t>
        </r>
        <r>
          <t xml:space="preserve">Selling, General &amp; Administration (SG&amp;A) includes:
- Selling and Marketing Expense
- General and Administrative Expense</t>
        </r>
      </text>
    </comment>
    <comment ref="I32" authorId="0">
      <text>
        <r>
          <t/>
        </r>
      </text>
    </comment>
    <comment ref="K32" authorId="0">
      <text>
        <r>
          <rPr>
            <b/>
          </rPr>
          <t xml:space="preserve">EDGAR Mapper:
</t>
        </r>
        <r>
          <t xml:space="preserve">Selling, General &amp; Administration (SG&amp;A) includes:
- Selling and Marketing Expense
- General and Administrative Expense</t>
        </r>
      </text>
    </comment>
    <comment ref="L32" authorId="0">
      <text>
        <r>
          <rPr>
            <b/>
          </rPr>
          <t xml:space="preserve">EDGAR Mapper:
</t>
        </r>
        <r>
          <t xml:space="preserve">Selling, General &amp; Administration (SG&amp;A) includes:
- Selling and Marketing Expense
- General and Administrative Expense</t>
        </r>
      </text>
    </comment>
    <comment ref="M32" authorId="0">
      <text>
        <r>
          <rPr>
            <b/>
          </rPr>
          <t xml:space="preserve">EDGAR Mapper:
</t>
        </r>
        <r>
          <t xml:space="preserve">Selling, General &amp; Administration (SG&amp;A) includes:
- Selling and Marketing Expense
- General and Administrative Expense</t>
        </r>
      </text>
    </comment>
    <comment ref="N32" authorId="0">
      <text>
        <r>
          <t/>
        </r>
      </text>
    </comment>
    <comment ref="P32" authorId="0">
      <text>
        <r>
          <rPr>
            <b/>
          </rPr>
          <t xml:space="preserve">EDGAR Mapper:
</t>
        </r>
        <r>
          <t xml:space="preserve">Selling, General &amp; Administration (SG&amp;A) includes:
- Selling and Marketing Expense
- General and Administrative Expense</t>
        </r>
      </text>
    </comment>
    <comment ref="Q32" authorId="0">
      <text>
        <r>
          <rPr>
            <b/>
          </rPr>
          <t xml:space="preserve">EDGAR Mapper:
</t>
        </r>
        <r>
          <t xml:space="preserve">Selling, General &amp; Administration (SG&amp;A) includes:
- Selling and Marketing Expense
- General and Administrative Expense</t>
        </r>
      </text>
    </comment>
    <comment ref="R32" authorId="0">
      <text>
        <r>
          <rPr>
            <b/>
          </rPr>
          <t xml:space="preserve">EDGAR Mapper:
</t>
        </r>
        <r>
          <t xml:space="preserve">Selling, General &amp; Administration (SG&amp;A) includes:
- Selling and Marketing Expense
- General and Administrative Expense</t>
        </r>
      </text>
    </comment>
    <comment ref="S32" authorId="0">
      <text>
        <r>
          <t/>
        </r>
      </text>
    </comment>
    <comment ref="U32" authorId="0">
      <text>
        <r>
          <rPr>
            <b/>
          </rPr>
          <t xml:space="preserve">EDGAR Mapper:
</t>
        </r>
        <r>
          <t xml:space="preserve">Selling, General &amp; Administration (SG&amp;A) includes:
- Selling and Marketing Expense
- General and Administrative Expense</t>
        </r>
      </text>
    </comment>
    <comment ref="C33" authorId="0">
      <text>
        <r>
          <rPr>
            <b/>
          </rPr>
          <t xml:space="preserve">EDGAR Mapper:
</t>
        </r>
        <r>
          <t xml:space="preserve">Research &amp; Development (R&amp;D) maps directly to:
- Research and Development Expense</t>
        </r>
      </text>
    </comment>
    <comment ref="F33" authorId="0">
      <text>
        <r>
          <rPr>
            <b/>
          </rPr>
          <t xml:space="preserve">EDGAR Mapper:
</t>
        </r>
        <r>
          <t xml:space="preserve">Research &amp; Development (R&amp;D) maps directly to:
- Research and Development Expense</t>
        </r>
      </text>
    </comment>
    <comment ref="G33" authorId="0">
      <text>
        <r>
          <rPr>
            <b/>
          </rPr>
          <t xml:space="preserve">EDGAR Mapper:
</t>
        </r>
        <r>
          <t xml:space="preserve">Research &amp; Development (R&amp;D) maps directly to:
- Research and Development Expense</t>
        </r>
      </text>
    </comment>
    <comment ref="H33" authorId="0">
      <text>
        <r>
          <rPr>
            <b/>
          </rPr>
          <t xml:space="preserve">EDGAR Mapper:
</t>
        </r>
        <r>
          <t xml:space="preserve">Research &amp; Development (R&amp;D) maps directly to:
- Research and Development Expense</t>
        </r>
      </text>
    </comment>
    <comment ref="I33" authorId="0">
      <text>
        <r>
          <t/>
        </r>
      </text>
    </comment>
    <comment ref="K33" authorId="0">
      <text>
        <r>
          <rPr>
            <b/>
          </rPr>
          <t xml:space="preserve">EDGAR Mapper:
</t>
        </r>
        <r>
          <t xml:space="preserve">Research &amp; Development (R&amp;D) maps directly to:
- Research and Development Expense</t>
        </r>
      </text>
    </comment>
    <comment ref="L33" authorId="0">
      <text>
        <r>
          <rPr>
            <b/>
          </rPr>
          <t xml:space="preserve">EDGAR Mapper:
</t>
        </r>
        <r>
          <t xml:space="preserve">Research &amp; Development (R&amp;D) maps directly to:
- Research and Development Expense</t>
        </r>
      </text>
    </comment>
    <comment ref="M33" authorId="0">
      <text>
        <r>
          <rPr>
            <b/>
          </rPr>
          <t xml:space="preserve">EDGAR Mapper:
</t>
        </r>
        <r>
          <t xml:space="preserve">Research &amp; Development (R&amp;D) maps directly to:
- Research and Development Expense</t>
        </r>
      </text>
    </comment>
    <comment ref="N33" authorId="0">
      <text>
        <r>
          <t/>
        </r>
      </text>
    </comment>
    <comment ref="P33" authorId="0">
      <text>
        <r>
          <rPr>
            <b/>
          </rPr>
          <t xml:space="preserve">EDGAR Mapper:
</t>
        </r>
        <r>
          <t xml:space="preserve">Research &amp; Development (R&amp;D) maps directly to:
- Research and Development Expense</t>
        </r>
      </text>
    </comment>
    <comment ref="Q33" authorId="0">
      <text>
        <r>
          <rPr>
            <b/>
          </rPr>
          <t xml:space="preserve">EDGAR Mapper:
</t>
        </r>
        <r>
          <t xml:space="preserve">Research &amp; Development (R&amp;D) maps directly to:
- Research and Development Expense</t>
        </r>
      </text>
    </comment>
    <comment ref="R33" authorId="0">
      <text>
        <r>
          <rPr>
            <b/>
          </rPr>
          <t xml:space="preserve">EDGAR Mapper:
</t>
        </r>
        <r>
          <t xml:space="preserve">Research &amp; Development (R&amp;D) maps directly to:
- Research and Development Expense</t>
        </r>
      </text>
    </comment>
    <comment ref="S33" authorId="0">
      <text>
        <r>
          <t/>
        </r>
      </text>
    </comment>
    <comment ref="U33" authorId="0">
      <text>
        <r>
          <rPr>
            <b/>
          </rPr>
          <t xml:space="preserve">EDGAR Mapper:
</t>
        </r>
        <r>
          <t xml:space="preserve">Research &amp; Development (R&amp;D) maps directly to:
- Research and Development Expense</t>
        </r>
      </text>
    </comment>
    <comment ref="C34" authorId="0">
      <text>
        <r>
          <rPr>
            <color theme="1"/>
            <scheme val="minor"/>
            <sz val="11"/>
            <rFont val="Calibri"/>
          </rP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t>
        </r>
      </text>
    </comment>
    <comment ref="F34" authorId="0">
      <text>
        <r>
          <t/>
        </r>
      </text>
    </comment>
    <comment ref="G34" authorId="0">
      <text>
        <r>
          <t/>
        </r>
      </text>
    </comment>
    <comment ref="H34" authorId="0">
      <text>
        <r>
          <t/>
        </r>
      </text>
    </comment>
    <comment ref="I34" authorId="0">
      <text>
        <r>
          <t/>
        </r>
      </text>
    </comment>
    <comment ref="K34" authorId="0">
      <text>
        <r>
          <t/>
        </r>
      </text>
    </comment>
    <comment ref="L34" authorId="0">
      <text>
        <r>
          <t/>
        </r>
      </text>
    </comment>
    <comment ref="M34" authorId="0">
      <text>
        <r>
          <t/>
        </r>
      </text>
    </comment>
    <comment ref="N34" authorId="0">
      <text>
        <r>
          <t/>
        </r>
      </text>
    </comment>
    <comment ref="P34" authorId="0">
      <text>
        <r>
          <t/>
        </r>
      </text>
    </comment>
    <comment ref="Q34" authorId="0">
      <text>
        <r>
          <t/>
        </r>
      </text>
    </comment>
    <comment ref="R34" authorId="0">
      <text>
        <r>
          <t/>
        </r>
      </text>
    </comment>
    <comment ref="S34" authorId="0">
      <text>
        <r>
          <t/>
        </r>
      </text>
    </comment>
    <comment ref="U34" authorId="0">
      <text>
        <r>
          <t/>
        </r>
      </text>
    </comment>
    <comment ref="C35" authorId="0">
      <text>
        <r>
          <rPr>
            <color theme="1"/>
            <scheme val="minor"/>
            <sz val="11"/>
            <rFont val="Calibri"/>
          </rP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t>
        </r>
      </text>
    </comment>
    <comment ref="F35" authorId="0">
      <text>
        <r>
          <t/>
        </r>
      </text>
    </comment>
    <comment ref="G35" authorId="0">
      <text>
        <r>
          <t/>
        </r>
      </text>
    </comment>
    <comment ref="H35" authorId="0">
      <text>
        <r>
          <t/>
        </r>
      </text>
    </comment>
    <comment ref="I35" authorId="0">
      <text>
        <r>
          <t/>
        </r>
      </text>
    </comment>
    <comment ref="K35" authorId="0">
      <text>
        <r>
          <t/>
        </r>
      </text>
    </comment>
    <comment ref="L35" authorId="0">
      <text>
        <r>
          <t/>
        </r>
      </text>
    </comment>
    <comment ref="M35" authorId="0">
      <text>
        <r>
          <t/>
        </r>
      </text>
    </comment>
    <comment ref="N35" authorId="0">
      <text>
        <r>
          <t/>
        </r>
      </text>
    </comment>
    <comment ref="P35" authorId="0">
      <text>
        <r>
          <t/>
        </r>
      </text>
    </comment>
    <comment ref="Q35" authorId="0">
      <text>
        <r>
          <t/>
        </r>
      </text>
    </comment>
    <comment ref="R35" authorId="0">
      <text>
        <r>
          <t/>
        </r>
      </text>
    </comment>
    <comment ref="S35" authorId="0">
      <text>
        <r>
          <t/>
        </r>
      </text>
    </comment>
    <comment ref="U35" authorId="0">
      <text>
        <r>
          <t/>
        </r>
      </text>
    </comment>
    <comment ref="C38" authorId="0">
      <text>
        <r>
          <rPr>
            <b/>
          </rPr>
          <t xml:space="preserve">EDGAR Mapper:
</t>
        </r>
        <r>
          <t xml:space="preserve">Interest Income maps directly to:
- Interest Income, Other</t>
        </r>
      </text>
    </comment>
    <comment ref="F38" authorId="0">
      <text>
        <r>
          <rPr>
            <b/>
          </rPr>
          <t xml:space="preserve">EDGAR Mapper:
</t>
        </r>
        <r>
          <t xml:space="preserve">Interest Income maps directly to:
- Interest Income, Other</t>
        </r>
      </text>
    </comment>
    <comment ref="G38" authorId="0">
      <text>
        <r>
          <rPr>
            <b/>
          </rPr>
          <t xml:space="preserve">EDGAR Mapper:
</t>
        </r>
        <r>
          <t xml:space="preserve">Interest Income maps directly to:
- Interest Income, Other</t>
        </r>
      </text>
    </comment>
    <comment ref="H38" authorId="0">
      <text>
        <r>
          <rPr>
            <b/>
          </rPr>
          <t xml:space="preserve">EDGAR Mapper:
</t>
        </r>
        <r>
          <t xml:space="preserve">Interest Income maps directly to:
- Interest Income, Other</t>
        </r>
      </text>
    </comment>
    <comment ref="I38" authorId="0">
      <text>
        <r>
          <t/>
        </r>
      </text>
    </comment>
    <comment ref="K38" authorId="0">
      <text>
        <r>
          <rPr>
            <b/>
          </rPr>
          <t xml:space="preserve">EDGAR Mapper:
</t>
        </r>
        <r>
          <t xml:space="preserve">Interest Income maps directly to:
- Interest Income, Other</t>
        </r>
      </text>
    </comment>
    <comment ref="L38" authorId="0">
      <text>
        <r>
          <rPr>
            <b/>
          </rPr>
          <t xml:space="preserve">EDGAR Mapper:
</t>
        </r>
        <r>
          <t xml:space="preserve">Interest Income maps directly to:
- Interest Income, Other</t>
        </r>
      </text>
    </comment>
    <comment ref="M38" authorId="0">
      <text>
        <r>
          <rPr>
            <b/>
          </rPr>
          <t xml:space="preserve">EDGAR Mapper:
</t>
        </r>
        <r>
          <t xml:space="preserve">Interest Income maps directly to:
- Interest Income, Other</t>
        </r>
      </text>
    </comment>
    <comment ref="N38" authorId="0">
      <text>
        <r>
          <t/>
        </r>
      </text>
    </comment>
    <comment ref="P38" authorId="0">
      <text>
        <r>
          <rPr>
            <b/>
          </rPr>
          <t xml:space="preserve">EDGAR Mapper:
</t>
        </r>
        <r>
          <t xml:space="preserve">Interest Income maps directly to:
- Interest Income, Other</t>
        </r>
      </text>
    </comment>
    <comment ref="Q38" authorId="0">
      <text>
        <r>
          <rPr>
            <b/>
          </rPr>
          <t xml:space="preserve">EDGAR Mapper:
</t>
        </r>
        <r>
          <t xml:space="preserve">Interest Income maps directly to:
- Interest Income, Other</t>
        </r>
      </text>
    </comment>
    <comment ref="R38" authorId="0">
      <text>
        <r>
          <rPr>
            <b/>
          </rPr>
          <t xml:space="preserve">EDGAR Mapper:
</t>
        </r>
        <r>
          <t xml:space="preserve">Interest Income maps directly to:
- Interest Income, Other</t>
        </r>
      </text>
    </comment>
    <comment ref="S38" authorId="0">
      <text>
        <r>
          <t/>
        </r>
      </text>
    </comment>
    <comment ref="U38" authorId="0">
      <text>
        <r>
          <rPr>
            <b/>
          </rPr>
          <t xml:space="preserve">EDGAR Mapper:
</t>
        </r>
        <r>
          <t xml:space="preserve">Interest Income maps directly to:
- Interest Income, Other</t>
        </r>
      </text>
    </comment>
    <comment ref="F39" authorId="0">
      <text>
        <r>
          <rPr>
            <b/>
          </rPr>
          <t xml:space="preserve">EDGAR Mapper:
</t>
        </r>
        <r>
          <t xml:space="preserve">Interest (Expense) maps directly to:
- Interest Expense</t>
        </r>
      </text>
    </comment>
    <comment ref="G39" authorId="0">
      <text>
        <r>
          <rPr>
            <b/>
          </rPr>
          <t xml:space="preserve">EDGAR Mapper:
</t>
        </r>
        <r>
          <t xml:space="preserve">Interest (Expense) maps directly to:
- Interest Expense</t>
        </r>
      </text>
    </comment>
    <comment ref="H39" authorId="0">
      <text>
        <r>
          <rPr>
            <b/>
          </rPr>
          <t xml:space="preserve">EDGAR Mapper:
</t>
        </r>
        <r>
          <t xml:space="preserve">Interest (Expense) maps directly to:
- Interest Expense</t>
        </r>
      </text>
    </comment>
    <comment ref="I39" authorId="0">
      <text>
        <r>
          <t/>
        </r>
      </text>
    </comment>
    <comment ref="K39" authorId="0">
      <text>
        <r>
          <rPr>
            <b/>
          </rPr>
          <t xml:space="preserve">EDGAR Mapper:
</t>
        </r>
        <r>
          <t xml:space="preserve">Interest (Expense) maps directly to:
- Interest Expense</t>
        </r>
      </text>
    </comment>
    <comment ref="L39" authorId="0">
      <text>
        <r>
          <rPr>
            <b/>
          </rPr>
          <t xml:space="preserve">EDGAR Mapper:
</t>
        </r>
        <r>
          <t xml:space="preserve">Interest (Expense) maps directly to:
- Finance Lease, Interest Expense</t>
        </r>
      </text>
    </comment>
    <comment ref="M39" authorId="0">
      <text>
        <r>
          <rPr>
            <b/>
          </rPr>
          <t xml:space="preserve">EDGAR Mapper:
</t>
        </r>
        <r>
          <t xml:space="preserve">Interest (Expense) maps directly to:
- Finance Lease, Interest Expense</t>
        </r>
      </text>
    </comment>
    <comment ref="N39" authorId="0">
      <text>
        <r>
          <t/>
        </r>
      </text>
    </comment>
    <comment ref="P39" authorId="0">
      <text>
        <r>
          <rPr>
            <b/>
          </rPr>
          <t xml:space="preserve">EDGAR Mapper:
</t>
        </r>
        <r>
          <t xml:space="preserve">Interest (Expense) maps directly to:
- Finance Lease, Interest Expense</t>
        </r>
      </text>
    </comment>
    <comment ref="Q39" authorId="0">
      <text>
        <r>
          <rPr>
            <b/>
          </rPr>
          <t xml:space="preserve">EDGAR Mapper:
</t>
        </r>
        <r>
          <t xml:space="preserve">Interest (Expense) maps directly to:
- Finance Lease, Interest Expense</t>
        </r>
      </text>
    </comment>
    <comment ref="R39" authorId="0">
      <text>
        <r>
          <rPr>
            <b/>
          </rPr>
          <t xml:space="preserve">EDGAR Mapper:
</t>
        </r>
        <r>
          <t xml:space="preserve">Interest (Expense) maps directly to:
- Finance Lease, Interest Expense</t>
        </r>
      </text>
    </comment>
    <comment ref="S39" authorId="0">
      <text>
        <r>
          <t/>
        </r>
      </text>
    </comment>
    <comment ref="U39" authorId="0">
      <text>
        <r>
          <rPr>
            <b/>
          </rPr>
          <t xml:space="preserve">EDGAR Mapper:
</t>
        </r>
        <r>
          <t xml:space="preserve">Interest (Expense) maps directly to:
- Finance Lease, Interest Expense</t>
        </r>
      </text>
    </comment>
    <comment ref="C40" authorId="0">
      <text>
        <r>
          <t/>
        </r>
      </text>
    </comment>
    <comment ref="C41" authorId="0">
      <text>
        <r>
          <rPr>
            <b/>
          </rPr>
          <t xml:space="preserve">EDGAR Mapper:
</t>
        </r>
        <r>
          <t xml:space="preserve">Other Non-Operating Income (Expense) includes:
- Other non-operating income/expense from reported line
- Nonoperating Income (Expense)
- Interest Income, Other
- Interest Expense
Other Non-Operating Income (Expense) maps directly to:
- Other non-operating income/expense from reported line
Other Non-Operating Income (Expense) includes:
- Other non-operating income/expense from reported line
- Nonoperating Income (Expense)
- Interest Income, Other
- Finance Lease, Interest Expense</t>
        </r>
      </text>
    </comment>
    <comment ref="F41" authorId="0">
      <text>
        <r>
          <rPr>
            <b/>
          </rPr>
          <t xml:space="preserve">EDGAR Mapper:
</t>
        </r>
        <r>
          <t xml:space="preserve">Other Non-Operating Income (Expense) includes:
- Other non-operating income/expense from reported line
- Nonoperating Income (Expense)
- Interest Income, Other
- Interest Expense</t>
        </r>
      </text>
    </comment>
    <comment ref="G41" authorId="0">
      <text>
        <r>
          <rPr>
            <b/>
          </rPr>
          <t xml:space="preserve">EDGAR Mapper:
</t>
        </r>
        <r>
          <t xml:space="preserve">Other Non-Operating Income (Expense) includes:
- Other non-operating income/expense from reported line
- Nonoperating Income (Expense)
- Interest Income, Other
- Interest Expense</t>
        </r>
      </text>
    </comment>
    <comment ref="H41" authorId="0">
      <text>
        <r>
          <rPr>
            <b/>
          </rPr>
          <t xml:space="preserve">EDGAR Mapper:
</t>
        </r>
        <r>
          <t xml:space="preserve">Other Non-Operating Income (Expense) includes:
- Other non-operating income/expense from reported line
- Nonoperating Income (Expense)
- Interest Income, Other
- Interest Expense</t>
        </r>
      </text>
    </comment>
    <comment ref="I41" authorId="0">
      <text>
        <r>
          <rPr>
            <b/>
          </rPr>
          <t xml:space="preserve">EDGAR Mapper:
</t>
        </r>
        <r>
          <t xml:space="preserve">Other Non-Operating Income (Expense) maps directly to:
- Other non-operating income/expense from reported line</t>
        </r>
      </text>
    </comment>
    <comment ref="K41" authorId="0">
      <text>
        <r>
          <rPr>
            <b/>
          </rPr>
          <t xml:space="preserve">EDGAR Mapper:
</t>
        </r>
        <r>
          <t xml:space="preserve">Other Non-Operating Income (Expense) includes:
- Other non-operating income/expense from reported line
- Nonoperating Income (Expense)
- Interest Income, Other
- Interest Expense</t>
        </r>
      </text>
    </comment>
    <comment ref="L41" authorId="0">
      <text>
        <r>
          <rPr>
            <b/>
          </rPr>
          <t xml:space="preserve">EDGAR Mapper:
</t>
        </r>
        <r>
          <t xml:space="preserve">Other Non-Operating Income (Expense) includes:
- Other non-operating income/expense from reported line
- Nonoperating Income (Expense)
- Interest Income, Other
- Finance Lease, Interest Expense</t>
        </r>
      </text>
    </comment>
    <comment ref="M41" authorId="0">
      <text>
        <r>
          <rPr>
            <b/>
          </rPr>
          <t xml:space="preserve">EDGAR Mapper:
</t>
        </r>
        <r>
          <t xml:space="preserve">Other Non-Operating Income (Expense) includes:
- Other non-operating income/expense from reported line
- Nonoperating Income (Expense)
- Interest Income, Other
- Finance Lease, Interest Expense</t>
        </r>
      </text>
    </comment>
    <comment ref="N41" authorId="0">
      <text>
        <r>
          <rPr>
            <b/>
          </rPr>
          <t xml:space="preserve">EDGAR Mapper:
</t>
        </r>
        <r>
          <t xml:space="preserve">Other Non-Operating Income (Expense) maps directly to:
- Other non-operating income/expense from reported line</t>
        </r>
      </text>
    </comment>
    <comment ref="P41" authorId="0">
      <text>
        <r>
          <rPr>
            <b/>
          </rPr>
          <t xml:space="preserve">EDGAR Mapper:
</t>
        </r>
        <r>
          <t xml:space="preserve">Other Non-Operating Income (Expense) includes:
- Other non-operating income/expense from reported line
- Nonoperating Income (Expense)
- Interest Income, Other
- Finance Lease, Interest Expense</t>
        </r>
      </text>
    </comment>
    <comment ref="Q41" authorId="0">
      <text>
        <r>
          <rPr>
            <b/>
          </rPr>
          <t xml:space="preserve">EDGAR Mapper:
</t>
        </r>
        <r>
          <t xml:space="preserve">Other Non-Operating Income (Expense) includes:
- Other non-operating income/expense from reported line
- Nonoperating Income (Expense)
- Interest Income, Other
- Finance Lease, Interest Expense</t>
        </r>
      </text>
    </comment>
    <comment ref="R41" authorId="0">
      <text>
        <r>
          <rPr>
            <b/>
          </rPr>
          <t xml:space="preserve">EDGAR Mapper:
</t>
        </r>
        <r>
          <t xml:space="preserve">======
ID#AAABbnJBV08
Microsoft Office User    (2025-01-14 21:09:38)
Brian Otaszewski: Loss on extinguishment of debt
EDGAR Mapper:
Other Non-Operating Income (Expense) includes:
- Other non-operating income/expense from reported line
- Nonoperating Income (Expense)
- Interest Income, Other
- Finance Lease, Interest Expense</t>
        </r>
      </text>
    </comment>
    <comment ref="S41" authorId="0">
      <text>
        <r>
          <rPr>
            <b/>
          </rPr>
          <t xml:space="preserve">EDGAR Mapper:
</t>
        </r>
        <r>
          <t xml:space="preserve">Other Non-Operating Income (Expense) maps directly to:
- Other non-operating income/expense from reported line</t>
        </r>
      </text>
    </comment>
    <comment ref="U41" authorId="0">
      <text>
        <r>
          <rPr>
            <b/>
          </rPr>
          <t xml:space="preserve">EDGAR Mapper:
</t>
        </r>
        <r>
          <t xml:space="preserve">Other Non-Operating Income (Expense) includes:
- Other non-operating income/expense from reported line
- Nonoperating Income (Expense)
- Interest Income, Other
- Finance Lease, Interest Expense</t>
        </r>
      </text>
    </comment>
    <comment ref="F44" authorId="0">
      <text>
        <r>
          <rPr>
            <b/>
          </rPr>
          <t xml:space="preserve">EDGAR Mapper:
</t>
        </r>
        <r>
          <t xml:space="preserve">Income Tax Benefit (Expense) maps directly to:
- Income Tax Expense (Benefit)</t>
        </r>
      </text>
    </comment>
    <comment ref="G44" authorId="0">
      <text>
        <r>
          <rPr>
            <b/>
          </rPr>
          <t xml:space="preserve">EDGAR Mapper:
</t>
        </r>
        <r>
          <t xml:space="preserve">Income Tax Benefit (Expense) maps directly to:
- Income Tax Expense (Benefit)</t>
        </r>
      </text>
    </comment>
    <comment ref="H44" authorId="0">
      <text>
        <r>
          <rPr>
            <b/>
          </rPr>
          <t xml:space="preserve">EDGAR Mapper:
</t>
        </r>
        <r>
          <t xml:space="preserve">Income Tax Benefit (Expense) maps directly to:
- Income Tax Expense (Benefit)</t>
        </r>
      </text>
    </comment>
    <comment ref="I44" authorId="0">
      <text>
        <r>
          <t/>
        </r>
      </text>
    </comment>
    <comment ref="K44" authorId="0">
      <text>
        <r>
          <rPr>
            <b/>
          </rPr>
          <t xml:space="preserve">EDGAR Mapper:
</t>
        </r>
        <r>
          <t xml:space="preserve">Income Tax Benefit (Expense) maps directly to:
- Income Tax Expense (Benefit)</t>
        </r>
      </text>
    </comment>
    <comment ref="L44" authorId="0">
      <text>
        <r>
          <rPr>
            <b/>
          </rPr>
          <t xml:space="preserve">EDGAR Mapper:
</t>
        </r>
        <r>
          <t xml:space="preserve">Income Tax Benefit (Expense) maps directly to:
- Income Tax Expense (Benefit)</t>
        </r>
      </text>
    </comment>
    <comment ref="M44" authorId="0">
      <text>
        <r>
          <rPr>
            <b/>
          </rPr>
          <t xml:space="preserve">EDGAR Mapper:
</t>
        </r>
        <r>
          <t xml:space="preserve">Income Tax Benefit (Expense) maps directly to:
- Income Tax Expense (Benefit)</t>
        </r>
      </text>
    </comment>
    <comment ref="N44" authorId="0">
      <text>
        <r>
          <t/>
        </r>
      </text>
    </comment>
    <comment ref="P44" authorId="0">
      <text>
        <r>
          <rPr>
            <b/>
          </rPr>
          <t xml:space="preserve">EDGAR Mapper:
</t>
        </r>
        <r>
          <t xml:space="preserve">Income Tax Benefit (Expense) maps directly to:
- Income Tax Expense (Benefit)</t>
        </r>
      </text>
    </comment>
    <comment ref="Q44" authorId="0">
      <text>
        <r>
          <rPr>
            <b/>
          </rPr>
          <t xml:space="preserve">EDGAR Mapper:
</t>
        </r>
        <r>
          <t xml:space="preserve">Income Tax Benefit (Expense) maps directly to:
- Income Tax Expense (Benefit)</t>
        </r>
      </text>
    </comment>
    <comment ref="R44" authorId="0">
      <text>
        <r>
          <rPr>
            <b/>
          </rPr>
          <t xml:space="preserve">EDGAR Mapper:
</t>
        </r>
        <r>
          <t xml:space="preserve">Income Tax Benefit (Expense) maps directly to:
- Income Tax Expense (Benefit)</t>
        </r>
      </text>
    </comment>
    <comment ref="S44" authorId="0">
      <text>
        <r>
          <t/>
        </r>
      </text>
    </comment>
    <comment ref="U44" authorId="0">
      <text>
        <r>
          <rPr>
            <b/>
          </rPr>
          <t xml:space="preserve">EDGAR Mapper:
</t>
        </r>
        <r>
          <t xml:space="preserve">Income Tax Benefit (Expense) maps directly to:
- Income Tax Expense (Benefit)</t>
        </r>
      </text>
    </comment>
    <comment ref="F47" authorId="0">
      <text>
        <r>
          <t/>
        </r>
      </text>
    </comment>
    <comment ref="G47" authorId="0">
      <text>
        <r>
          <t/>
        </r>
      </text>
    </comment>
    <comment ref="H47" authorId="0">
      <text>
        <r>
          <t/>
        </r>
      </text>
    </comment>
    <comment ref="I47" authorId="0">
      <text>
        <r>
          <t/>
        </r>
      </text>
    </comment>
    <comment ref="K47" authorId="0">
      <text>
        <r>
          <t/>
        </r>
      </text>
    </comment>
    <comment ref="L47" authorId="0">
      <text>
        <r>
          <t/>
        </r>
      </text>
    </comment>
    <comment ref="M47" authorId="0">
      <text>
        <r>
          <t/>
        </r>
      </text>
    </comment>
    <comment ref="N47" authorId="0">
      <text>
        <r>
          <t/>
        </r>
      </text>
    </comment>
    <comment ref="P47" authorId="0">
      <text>
        <r>
          <t/>
        </r>
      </text>
    </comment>
    <comment ref="Q47" authorId="0">
      <text>
        <r>
          <t/>
        </r>
      </text>
    </comment>
    <comment ref="R47" authorId="0">
      <text>
        <r>
          <t/>
        </r>
      </text>
    </comment>
    <comment ref="S47" authorId="0">
      <text>
        <r>
          <t/>
        </r>
      </text>
    </comment>
    <comment ref="U47" authorId="0">
      <text>
        <r>
          <t/>
        </r>
      </text>
    </comment>
    <comment ref="C48" authorId="0">
      <text>
        <r>
          <rPr>
            <color theme="1"/>
            <scheme val="minor"/>
            <sz val="11"/>
            <rFont val="Calibri"/>
          </rP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t>
        </r>
      </text>
    </comment>
    <comment ref="F48" authorId="0">
      <text>
        <r>
          <t/>
        </r>
      </text>
    </comment>
    <comment ref="G48" authorId="0">
      <text>
        <r>
          <t/>
        </r>
      </text>
    </comment>
    <comment ref="H48" authorId="0">
      <text>
        <r>
          <t xml:space="preserve">======
ID#AAABbnJBV1k
Lilianna Ruby    (2025-01-14 21:09:38)
Orchard Supply Hardware charges, U.S. and Canada closing charges, Mexico impairment charge, non-core activities charges</t>
        </r>
      </text>
    </comment>
    <comment ref="I48" authorId="0">
      <text>
        <r>
          <t xml:space="preserve">======
ID#AAABbnJBV1s
Lilianna Ruby    (2025-01-14 21:09:38)
Canadian goodwill impairment, Orchard Supply Hardware charges, U.S. &amp; Canada store closure charges, Mexico impairment charges, non-core activities charges, Project Specialists Interiors charge</t>
        </r>
      </text>
    </comment>
    <comment ref="K48" authorId="0">
      <text>
        <r>
          <t xml:space="preserve">======
ID#AAABbnJBV1o
Lilianna Ruby    (2025-01-14 21:09:38)
Mexico adjustments</t>
        </r>
      </text>
    </comment>
    <comment ref="L48" authorId="0">
      <text>
        <r>
          <t xml:space="preserve">======
ID#AAABbnJBV1A
Lilianna Ruby    (2025-01-14 21:09:38)
Mexico adjustments</t>
        </r>
      </text>
    </comment>
    <comment ref="M48" authorId="0">
      <text>
        <r>
          <t xml:space="preserve">======
ID#AAABbnJBVy0
Lilianna Ruby    (2025-01-14 21:09:38)
2019 Canada restructuring</t>
        </r>
      </text>
    </comment>
    <comment ref="N48" authorId="0">
      <text>
        <r>
          <t xml:space="preserve">======
ID#AAABbnJBV1g
Lilianna Ruby    (2025-01-14 21:09:38)
Mexico adjustments and 2019 Canada restructuring</t>
        </r>
      </text>
    </comment>
    <comment ref="P48" authorId="0">
      <text>
        <r>
          <t xml:space="preserve">======
ID#AAABbnJBVzs
Lilianna Ruby    (2025-01-14 21:09:38)
Canada restructuring</t>
        </r>
      </text>
    </comment>
    <comment ref="Q48" authorId="0">
      <text>
        <r>
          <t xml:space="preserve">======
ID#AAABbnJBVx8
Lilianna Ruby    (2025-01-14 21:09:38)
Canada restructuring</t>
        </r>
      </text>
    </comment>
    <comment ref="R48" authorId="0">
      <text>
        <r>
          <t/>
        </r>
      </text>
    </comment>
    <comment ref="S48" authorId="0">
      <text>
        <r>
          <t/>
        </r>
      </text>
    </comment>
    <comment ref="U48" authorId="0">
      <text>
        <r>
          <t/>
        </r>
      </text>
    </comment>
    <comment ref="C49" authorId="0">
      <text>
        <r>
          <t/>
        </r>
      </text>
    </comment>
    <comment ref="F49" authorId="0">
      <text>
        <r>
          <t/>
        </r>
      </text>
    </comment>
    <comment ref="G49" authorId="0">
      <text>
        <r>
          <t/>
        </r>
      </text>
    </comment>
    <comment ref="H49" authorId="0">
      <text>
        <r>
          <t/>
        </r>
      </text>
    </comment>
    <comment ref="I49" authorId="0">
      <text>
        <r>
          <t/>
        </r>
      </text>
    </comment>
    <comment ref="K49" authorId="0">
      <text>
        <r>
          <t/>
        </r>
      </text>
    </comment>
    <comment ref="L49" authorId="0">
      <text>
        <r>
          <t/>
        </r>
      </text>
    </comment>
    <comment ref="M49" authorId="0">
      <text>
        <r>
          <t/>
        </r>
      </text>
    </comment>
    <comment ref="N49" authorId="0">
      <text>
        <r>
          <t/>
        </r>
      </text>
    </comment>
    <comment ref="U49" authorId="0">
      <text>
        <r>
          <t/>
        </r>
      </text>
    </comment>
    <comment ref="C50" authorId="0">
      <text>
        <r>
          <rPr>
            <b/>
          </rPr>
          <t xml:space="preserve">EDGAR Mapper:
</t>
        </r>
        <r>
          <t xml:space="preserve">Income (Loss) due to Non-Controlling Interest includes:
- Net Income (Loss) Available to Common Stockholders, Basic
- Net Income (Loss) Attributable to Parent</t>
        </r>
      </text>
    </comment>
    <comment ref="K50" authorId="0">
      <text>
        <r>
          <rPr>
            <b/>
          </rPr>
          <t xml:space="preserve">EDGAR Mapper:
</t>
        </r>
        <r>
          <t xml:space="preserve">Income (Loss) due to Non-Controlling Interest includes:
- Net Income (Loss) Available to Common Stockholders, Basic
- Net Income (Loss) Attributable to Parent</t>
        </r>
      </text>
    </comment>
    <comment ref="L50" authorId="0">
      <text>
        <r>
          <rPr>
            <b/>
          </rPr>
          <t xml:space="preserve">EDGAR Mapper:
</t>
        </r>
        <r>
          <t xml:space="preserve">Income (Loss) due to Non-Controlling Interest includes:
- Net Income (Loss) Available to Common Stockholders, Basic
- Net Income (Loss) Attributable to Parent</t>
        </r>
      </text>
    </comment>
    <comment ref="M50" authorId="0">
      <text>
        <r>
          <rPr>
            <b/>
          </rPr>
          <t xml:space="preserve">EDGAR Mapper:
</t>
        </r>
        <r>
          <t xml:space="preserve">Income (Loss) due to Non-Controlling Interest includes:
- Net Income (Loss) Available to Common Stockholders, Basic
- Net Income (Loss) Attributable to Parent</t>
        </r>
      </text>
    </comment>
    <comment ref="N50" authorId="0">
      <text>
        <r>
          <t/>
        </r>
      </text>
    </comment>
    <comment ref="U50" authorId="0">
      <text>
        <r>
          <rPr>
            <b/>
          </rPr>
          <t xml:space="preserve">EDGAR Mapper:
</t>
        </r>
        <r>
          <t xml:space="preserve">Income (Loss) due to Non-Controlling Interest includes:
- Net Income (Loss) Available to Common Stockholders, Basic
- Net Income (Loss) Attributable to Parent</t>
        </r>
      </text>
    </comment>
    <comment ref="W50" authorId="0">
      <text>
        <r>
          <rPr>
            <color theme="1"/>
            <scheme val="minor"/>
            <sz val="11"/>
            <rFont val="Calibri"/>
          </rPr>
          <t xml:space="preserve">======
ID#AAABbnJBVzY
Lilianna    (2025-01-14 21:09:38)
Net earnings allocable to participating securities</t>
        </r>
      </text>
    </comment>
    <comment ref="C120" authorId="0">
      <text>
        <r>
          <rPr>
            <b/>
          </rPr>
          <t xml:space="preserve">EDGAR Mapper:
</t>
        </r>
        <r>
          <t xml:space="preserve">Cash &amp; Cash Equivalents includes:
- Cash and Cash Equivalents, at Carrying Value
- Marketable Securities, Current</t>
        </r>
      </text>
    </comment>
    <comment ref="F120" authorId="0">
      <text>
        <r>
          <rPr>
            <b/>
          </rPr>
          <t xml:space="preserve">EDGAR Mapper:
</t>
        </r>
        <r>
          <t xml:space="preserve">Cash &amp; Cash Equivalents includes:
- Cash and Cash Equivalents, at Carrying Value
- Marketable Securities, Current</t>
        </r>
      </text>
    </comment>
    <comment ref="G120" authorId="0">
      <text>
        <r>
          <rPr>
            <b/>
          </rPr>
          <t xml:space="preserve">EDGAR Mapper:
</t>
        </r>
        <r>
          <t xml:space="preserve">Cash &amp; Cash Equivalents includes:
- Cash and Cash Equivalents, at Carrying Value
- Marketable Securities, Current</t>
        </r>
      </text>
    </comment>
    <comment ref="H120" authorId="0">
      <text>
        <r>
          <rPr>
            <b/>
          </rPr>
          <t xml:space="preserve">EDGAR Mapper:
</t>
        </r>
        <r>
          <t xml:space="preserve">Cash &amp; Cash Equivalents includes:
- Cash and Cash Equivalents, at Carrying Value
- Marketable Securities, Current</t>
        </r>
      </text>
    </comment>
    <comment ref="I120" authorId="0">
      <text>
        <r>
          <rPr>
            <b/>
          </rPr>
          <t xml:space="preserve">EDGAR Mapper:
</t>
        </r>
        <r>
          <t xml:space="preserve">Cash &amp; Cash Equivalents includes:
- Cash and Cash Equivalents, at Carrying Value
- Marketable Securities, Current</t>
        </r>
      </text>
    </comment>
    <comment ref="K120" authorId="0">
      <text>
        <r>
          <rPr>
            <b/>
          </rPr>
          <t xml:space="preserve">EDGAR Mapper:
</t>
        </r>
        <r>
          <t xml:space="preserve">Cash &amp; Cash Equivalents includes:
- Cash and Cash Equivalents, at Carrying Value
- Marketable Securities, Current</t>
        </r>
      </text>
    </comment>
    <comment ref="L120" authorId="0">
      <text>
        <r>
          <rPr>
            <b/>
          </rPr>
          <t xml:space="preserve">EDGAR Mapper:
</t>
        </r>
        <r>
          <t xml:space="preserve">Cash &amp; Cash Equivalents includes:
- Cash and Cash Equivalents, at Carrying Value
- Marketable Securities, Current</t>
        </r>
      </text>
    </comment>
    <comment ref="M120" authorId="0">
      <text>
        <r>
          <rPr>
            <b/>
          </rPr>
          <t xml:space="preserve">EDGAR Mapper:
</t>
        </r>
        <r>
          <t xml:space="preserve">Cash &amp; Cash Equivalents includes:
- Cash and Cash Equivalents, at Carrying Value
- Marketable Securities, Current</t>
        </r>
      </text>
    </comment>
    <comment ref="N120" authorId="0">
      <text>
        <r>
          <rPr>
            <b/>
          </rPr>
          <t xml:space="preserve">EDGAR Mapper:
</t>
        </r>
        <r>
          <t xml:space="preserve">Cash &amp; Cash Equivalents includes:
- Cash and Cash Equivalents, at Carrying Value
- Marketable Securities, Current</t>
        </r>
      </text>
    </comment>
    <comment ref="P120" authorId="0">
      <text>
        <r>
          <rPr>
            <b/>
          </rPr>
          <t xml:space="preserve">EDGAR Mapper:
</t>
        </r>
        <r>
          <t xml:space="preserve">Cash &amp; Cash Equivalents includes:
- Cash and Cash Equivalents, at Carrying Value
- Marketable Securities, Current</t>
        </r>
      </text>
    </comment>
    <comment ref="Q120" authorId="0">
      <text>
        <r>
          <rPr>
            <b/>
          </rPr>
          <t xml:space="preserve">EDGAR Mapper:
</t>
        </r>
        <r>
          <t xml:space="preserve">Cash &amp; Cash Equivalents includes:
- Cash and Cash Equivalents, at Carrying Value
- Marketable Securities, Current</t>
        </r>
      </text>
    </comment>
    <comment ref="R120" authorId="0">
      <text>
        <r>
          <rPr>
            <b/>
          </rPr>
          <t xml:space="preserve">EDGAR Mapper:
</t>
        </r>
        <r>
          <t xml:space="preserve">Cash &amp; Cash Equivalents includes:
- Cash and Cash Equivalents, at Carrying Value
- Marketable Securities, Current</t>
        </r>
      </text>
    </comment>
    <comment ref="S120" authorId="0">
      <text>
        <r>
          <rPr>
            <b/>
          </rPr>
          <t xml:space="preserve">EDGAR Mapper:
</t>
        </r>
        <r>
          <t xml:space="preserve">Cash &amp; Cash Equivalents includes:
- Cash and Cash Equivalents, at Carrying Value
- Marketable Securities, Current</t>
        </r>
      </text>
    </comment>
    <comment ref="U120" authorId="0">
      <text>
        <r>
          <rPr>
            <b/>
          </rPr>
          <t xml:space="preserve">EDGAR Mapper:
</t>
        </r>
        <r>
          <t xml:space="preserve">Cash &amp; Cash Equivalents includes:
- Cash and Cash Equivalents, at Carrying Value
- Marketable Securities, Current</t>
        </r>
      </text>
    </comment>
    <comment ref="Y120" authorId="0">
      <text/>
    </comment>
    <comment ref="Z120" authorId="0">
      <text/>
    </comment>
    <comment ref="AD120" authorId="0">
      <text/>
    </comment>
    <comment ref="AE120" authorId="0">
      <text/>
    </comment>
    <comment ref="C121" authorId="0">
      <text>
        <r>
          <rPr>
            <b/>
          </rPr>
          <t xml:space="preserve">EDGAR Mapper:
</t>
        </r>
        <r>
          <t xml:space="preserve">Accounts Receivable maps directly to:
- Accounts Receivable, after Allowance for Credit Loss, Current</t>
        </r>
      </text>
    </comment>
    <comment ref="F121" authorId="0">
      <text>
        <r>
          <rPr>
            <b/>
          </rPr>
          <t xml:space="preserve">EDGAR Mapper:
</t>
        </r>
        <r>
          <t xml:space="preserve">Accounts Receivable maps directly to:
- Accounts Receivable, after Allowance for Credit Loss, Current</t>
        </r>
      </text>
    </comment>
    <comment ref="G121" authorId="0">
      <text>
        <r>
          <rPr>
            <b/>
          </rPr>
          <t xml:space="preserve">EDGAR Mapper:
</t>
        </r>
        <r>
          <t xml:space="preserve">Accounts Receivable maps directly to:
- Accounts Receivable, after Allowance for Credit Loss, Current</t>
        </r>
      </text>
    </comment>
    <comment ref="H121" authorId="0">
      <text>
        <r>
          <rPr>
            <b/>
          </rPr>
          <t xml:space="preserve">EDGAR Mapper:
</t>
        </r>
        <r>
          <t xml:space="preserve">Accounts Receivable maps directly to:
- Accounts Receivable, after Allowance for Credit Loss, Current</t>
        </r>
      </text>
    </comment>
    <comment ref="I121" authorId="0">
      <text>
        <r>
          <rPr>
            <b/>
          </rPr>
          <t xml:space="preserve">EDGAR Mapper:
</t>
        </r>
        <r>
          <t xml:space="preserve">Accounts Receivable maps directly to:
- Accounts Receivable, after Allowance for Credit Loss, Current</t>
        </r>
      </text>
    </comment>
    <comment ref="K121" authorId="0">
      <text>
        <r>
          <rPr>
            <b/>
          </rPr>
          <t xml:space="preserve">EDGAR Mapper:
</t>
        </r>
        <r>
          <t xml:space="preserve">Accounts Receivable maps directly to:
- Accounts Receivable, after Allowance for Credit Loss, Current</t>
        </r>
      </text>
    </comment>
    <comment ref="L121" authorId="0">
      <text>
        <r>
          <rPr>
            <b/>
          </rPr>
          <t xml:space="preserve">EDGAR Mapper:
</t>
        </r>
        <r>
          <t xml:space="preserve">Accounts Receivable maps directly to:
- Accounts Receivable, after Allowance for Credit Loss, Current</t>
        </r>
      </text>
    </comment>
    <comment ref="M121" authorId="0">
      <text>
        <r>
          <rPr>
            <b/>
          </rPr>
          <t xml:space="preserve">EDGAR Mapper:
</t>
        </r>
        <r>
          <t xml:space="preserve">Accounts Receivable maps directly to:
- Accounts Receivable, after Allowance for Credit Loss, Current</t>
        </r>
      </text>
    </comment>
    <comment ref="N121" authorId="0">
      <text>
        <r>
          <rPr>
            <b/>
          </rPr>
          <t xml:space="preserve">EDGAR Mapper:
</t>
        </r>
        <r>
          <t xml:space="preserve">Accounts Receivable maps directly to:
- Accounts Receivable, after Allowance for Credit Loss, Current</t>
        </r>
      </text>
    </comment>
    <comment ref="P121" authorId="0">
      <text>
        <r>
          <rPr>
            <b/>
          </rPr>
          <t xml:space="preserve">EDGAR Mapper:
</t>
        </r>
        <r>
          <t xml:space="preserve">Accounts Receivable maps directly to:
- Accounts Receivable, after Allowance for Credit Loss, Current</t>
        </r>
      </text>
    </comment>
    <comment ref="Q121" authorId="0">
      <text>
        <r>
          <rPr>
            <b/>
          </rPr>
          <t xml:space="preserve">EDGAR Mapper:
</t>
        </r>
        <r>
          <t xml:space="preserve">Accounts Receivable maps directly to:
- Accounts Receivable, after Allowance for Credit Loss, Current</t>
        </r>
      </text>
    </comment>
    <comment ref="R121" authorId="0">
      <text>
        <r>
          <rPr>
            <b/>
          </rPr>
          <t xml:space="preserve">EDGAR Mapper:
</t>
        </r>
        <r>
          <t xml:space="preserve">Accounts Receivable maps directly to:
- Accounts Receivable, after Allowance for Credit Loss, Current</t>
        </r>
      </text>
    </comment>
    <comment ref="S121" authorId="0">
      <text>
        <r>
          <rPr>
            <b/>
          </rPr>
          <t xml:space="preserve">EDGAR Mapper:
</t>
        </r>
        <r>
          <t xml:space="preserve">Accounts Receivable maps directly to:
- Accounts Receivable, after Allowance for Credit Loss, Current</t>
        </r>
      </text>
    </comment>
    <comment ref="U121" authorId="0">
      <text>
        <r>
          <rPr>
            <b/>
          </rPr>
          <t xml:space="preserve">EDGAR Mapper:
</t>
        </r>
        <r>
          <t xml:space="preserve">Accounts Receivable maps directly to:
- Accounts Receivable, after Allowance for Credit Loss, Current</t>
        </r>
      </text>
    </comment>
    <comment ref="F122" authorId="0">
      <text>
        <r>
          <rPr>
            <b/>
          </rPr>
          <t xml:space="preserve">EDGAR Mapper:
</t>
        </r>
        <r>
          <t xml:space="preserve">Inventory maps directly to:
- Inventory, Net</t>
        </r>
      </text>
    </comment>
    <comment ref="G122" authorId="0">
      <text>
        <r>
          <rPr>
            <b/>
          </rPr>
          <t xml:space="preserve">EDGAR Mapper:
</t>
        </r>
        <r>
          <t xml:space="preserve">Inventory maps directly to:
- Inventory, Net</t>
        </r>
      </text>
    </comment>
    <comment ref="H122" authorId="0">
      <text>
        <r>
          <rPr>
            <b/>
          </rPr>
          <t xml:space="preserve">EDGAR Mapper:
</t>
        </r>
        <r>
          <t xml:space="preserve">Inventory maps directly to:
- Inventory, Net</t>
        </r>
      </text>
    </comment>
    <comment ref="I122" authorId="0">
      <text>
        <r>
          <t/>
        </r>
      </text>
    </comment>
    <comment ref="K122" authorId="0">
      <text>
        <r>
          <t/>
        </r>
      </text>
    </comment>
    <comment ref="L122" authorId="0">
      <text>
        <r>
          <t/>
        </r>
      </text>
    </comment>
    <comment ref="M122" authorId="0">
      <text>
        <r>
          <t/>
        </r>
      </text>
    </comment>
    <comment ref="N122" authorId="0">
      <text>
        <r>
          <t/>
        </r>
      </text>
    </comment>
    <comment ref="P122" authorId="0">
      <text>
        <r>
          <t/>
        </r>
      </text>
    </comment>
    <comment ref="Q122" authorId="0">
      <text>
        <r>
          <t/>
        </r>
      </text>
    </comment>
    <comment ref="R122" authorId="0">
      <text>
        <r>
          <t/>
        </r>
      </text>
    </comment>
    <comment ref="S122" authorId="0">
      <text>
        <r>
          <t/>
        </r>
      </text>
    </comment>
    <comment ref="U122" authorId="0">
      <text>
        <r>
          <t/>
        </r>
      </text>
    </comment>
    <comment ref="C123" authorId="0">
      <text>
        <r>
          <rPr>
            <b/>
          </rPr>
          <t xml:space="preserve">EDGAR Mapper:
</t>
        </r>
        <r>
          <t xml:space="preserve">======
ID#AAABbnJBVzo
Luke Brennan    (2025-01-14 21:09:38)
Short-Term and Other Investments
and Current Portion of Customer Financing, net
EDGAR Mapper:
Prepaid &amp; Other Current Assets maps directly to:
- Other Assets, Current</t>
        </r>
      </text>
    </comment>
    <comment ref="F123" authorId="0">
      <text>
        <r>
          <rPr>
            <b/>
          </rPr>
          <t xml:space="preserve">EDGAR Mapper:
</t>
        </r>
        <r>
          <t xml:space="preserve">Prepaid &amp; Other Current Assets maps directly to:
- Other Assets, Current</t>
        </r>
      </text>
    </comment>
    <comment ref="G123" authorId="0">
      <text>
        <r>
          <rPr>
            <b/>
          </rPr>
          <t xml:space="preserve">EDGAR Mapper:
</t>
        </r>
        <r>
          <t xml:space="preserve">Prepaid &amp; Other Current Assets maps directly to:
- Other Assets, Current</t>
        </r>
      </text>
    </comment>
    <comment ref="H123" authorId="0">
      <text>
        <r>
          <rPr>
            <b/>
          </rPr>
          <t xml:space="preserve">EDGAR Mapper:
</t>
        </r>
        <r>
          <t xml:space="preserve">Prepaid &amp; Other Current Assets maps directly to:
- Other Assets, Current</t>
        </r>
      </text>
    </comment>
    <comment ref="I123" authorId="0">
      <text>
        <r>
          <rPr>
            <b/>
          </rPr>
          <t xml:space="preserve">EDGAR Mapper:
</t>
        </r>
        <r>
          <t xml:space="preserve">Prepaid &amp; Other Current Assets maps directly to:
- Other Assets, Current</t>
        </r>
      </text>
    </comment>
    <comment ref="K123" authorId="0">
      <text>
        <r>
          <rPr>
            <b/>
          </rPr>
          <t xml:space="preserve">EDGAR Mapper:
</t>
        </r>
        <r>
          <t xml:space="preserve">Prepaid &amp; Other Current Assets maps directly to:
- Other Assets, Current</t>
        </r>
      </text>
    </comment>
    <comment ref="L123" authorId="0">
      <text>
        <r>
          <rPr>
            <b/>
          </rPr>
          <t xml:space="preserve">EDGAR Mapper:
</t>
        </r>
        <r>
          <t xml:space="preserve">Prepaid &amp; Other Current Assets maps directly to:
- Other Assets, Current</t>
        </r>
      </text>
    </comment>
    <comment ref="M123" authorId="0">
      <text>
        <r>
          <rPr>
            <b/>
          </rPr>
          <t xml:space="preserve">EDGAR Mapper:
</t>
        </r>
        <r>
          <t xml:space="preserve">Prepaid &amp; Other Current Assets maps directly to:
- Other Assets, Current</t>
        </r>
      </text>
    </comment>
    <comment ref="N123" authorId="0">
      <text>
        <r>
          <rPr>
            <b/>
          </rPr>
          <t xml:space="preserve">EDGAR Mapper:
</t>
        </r>
        <r>
          <t xml:space="preserve">Prepaid &amp; Other Current Assets maps directly to:
- Other Assets, Current</t>
        </r>
      </text>
    </comment>
    <comment ref="P123" authorId="0">
      <text>
        <r>
          <rPr>
            <b/>
          </rPr>
          <t xml:space="preserve">EDGAR Mapper:
</t>
        </r>
        <r>
          <t xml:space="preserve">Prepaid &amp; Other Current Assets maps directly to:
- Other Assets, Current</t>
        </r>
      </text>
    </comment>
    <comment ref="Q123" authorId="0">
      <text>
        <r>
          <rPr>
            <b/>
          </rPr>
          <t xml:space="preserve">EDGAR Mapper:
</t>
        </r>
        <r>
          <t xml:space="preserve">Prepaid &amp; Other Current Assets maps directly to:
- Other Assets, Current</t>
        </r>
      </text>
    </comment>
    <comment ref="R123" authorId="0">
      <text>
        <r>
          <rPr>
            <b/>
          </rPr>
          <t xml:space="preserve">EDGAR Mapper:
</t>
        </r>
        <r>
          <t xml:space="preserve">Prepaid &amp; Other Current Assets maps directly to:
- Other Assets, Current</t>
        </r>
      </text>
    </comment>
    <comment ref="S123" authorId="0">
      <text>
        <r>
          <rPr>
            <b/>
          </rPr>
          <t xml:space="preserve">EDGAR Mapper:
</t>
        </r>
        <r>
          <t xml:space="preserve">Prepaid &amp; Other Current Assets maps directly to:
- Other Assets, Current</t>
        </r>
      </text>
    </comment>
    <comment ref="U123" authorId="0">
      <text>
        <r>
          <rPr>
            <b/>
          </rPr>
          <t xml:space="preserve">EDGAR Mapper:
</t>
        </r>
        <r>
          <t xml:space="preserve">Prepaid &amp; Other Current Assets maps directly to:
- Other Assets, Current</t>
        </r>
      </text>
    </comment>
    <comment ref="Z124" authorId="0">
      <text/>
    </comment>
    <comment ref="AE124" authorId="0">
      <text/>
    </comment>
    <comment ref="C126" authorId="0">
      <text>
        <r>
          <rPr>
            <b/>
          </rPr>
          <t xml:space="preserve">EDGAR Mapper:
</t>
        </r>
        <r>
          <t xml:space="preserve">PP&amp;E, Net maps directly to:
- Property, Plant, and Equipment and Finance Lease Right-of-Use Asset, after Accumulated Depreciation and Amortization
PP&amp;E, Net maps directly to:
- Property, Plant and Equipment, Net</t>
        </r>
      </text>
    </comment>
    <comment ref="F126" authorId="0">
      <text>
        <r>
          <rPr>
            <b/>
          </rPr>
          <t xml:space="preserve">EDGAR Mapper:
</t>
        </r>
        <r>
          <t xml:space="preserve">PP&amp;E, Net maps directly to:
- Property, Plant, and Equipment and Finance Lease Right-of-Use Asset, after Accumulated Depreciation and Amortization</t>
        </r>
      </text>
    </comment>
    <comment ref="G126" authorId="0">
      <text>
        <r>
          <rPr>
            <b/>
          </rPr>
          <t xml:space="preserve">EDGAR Mapper:
</t>
        </r>
        <r>
          <t xml:space="preserve">PP&amp;E, Net maps directly to:
- Property, Plant, and Equipment and Finance Lease Right-of-Use Asset, after Accumulated Depreciation and Amortization</t>
        </r>
      </text>
    </comment>
    <comment ref="H126" authorId="0">
      <text>
        <r>
          <rPr>
            <b/>
          </rPr>
          <t xml:space="preserve">EDGAR Mapper:
</t>
        </r>
        <r>
          <t xml:space="preserve">PP&amp;E, Net maps directly to:
- Property, Plant, and Equipment and Finance Lease Right-of-Use Asset, after Accumulated Depreciation and Amortization</t>
        </r>
      </text>
    </comment>
    <comment ref="I126" authorId="0">
      <text>
        <r>
          <rPr>
            <b/>
          </rPr>
          <t xml:space="preserve">EDGAR Mapper:
</t>
        </r>
        <r>
          <t xml:space="preserve">PP&amp;E, Net maps directly to:
- Property, Plant, and Equipment and Finance Lease Right-of-Use Asset, after Accumulated Depreciation and Amortization</t>
        </r>
      </text>
    </comment>
    <comment ref="K126" authorId="0">
      <text>
        <r>
          <rPr>
            <b/>
          </rPr>
          <t xml:space="preserve">EDGAR Mapper:
</t>
        </r>
        <r>
          <t xml:space="preserve">PP&amp;E, Net maps directly to:
- Property, Plant and Equipment, Net</t>
        </r>
      </text>
    </comment>
    <comment ref="L126" authorId="0">
      <text>
        <r>
          <rPr>
            <b/>
          </rPr>
          <t xml:space="preserve">EDGAR Mapper:
</t>
        </r>
        <r>
          <t xml:space="preserve">PP&amp;E, Net maps directly to:
- Property, Plant and Equipment, Net</t>
        </r>
      </text>
    </comment>
    <comment ref="M126" authorId="0">
      <text>
        <r>
          <rPr>
            <b/>
          </rPr>
          <t xml:space="preserve">EDGAR Mapper:
</t>
        </r>
        <r>
          <t xml:space="preserve">PP&amp;E, Net maps directly to:
- Property, Plant, and Equipment and Finance Lease Right-of-Use Asset, after Accumulated Depreciation and Amortization</t>
        </r>
      </text>
    </comment>
    <comment ref="N126" authorId="0">
      <text>
        <r>
          <rPr>
            <b/>
          </rPr>
          <t xml:space="preserve">EDGAR Mapper:
</t>
        </r>
        <r>
          <t xml:space="preserve">PP&amp;E, Net maps directly to:
- Property, Plant, and Equipment and Finance Lease Right-of-Use Asset, after Accumulated Depreciation and Amortization</t>
        </r>
      </text>
    </comment>
    <comment ref="P126" authorId="0">
      <text>
        <r>
          <rPr>
            <b/>
          </rPr>
          <t xml:space="preserve">EDGAR Mapper:
</t>
        </r>
        <r>
          <t xml:space="preserve">PP&amp;E, Net maps directly to:
- Property, Plant and Equipment, Net</t>
        </r>
      </text>
    </comment>
    <comment ref="Q126" authorId="0">
      <text>
        <r>
          <rPr>
            <b/>
          </rPr>
          <t xml:space="preserve">EDGAR Mapper:
</t>
        </r>
        <r>
          <t xml:space="preserve">PP&amp;E, Net maps directly to:
- Property, Plant, and Equipment and Finance Lease Right-of-Use Asset, after Accumulated Depreciation and Amortization</t>
        </r>
      </text>
    </comment>
    <comment ref="R126" authorId="0">
      <text>
        <r>
          <rPr>
            <b/>
          </rPr>
          <t xml:space="preserve">EDGAR Mapper:
</t>
        </r>
        <r>
          <t xml:space="preserve">PP&amp;E, Net maps directly to:
- Property, Plant, and Equipment and Finance Lease Right-of-Use Asset, after Accumulated Depreciation and Amortization</t>
        </r>
      </text>
    </comment>
    <comment ref="S126" authorId="0">
      <text>
        <r>
          <rPr>
            <b/>
          </rPr>
          <t xml:space="preserve">EDGAR Mapper:
</t>
        </r>
        <r>
          <t xml:space="preserve">PP&amp;E, Net maps directly to:
- Property, Plant, and Equipment and Finance Lease Right-of-Use Asset, after Accumulated Depreciation and Amortization</t>
        </r>
      </text>
    </comment>
    <comment ref="U126" authorId="0">
      <text>
        <r>
          <rPr>
            <b/>
          </rPr>
          <t xml:space="preserve">EDGAR Mapper:
</t>
        </r>
        <r>
          <t xml:space="preserve">PP&amp;E, Net maps directly to:
- Property, Plant, and Equipment and Finance Lease Right-of-Use Asset, after Accumulated Depreciation and Amortization</t>
        </r>
      </text>
    </comment>
    <comment ref="C127" authorId="0">
      <text>
        <r>
          <rPr>
            <b/>
          </rPr>
          <t xml:space="preserve">EDGAR Mapper:
</t>
        </r>
        <r>
          <t xml:space="preserve">Intangible Assets, Net maps directly to:
- Finite-Lived Intangible Assets, Net</t>
        </r>
      </text>
    </comment>
    <comment ref="F127" authorId="0">
      <text>
        <r>
          <rPr>
            <b/>
          </rPr>
          <t xml:space="preserve">EDGAR Mapper:
</t>
        </r>
        <r>
          <t xml:space="preserve">Intangible Assets, Net maps directly to:
- Finite-Lived Intangible Assets, Net</t>
        </r>
      </text>
    </comment>
    <comment ref="G127" authorId="0">
      <text>
        <r>
          <rPr>
            <b/>
          </rPr>
          <t xml:space="preserve">EDGAR Mapper:
</t>
        </r>
        <r>
          <t xml:space="preserve">Intangible Assets, Net maps directly to:
- Finite-Lived Intangible Assets, Net</t>
        </r>
      </text>
    </comment>
    <comment ref="H127" authorId="0">
      <text>
        <r>
          <rPr>
            <b/>
          </rPr>
          <t xml:space="preserve">EDGAR Mapper:
</t>
        </r>
        <r>
          <t xml:space="preserve">Intangible Assets, Net maps directly to:
- Finite-Lived Intangible Assets, Net</t>
        </r>
      </text>
    </comment>
    <comment ref="I127" authorId="0">
      <text>
        <r>
          <t/>
        </r>
      </text>
    </comment>
    <comment ref="K127" authorId="0">
      <text>
        <r>
          <t/>
        </r>
      </text>
    </comment>
    <comment ref="L127" authorId="0">
      <text>
        <r>
          <t/>
        </r>
      </text>
    </comment>
    <comment ref="M127" authorId="0">
      <text>
        <r>
          <t/>
        </r>
      </text>
    </comment>
    <comment ref="N127" authorId="0">
      <text>
        <r>
          <t/>
        </r>
      </text>
    </comment>
    <comment ref="P127" authorId="0">
      <text>
        <r>
          <t/>
        </r>
      </text>
    </comment>
    <comment ref="Q127" authorId="0">
      <text>
        <r>
          <t/>
        </r>
      </text>
    </comment>
    <comment ref="R127" authorId="0">
      <text>
        <r>
          <t/>
        </r>
      </text>
    </comment>
    <comment ref="S127" authorId="0">
      <text>
        <r>
          <rPr>
            <b/>
          </rPr>
          <t xml:space="preserve">EDGAR Mapper:
</t>
        </r>
        <r>
          <t xml:space="preserve">Intangible Assets, Net maps directly to:
- Finite-Lived Intangible Assets, Net</t>
        </r>
      </text>
    </comment>
    <comment ref="U127" authorId="0">
      <text>
        <r>
          <rPr>
            <b/>
          </rPr>
          <t xml:space="preserve">EDGAR Mapper:
</t>
        </r>
        <r>
          <t xml:space="preserve">Intangible Assets, Net maps directly to:
- Finite-Lived Intangible Assets, Net</t>
        </r>
      </text>
    </comment>
    <comment ref="F128" authorId="0">
      <text>
        <r>
          <t/>
        </r>
      </text>
    </comment>
    <comment ref="G128" authorId="0">
      <text>
        <r>
          <t/>
        </r>
      </text>
    </comment>
    <comment ref="H128" authorId="0">
      <text>
        <r>
          <t/>
        </r>
      </text>
    </comment>
    <comment ref="I128" authorId="0">
      <text>
        <r>
          <t/>
        </r>
      </text>
    </comment>
    <comment ref="K128" authorId="0">
      <text>
        <r>
          <t/>
        </r>
      </text>
    </comment>
    <comment ref="L128" authorId="0">
      <text>
        <r>
          <t/>
        </r>
      </text>
    </comment>
    <comment ref="M128" authorId="0">
      <text>
        <r>
          <t/>
        </r>
      </text>
    </comment>
    <comment ref="N128" authorId="0">
      <text>
        <r>
          <t/>
        </r>
      </text>
    </comment>
    <comment ref="P128" authorId="0">
      <text>
        <r>
          <t/>
        </r>
      </text>
    </comment>
    <comment ref="Q128" authorId="0">
      <text>
        <r>
          <t/>
        </r>
      </text>
    </comment>
    <comment ref="R128" authorId="0">
      <text>
        <r>
          <t/>
        </r>
      </text>
    </comment>
    <comment ref="S128" authorId="0">
      <text>
        <r>
          <t/>
        </r>
      </text>
    </comment>
    <comment ref="U128" authorId="0">
      <text>
        <r>
          <t/>
        </r>
      </text>
    </comment>
    <comment ref="C129" authorId="0">
      <text>
        <r>
          <rPr>
            <b/>
          </rPr>
          <t xml:space="preserve">EDGAR Mapper:
</t>
        </r>
        <r>
          <t xml:space="preserve">======
ID#AAABbnJBV0Y
Luke Brennan    (2025-01-14 21:09:38)
Includes:
Customer Financing, net
Deferred Income Taxes
Investments
and Other Assets, net of Amortization
EDGAR Mapper:
Other Non-Current Assets includes:
- Assets, Current
- Property, Plant and Equipment, Net
Other Non-Current Assets includes:
- Assets, Current
- Property, Plant, and Equipment and Finance Lease Right-of-Use Asset, after Accumulated Depreciation and Amortization
Other Non-Current Assets includes:
- Assets, Current
- Property, Plant, and Equipment and Finance Lease Right-of-Use Asset, after Accumulated Depreciation and Amortization
- Finite-Lived Intangible Assets, Net</t>
        </r>
      </text>
    </comment>
    <comment ref="F129" authorId="0">
      <text>
        <r>
          <rPr>
            <b/>
          </rPr>
          <t xml:space="preserve">EDGAR Mapper:
</t>
        </r>
        <r>
          <t xml:space="preserve">Other Non-Current Assets includes:
- Assets, Current
- Property, Plant, and Equipment and Finance Lease Right-of-Use Asset, after Accumulated Depreciation and Amortization
- Finite-Lived Intangible Assets, Net</t>
        </r>
      </text>
    </comment>
    <comment ref="G129" authorId="0">
      <text>
        <r>
          <rPr>
            <b/>
          </rPr>
          <t xml:space="preserve">EDGAR Mapper:
</t>
        </r>
        <r>
          <t xml:space="preserve">Other Non-Current Assets includes:
- Assets, Current
- Property, Plant, and Equipment and Finance Lease Right-of-Use Asset, after Accumulated Depreciation and Amortization
- Finite-Lived Intangible Assets, Net</t>
        </r>
      </text>
    </comment>
    <comment ref="H129" authorId="0">
      <text>
        <r>
          <rPr>
            <b/>
          </rPr>
          <t xml:space="preserve">EDGAR Mapper:
</t>
        </r>
        <r>
          <t xml:space="preserve">Other Non-Current Assets includes:
- Assets, Current
- Property, Plant, and Equipment and Finance Lease Right-of-Use Asset, after Accumulated Depreciation and Amortization
- Finite-Lived Intangible Assets, Net</t>
        </r>
      </text>
    </comment>
    <comment ref="I129" authorId="0">
      <text>
        <r>
          <rPr>
            <b/>
          </rPr>
          <t xml:space="preserve">EDGAR Mapper:
</t>
        </r>
        <r>
          <t xml:space="preserve">Other Non-Current Assets includes:
- Assets, Current
- Property, Plant, and Equipment and Finance Lease Right-of-Use Asset, after Accumulated Depreciation and Amortization</t>
        </r>
      </text>
    </comment>
    <comment ref="K129" authorId="0">
      <text>
        <r>
          <rPr>
            <b/>
          </rPr>
          <t xml:space="preserve">EDGAR Mapper:
</t>
        </r>
        <r>
          <t xml:space="preserve">======
ID#AAABbnJBVzw
Lilianna Ruby    (2025-01-14 21:09:38)
operating lease right of use assets, long term investments, deferred income taxes, other assets
EDGAR Mapper:
Other Non-Current Assets includes:
- Assets, Current
- Property, Plant and Equipment, Net</t>
        </r>
      </text>
    </comment>
    <comment ref="L129" authorId="0">
      <text>
        <r>
          <rPr>
            <b/>
          </rPr>
          <t xml:space="preserve">EDGAR Mapper:
</t>
        </r>
        <r>
          <t xml:space="preserve">Other Non-Current Assets includes:
- Assets, Current
- Property, Plant and Equipment, Net</t>
        </r>
      </text>
    </comment>
    <comment ref="M129" authorId="0">
      <text>
        <r>
          <rPr>
            <b/>
          </rPr>
          <t xml:space="preserve">EDGAR Mapper:
</t>
        </r>
        <r>
          <t xml:space="preserve">Other Non-Current Assets includes:
- Assets, Current
- Property, Plant, and Equipment and Finance Lease Right-of-Use Asset, after Accumulated Depreciation and Amortization</t>
        </r>
      </text>
    </comment>
    <comment ref="N129" authorId="0">
      <text>
        <r>
          <rPr>
            <b/>
          </rPr>
          <t xml:space="preserve">EDGAR Mapper:
</t>
        </r>
        <r>
          <t xml:space="preserve">Other Non-Current Assets includes:
- Assets, Current
- Property, Plant, and Equipment and Finance Lease Right-of-Use Asset, after Accumulated Depreciation and Amortization</t>
        </r>
      </text>
    </comment>
    <comment ref="P129" authorId="0">
      <text>
        <r>
          <rPr>
            <b/>
          </rPr>
          <t xml:space="preserve">EDGAR Mapper:
</t>
        </r>
        <r>
          <t xml:space="preserve">======
ID#AAABbnJBVxY
Lilianna Ruby    (2025-01-14 21:09:38)
operating lease right of use assets, long term investments, deferred income taxes, other assets
EDGAR Mapper:
Other Non-Current Assets includes:
- Assets, Current
- Property, Plant and Equipment, Net</t>
        </r>
      </text>
    </comment>
    <comment ref="Q129" authorId="0">
      <text>
        <r>
          <rPr>
            <b/>
          </rPr>
          <t xml:space="preserve">EDGAR Mapper:
</t>
        </r>
        <r>
          <t xml:space="preserve">Other Non-Current Assets includes:
- Assets, Current
- Property, Plant, and Equipment and Finance Lease Right-of-Use Asset, after Accumulated Depreciation and Amortization</t>
        </r>
      </text>
    </comment>
    <comment ref="R129" authorId="0">
      <text>
        <r>
          <rPr>
            <b/>
          </rPr>
          <t xml:space="preserve">EDGAR Mapper:
</t>
        </r>
        <r>
          <t xml:space="preserve">Other Non-Current Assets includes:
- Assets, Current
- Property, Plant, and Equipment and Finance Lease Right-of-Use Asset, after Accumulated Depreciation and Amortization</t>
        </r>
      </text>
    </comment>
    <comment ref="S129" authorId="0">
      <text>
        <r>
          <rPr>
            <b/>
          </rPr>
          <t xml:space="preserve">EDGAR Mapper:
</t>
        </r>
        <r>
          <t xml:space="preserve">Other Non-Current Assets includes:
- Assets, Current
- Property, Plant, and Equipment and Finance Lease Right-of-Use Asset, after Accumulated Depreciation and Amortization
- Finite-Lived Intangible Assets, Net</t>
        </r>
      </text>
    </comment>
    <comment ref="U129" authorId="0">
      <text>
        <r>
          <rPr>
            <b/>
          </rPr>
          <t xml:space="preserve">EDGAR Mapper:
</t>
        </r>
        <r>
          <t xml:space="preserve">======
ID#AAABbnJBVy4
Lilianna Ruby    (2025-01-14 21:09:38)
Includes operating lease right-of-use assets, long-term investments, deferred income taxes, and other
EDGAR Mapper:
Other Non-Current Assets includes:
- Assets, Current
- Property, Plant, and Equipment and Finance Lease Right-of-Use Asset, after Accumulated Depreciation and Amortization
- Finite-Lived Intangible Assets, Net</t>
        </r>
      </text>
    </comment>
    <comment ref="C134" authorId="0">
      <text>
        <r>
          <rPr>
            <b/>
          </rPr>
          <t xml:space="preserve">EDGAR Mapper:
</t>
        </r>
        <r>
          <t xml:space="preserve">Accounts Payable maps directly to:
- Accounts Payable, Current</t>
        </r>
      </text>
    </comment>
    <comment ref="F134" authorId="0">
      <text>
        <r>
          <rPr>
            <b/>
          </rPr>
          <t xml:space="preserve">EDGAR Mapper:
</t>
        </r>
        <r>
          <t xml:space="preserve">Accounts Payable maps directly to:
- Accounts Payable, Current</t>
        </r>
      </text>
    </comment>
    <comment ref="G134" authorId="0">
      <text>
        <r>
          <rPr>
            <b/>
          </rPr>
          <t xml:space="preserve">EDGAR Mapper:
</t>
        </r>
        <r>
          <t xml:space="preserve">Accounts Payable maps directly to:
- Accounts Payable, Current</t>
        </r>
      </text>
    </comment>
    <comment ref="H134" authorId="0">
      <text>
        <r>
          <rPr>
            <b/>
          </rPr>
          <t xml:space="preserve">EDGAR Mapper:
</t>
        </r>
        <r>
          <t xml:space="preserve">Accounts Payable maps directly to:
- Accounts Payable, Current</t>
        </r>
      </text>
    </comment>
    <comment ref="I134" authorId="0">
      <text>
        <r>
          <rPr>
            <b/>
          </rPr>
          <t xml:space="preserve">EDGAR Mapper:
</t>
        </r>
        <r>
          <t xml:space="preserve">Accounts Payable maps directly to:
- Accounts Payable, Current</t>
        </r>
      </text>
    </comment>
    <comment ref="K134" authorId="0">
      <text>
        <r>
          <rPr>
            <b/>
          </rPr>
          <t xml:space="preserve">EDGAR Mapper:
</t>
        </r>
        <r>
          <t xml:space="preserve">Accounts Payable maps directly to:
- Accounts Payable, Current</t>
        </r>
      </text>
    </comment>
    <comment ref="L134" authorId="0">
      <text>
        <r>
          <rPr>
            <b/>
          </rPr>
          <t xml:space="preserve">EDGAR Mapper:
</t>
        </r>
        <r>
          <t xml:space="preserve">Accounts Payable maps directly to:
- Accounts Payable, Current</t>
        </r>
      </text>
    </comment>
    <comment ref="M134" authorId="0">
      <text>
        <r>
          <rPr>
            <b/>
          </rPr>
          <t xml:space="preserve">EDGAR Mapper:
</t>
        </r>
        <r>
          <t xml:space="preserve">Accounts Payable maps directly to:
- Accounts Payable, Current</t>
        </r>
      </text>
    </comment>
    <comment ref="N134" authorId="0">
      <text>
        <r>
          <rPr>
            <b/>
          </rPr>
          <t xml:space="preserve">EDGAR Mapper:
</t>
        </r>
        <r>
          <t xml:space="preserve">Accounts Payable maps directly to:
- Accounts Payable, Current</t>
        </r>
      </text>
    </comment>
    <comment ref="P134" authorId="0">
      <text>
        <r>
          <rPr>
            <b/>
          </rPr>
          <t xml:space="preserve">EDGAR Mapper:
</t>
        </r>
        <r>
          <t xml:space="preserve">Accounts Payable maps directly to:
- Accounts Payable, Current</t>
        </r>
      </text>
    </comment>
    <comment ref="Q134" authorId="0">
      <text>
        <r>
          <rPr>
            <b/>
          </rPr>
          <t xml:space="preserve">EDGAR Mapper:
</t>
        </r>
        <r>
          <t xml:space="preserve">Accounts Payable maps directly to:
- Accounts Payable, Current</t>
        </r>
      </text>
    </comment>
    <comment ref="R134" authorId="0">
      <text>
        <r>
          <rPr>
            <b/>
          </rPr>
          <t xml:space="preserve">EDGAR Mapper:
</t>
        </r>
        <r>
          <t xml:space="preserve">Accounts Payable maps directly to:
- Accounts Payable, Current</t>
        </r>
      </text>
    </comment>
    <comment ref="S134" authorId="0">
      <text>
        <r>
          <rPr>
            <b/>
          </rPr>
          <t xml:space="preserve">EDGAR Mapper:
</t>
        </r>
        <r>
          <t xml:space="preserve">Accounts Payable maps directly to:
- Accounts Payable, Current</t>
        </r>
      </text>
    </comment>
    <comment ref="U134" authorId="0">
      <text>
        <r>
          <rPr>
            <b/>
          </rPr>
          <t xml:space="preserve">EDGAR Mapper:
</t>
        </r>
        <r>
          <t xml:space="preserve">Accounts Payable maps directly to:
- Accounts Payable, Current</t>
        </r>
      </text>
    </comment>
    <comment ref="C135" authorId="0">
      <text>
        <r>
          <rPr>
            <b/>
          </rPr>
          <t xml:space="preserve">EDGAR Mapper:
</t>
        </r>
        <r>
          <t xml:space="preserve">Accrued Liabilities includes:
- Liabilities, Current
- Accounts Payable, Current
- Contract with Customer, Liability, Current
- Long-term Debt, Current Maturities
Accrued Liabilities includes:
- Liabilities, Current
- Accounts Payable, Current
- Contract with Customer, Liability, Current</t>
        </r>
      </text>
    </comment>
    <comment ref="F135" authorId="0">
      <text>
        <r>
          <rPr>
            <b/>
          </rPr>
          <t xml:space="preserve">EDGAR Mapper:
</t>
        </r>
        <r>
          <t xml:space="preserve">Accrued Liabilities includes:
- Liabilities, Current
- Accounts Payable, Current
- Contract with Customer, Liability, Current
- Long-term Debt, Current Maturities</t>
        </r>
      </text>
    </comment>
    <comment ref="G135" authorId="0">
      <text>
        <r>
          <rPr>
            <b/>
          </rPr>
          <t xml:space="preserve">EDGAR Mapper:
</t>
        </r>
        <r>
          <t xml:space="preserve">Accrued Liabilities includes:
- Liabilities, Current
- Accounts Payable, Current
- Contract with Customer, Liability, Current
- Long-term Debt, Current Maturities</t>
        </r>
      </text>
    </comment>
    <comment ref="H135" authorId="0">
      <text>
        <r>
          <rPr>
            <b/>
          </rPr>
          <t xml:space="preserve">EDGAR Mapper:
</t>
        </r>
        <r>
          <t xml:space="preserve">Accrued Liabilities includes:
- Liabilities, Current
- Accounts Payable, Current
- Contract with Customer, Liability, Current
- Long-term Debt, Current Maturities</t>
        </r>
      </text>
    </comment>
    <comment ref="I135" authorId="0">
      <text>
        <r>
          <rPr>
            <b/>
          </rPr>
          <t xml:space="preserve">EDGAR Mapper:
</t>
        </r>
        <r>
          <t xml:space="preserve">Accrued Liabilities includes:
- Liabilities, Current
- Accounts Payable, Current
- Contract with Customer, Liability, Current
- Long-term Debt, Current Maturities</t>
        </r>
      </text>
    </comment>
    <comment ref="K135" authorId="0">
      <text>
        <r>
          <rPr>
            <b/>
          </rPr>
          <t xml:space="preserve">EDGAR Mapper:
</t>
        </r>
        <r>
          <t xml:space="preserve">Accrued Liabilities includes:
- Liabilities, Current
- Accounts Payable, Current
- Contract with Customer, Liability, Current</t>
        </r>
      </text>
    </comment>
    <comment ref="L135" authorId="0">
      <text>
        <r>
          <rPr>
            <b/>
          </rPr>
          <t xml:space="preserve">EDGAR Mapper:
</t>
        </r>
        <r>
          <t xml:space="preserve">Accrued Liabilities includes:
- Liabilities, Current
- Accounts Payable, Current
- Contract with Customer, Liability, Current</t>
        </r>
      </text>
    </comment>
    <comment ref="M135" authorId="0">
      <text>
        <r>
          <rPr>
            <b/>
          </rPr>
          <t xml:space="preserve">EDGAR Mapper:
</t>
        </r>
        <r>
          <t xml:space="preserve">Accrued Liabilities includes:
- Liabilities, Current
- Accounts Payable, Current
- Contract with Customer, Liability, Current
- Long-term Debt, Current Maturities</t>
        </r>
      </text>
    </comment>
    <comment ref="N135" authorId="0">
      <text>
        <r>
          <rPr>
            <b/>
          </rPr>
          <t xml:space="preserve">EDGAR Mapper:
</t>
        </r>
        <r>
          <t xml:space="preserve">Accrued Liabilities includes:
- Liabilities, Current
- Accounts Payable, Current
- Contract with Customer, Liability, Current
- Long-term Debt, Current Maturities</t>
        </r>
      </text>
    </comment>
    <comment ref="P135" authorId="0">
      <text>
        <r>
          <rPr>
            <b/>
          </rPr>
          <t xml:space="preserve">EDGAR Mapper:
</t>
        </r>
        <r>
          <t xml:space="preserve">Accrued Liabilities includes:
- Liabilities, Current
- Accounts Payable, Current
- Contract with Customer, Liability, Current
- Long-term Debt, Current Maturities</t>
        </r>
      </text>
    </comment>
    <comment ref="Q135" authorId="0">
      <text>
        <r>
          <rPr>
            <b/>
          </rPr>
          <t xml:space="preserve">EDGAR Mapper:
</t>
        </r>
        <r>
          <t xml:space="preserve">Accrued Liabilities includes:
- Liabilities, Current
- Accounts Payable, Current
- Contract with Customer, Liability, Current
- Long-term Debt, Current Maturities</t>
        </r>
      </text>
    </comment>
    <comment ref="R135" authorId="0">
      <text>
        <r>
          <rPr>
            <b/>
          </rPr>
          <t xml:space="preserve">EDGAR Mapper:
</t>
        </r>
        <r>
          <t xml:space="preserve">Accrued Liabilities includes:
- Liabilities, Current
- Accounts Payable, Current
- Contract with Customer, Liability, Current
- Long-term Debt, Current Maturities</t>
        </r>
      </text>
    </comment>
    <comment ref="S135" authorId="0">
      <text>
        <r>
          <rPr>
            <b/>
          </rPr>
          <t xml:space="preserve">EDGAR Mapper:
</t>
        </r>
        <r>
          <t xml:space="preserve">Accrued Liabilities includes:
- Liabilities, Current
- Accounts Payable, Current
- Contract with Customer, Liability, Current
- Long-term Debt, Current Maturities</t>
        </r>
      </text>
    </comment>
    <comment ref="U135" authorId="0">
      <text>
        <r>
          <rPr>
            <b/>
          </rPr>
          <t xml:space="preserve">EDGAR Mapper:
</t>
        </r>
        <r>
          <t xml:space="preserve">Accrued Liabilities includes:
- Liabilities, Current
- Accounts Payable, Current
- Contract with Customer, Liability, Current
- Long-term Debt, Current Maturities</t>
        </r>
      </text>
    </comment>
    <comment ref="C136" authorId="0">
      <text>
        <r>
          <rPr>
            <b/>
          </rPr>
          <t xml:space="preserve">EDGAR Mapper:
</t>
        </r>
        <r>
          <t xml:space="preserve">======
ID#AAABbnJBV0M
Luke Brennan    (2025-01-14 21:09:38)
Advances and Billings in Excess of Related Costs
EDGAR Mapper:
Other Current Liabilities maps directly to:
- Contract with Customer, Liability, Current</t>
        </r>
      </text>
    </comment>
    <comment ref="F136" authorId="0">
      <text>
        <r>
          <t/>
        </r>
      </text>
    </comment>
    <comment ref="G136" authorId="0">
      <text>
        <r>
          <t/>
        </r>
      </text>
    </comment>
    <comment ref="H136" authorId="0">
      <text>
        <r>
          <t/>
        </r>
      </text>
    </comment>
    <comment ref="I136" authorId="0">
      <text>
        <r>
          <t/>
        </r>
      </text>
    </comment>
    <comment ref="K136" authorId="0">
      <text>
        <r>
          <t/>
        </r>
      </text>
    </comment>
    <comment ref="L136" authorId="0">
      <text>
        <r>
          <t/>
        </r>
      </text>
    </comment>
    <comment ref="M136" authorId="0">
      <text>
        <r>
          <t/>
        </r>
      </text>
    </comment>
    <comment ref="N136" authorId="0">
      <text>
        <r>
          <t/>
        </r>
      </text>
    </comment>
    <comment ref="P136" authorId="0">
      <text>
        <r>
          <rPr>
            <b/>
          </rPr>
          <t xml:space="preserve">EDGAR Mapper:
</t>
        </r>
        <r>
          <t xml:space="preserve">======
ID#AAABbnJBV00
Lilianna Ruby    (2025-01-14 21:09:38)
Current operating lease liabilities, deferred revenue, other
EDGAR Mapper:
Other Current Liabilities maps directly to:
- Contract with Customer, Liability, Current</t>
        </r>
      </text>
    </comment>
    <comment ref="Q136" authorId="0">
      <text>
        <r>
          <rPr>
            <b/>
          </rPr>
          <t xml:space="preserve">EDGAR Mapper:
</t>
        </r>
        <r>
          <t xml:space="preserve">Other Current Liabilities maps directly to:
- Contract with Customer, Liability, Current</t>
        </r>
      </text>
    </comment>
    <comment ref="R136" authorId="0">
      <text>
        <r>
          <rPr>
            <b/>
          </rPr>
          <t xml:space="preserve">EDGAR Mapper:
</t>
        </r>
        <r>
          <t xml:space="preserve">Other Current Liabilities maps directly to:
- Contract with Customer, Liability, Current</t>
        </r>
      </text>
    </comment>
    <comment ref="S136" authorId="0">
      <text>
        <r>
          <rPr>
            <b/>
          </rPr>
          <t xml:space="preserve">EDGAR Mapper:
</t>
        </r>
        <r>
          <t xml:space="preserve">Other Current Liabilities maps directly to:
- Contract with Customer, Liability, Current</t>
        </r>
      </text>
    </comment>
    <comment ref="U136" authorId="0">
      <text>
        <r>
          <t/>
        </r>
      </text>
    </comment>
    <comment ref="C139" authorId="0">
      <text>
        <r>
          <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LT Debt (Incl. Current Portion) includes:
- Long-term Debt, Excluding Current Maturities
- Long-term Debt, Current Maturities</t>
        </r>
      </text>
    </comment>
    <comment ref="F140" authorId="0">
      <text>
        <r>
          <rPr>
            <b/>
          </rPr>
          <t xml:space="preserve">EDGAR Mapper:
</t>
        </r>
        <r>
          <t xml:space="preserve">LT Debt (Incl. Current Portion) maps directly to:
- Long-term Debt and Lease Obligation, Including Current Maturities</t>
        </r>
      </text>
    </comment>
    <comment ref="G140" authorId="0">
      <text>
        <r>
          <rPr>
            <b/>
          </rPr>
          <t xml:space="preserve">EDGAR Mapper:
</t>
        </r>
        <r>
          <t xml:space="preserve">LT Debt (Incl. Current Portion) maps directly to:
- Long-term Debt and Lease Obligation, Including Current Maturities</t>
        </r>
      </text>
    </comment>
    <comment ref="H140" authorId="0">
      <text>
        <r>
          <rPr>
            <b/>
          </rPr>
          <t xml:space="preserve">EDGAR Mapper:
</t>
        </r>
        <r>
          <t xml:space="preserve">LT Debt (Incl. Current Portion) maps directly to:
- Long-term Debt and Lease Obligation, Including Current Maturities</t>
        </r>
      </text>
    </comment>
    <comment ref="I140" authorId="0">
      <text>
        <r>
          <rPr>
            <b/>
          </rPr>
          <t xml:space="preserve">EDGAR Mapper:
</t>
        </r>
        <r>
          <t xml:space="preserve">LT Debt (Incl. Current Portion) maps directly to:
- Long-term Debt and Lease Obligation, Including Current Maturities</t>
        </r>
      </text>
    </comment>
    <comment ref="K140" authorId="0">
      <text>
        <r>
          <rPr>
            <b/>
          </rPr>
          <t xml:space="preserve">EDGAR Mapper:
</t>
        </r>
        <r>
          <t xml:space="preserve">LT Debt (Incl. Current Portion) maps directly to:
- Long-term Debt and Lease Obligation, Including Current Maturities</t>
        </r>
      </text>
    </comment>
    <comment ref="L140" authorId="0">
      <text>
        <r>
          <rPr>
            <b/>
          </rPr>
          <t xml:space="preserve">EDGAR Mapper:
</t>
        </r>
        <r>
          <t xml:space="preserve">LT Debt (Incl. Current Portion) maps directly to:
- Long-term Debt and Lease Obligation, Including Current Maturities</t>
        </r>
      </text>
    </comment>
    <comment ref="M140" authorId="0">
      <text>
        <r>
          <rPr>
            <b/>
          </rPr>
          <t xml:space="preserve">EDGAR Mapper:
</t>
        </r>
        <r>
          <t xml:space="preserve">LT Debt (Incl. Current Portion) maps directly to:
- Long-term Debt and Lease Obligation, Including Current Maturities</t>
        </r>
      </text>
    </comment>
    <comment ref="N140" authorId="0">
      <text>
        <r>
          <rPr>
            <b/>
          </rPr>
          <t xml:space="preserve">EDGAR Mapper:
</t>
        </r>
        <r>
          <t xml:space="preserve">LT Debt (Incl. Current Portion) includes:
- Long-term Debt, Excluding Current Maturities
- Long-term Debt, Current Maturities</t>
        </r>
      </text>
    </comment>
    <comment ref="P140" authorId="0">
      <text>
        <r>
          <rPr>
            <b/>
          </rPr>
          <t xml:space="preserve">EDGAR Mapper:
</t>
        </r>
        <r>
          <t xml:space="preserve">LT Debt (Incl. Current Portion) includes:
- Long-term Debt, Excluding Current Maturities
- Long-term Debt, Current Maturities</t>
        </r>
      </text>
    </comment>
    <comment ref="Q140" authorId="0">
      <text>
        <r>
          <rPr>
            <b/>
          </rPr>
          <t xml:space="preserve">EDGAR Mapper:
</t>
        </r>
        <r>
          <t xml:space="preserve">LT Debt (Incl. Current Portion) includes:
- Long-term Debt, Excluding Current Maturities
- Long-term Debt, Current Maturities</t>
        </r>
      </text>
    </comment>
    <comment ref="R140" authorId="0">
      <text>
        <r>
          <rPr>
            <b/>
          </rPr>
          <t xml:space="preserve">EDGAR Mapper:
</t>
        </r>
        <r>
          <t xml:space="preserve">LT Debt (Incl. Current Portion) includes:
- Long-term Debt, Excluding Current Maturities
- Long-term Debt, Current Maturities</t>
        </r>
      </text>
    </comment>
    <comment ref="S140" authorId="0">
      <text>
        <r>
          <rPr>
            <b/>
          </rPr>
          <t xml:space="preserve">EDGAR Mapper:
</t>
        </r>
        <r>
          <t xml:space="preserve">LT Debt (Incl. Current Portion) includes:
- Long-term Debt, Excluding Current Maturities
- Long-term Debt, Current Maturities</t>
        </r>
      </text>
    </comment>
    <comment ref="U140" authorId="0">
      <text>
        <r>
          <rPr>
            <b/>
          </rPr>
          <t xml:space="preserve">EDGAR Mapper:
</t>
        </r>
        <r>
          <t xml:space="preserve">LT Debt (Incl. Current Portion) includes:
- Long-term Debt, Excluding Current Maturities
- Long-term Debt, Current Maturities</t>
        </r>
      </text>
    </comment>
    <comment ref="C141" authorId="0">
      <text>
        <r>
          <rPr>
            <b/>
          </rPr>
          <t xml:space="preserve">EDGAR Mapper:
</t>
        </r>
        <r>
          <t xml:space="preserve">Deferred Income Taxes maps directly to:
- Deferred Income Tax Liabilities, Net</t>
        </r>
      </text>
    </comment>
    <comment ref="F141" authorId="0">
      <text>
        <r>
          <rPr>
            <b/>
          </rPr>
          <t xml:space="preserve">EDGAR Mapper:
</t>
        </r>
        <r>
          <t xml:space="preserve">Deferred Income Taxes maps directly to:
- Deferred Income Tax Liabilities, Net</t>
        </r>
      </text>
    </comment>
    <comment ref="G141" authorId="0">
      <text>
        <r>
          <rPr>
            <b/>
          </rPr>
          <t xml:space="preserve">EDGAR Mapper:
</t>
        </r>
        <r>
          <t xml:space="preserve">Deferred Income Taxes maps directly to:
- Deferred Income Tax Liabilities, Net</t>
        </r>
      </text>
    </comment>
    <comment ref="H141" authorId="0">
      <text>
        <r>
          <rPr>
            <b/>
          </rPr>
          <t xml:space="preserve">EDGAR Mapper:
</t>
        </r>
        <r>
          <t xml:space="preserve">Deferred Income Taxes maps directly to:
- Deferred Income Tax Liabilities, Net</t>
        </r>
      </text>
    </comment>
    <comment ref="I141" authorId="0">
      <text>
        <r>
          <rPr>
            <b/>
          </rPr>
          <t xml:space="preserve">EDGAR Mapper:
</t>
        </r>
        <r>
          <t xml:space="preserve">Deferred Income Taxes maps directly to:
- Deferred Income Tax Liabilities, Net</t>
        </r>
      </text>
    </comment>
    <comment ref="K141" authorId="0">
      <text>
        <r>
          <rPr>
            <b/>
          </rPr>
          <t xml:space="preserve">EDGAR Mapper:
</t>
        </r>
        <r>
          <t xml:space="preserve">Deferred Income Taxes maps directly to:
- Deferred Income Tax Liabilities, Net</t>
        </r>
      </text>
    </comment>
    <comment ref="L141" authorId="0">
      <text>
        <r>
          <rPr>
            <b/>
          </rPr>
          <t xml:space="preserve">EDGAR Mapper:
</t>
        </r>
        <r>
          <t xml:space="preserve">Deferred Income Taxes maps directly to:
- Deferred Income Tax Liabilities, Net</t>
        </r>
      </text>
    </comment>
    <comment ref="M141" authorId="0">
      <text>
        <r>
          <rPr>
            <b/>
          </rPr>
          <t xml:space="preserve">EDGAR Mapper:
</t>
        </r>
        <r>
          <t xml:space="preserve">Deferred Income Taxes maps directly to:
- Deferred Income Tax Liabilities, Net</t>
        </r>
      </text>
    </comment>
    <comment ref="N141" authorId="0">
      <text>
        <r>
          <t/>
        </r>
      </text>
    </comment>
    <comment ref="P141" authorId="0">
      <text>
        <r>
          <t/>
        </r>
      </text>
    </comment>
    <comment ref="Q141" authorId="0">
      <text>
        <r>
          <t/>
        </r>
      </text>
    </comment>
    <comment ref="R141" authorId="0">
      <text>
        <r>
          <t/>
        </r>
      </text>
    </comment>
    <comment ref="S141" authorId="0">
      <text>
        <r>
          <t/>
        </r>
      </text>
    </comment>
    <comment ref="U141" authorId="0">
      <text>
        <r>
          <t/>
        </r>
      </text>
    </comment>
    <comment ref="C142" authorId="0">
      <text>
        <r>
          <rPr>
            <b/>
          </rPr>
          <t xml:space="preserve">EDGAR Mapper:
</t>
        </r>
        <r>
          <t xml:space="preserve">======
ID#AAABbnJBVw8
Luke Brennan    (2025-01-14 21:09:38)
Accrued Retiree Healthcare
Accrued Pension Plan Liability, net
and Other LT Liabilities
EDGAR Mapper:
Other Non-Current Liabilities includes:
- Liabilities, Current
- Long-term Debt, Current Maturities
- Long-term Debt, Excluding Current Maturities</t>
        </r>
      </text>
    </comment>
    <comment ref="F142" authorId="0">
      <text>
        <r>
          <rPr>
            <b/>
          </rPr>
          <t xml:space="preserve">EDGAR Mapper:
</t>
        </r>
        <r>
          <t xml:space="preserve">Other Non-Current Liabilities includes:
- Liabilities, Current
- Long-term Debt, Current Maturities
- Long-term Debt and Lease Obligation, Including Current Maturities
- Deferred Income Tax Liabilities, Net</t>
        </r>
      </text>
    </comment>
    <comment ref="G142" authorId="0">
      <text>
        <r>
          <rPr>
            <b/>
          </rPr>
          <t xml:space="preserve">EDGAR Mapper:
</t>
        </r>
        <r>
          <t xml:space="preserve">Other Non-Current Liabilities includes:
- Liabilities, Current
- Long-term Debt, Current Maturities
- Long-term Debt and Lease Obligation, Including Current Maturities
- Deferred Income Tax Liabilities, Net</t>
        </r>
      </text>
    </comment>
    <comment ref="H142" authorId="0">
      <text>
        <r>
          <rPr>
            <b/>
          </rPr>
          <t xml:space="preserve">EDGAR Mapper:
</t>
        </r>
        <r>
          <t xml:space="preserve">Other Non-Current Liabilities includes:
- Liabilities, Current
- Long-term Debt, Current Maturities
- Long-term Debt and Lease Obligation, Including Current Maturities
- Deferred Income Tax Liabilities, Net</t>
        </r>
      </text>
    </comment>
    <comment ref="I142" authorId="0">
      <text>
        <r>
          <rPr>
            <b/>
          </rPr>
          <t xml:space="preserve">EDGAR Mapper:
</t>
        </r>
        <r>
          <t xml:space="preserve">Other Non-Current Liabilities includes:
- Liabilities, Current
- Long-term Debt, Current Maturities
- Long-term Debt and Lease Obligation, Including Current Maturities
- Deferred Income Tax Liabilities, Net</t>
        </r>
      </text>
    </comment>
    <comment ref="K142" authorId="0">
      <text>
        <r>
          <rPr>
            <b/>
          </rPr>
          <t xml:space="preserve">EDGAR Mapper:
</t>
        </r>
        <r>
          <t xml:space="preserve">Other Non-Current Liabilities includes:
- Liabilities, Current
- Long-term Debt and Lease Obligation, Including Current Maturities
- Deferred Income Tax Liabilities, Net</t>
        </r>
      </text>
    </comment>
    <comment ref="L142" authorId="0">
      <text>
        <r>
          <rPr>
            <b/>
          </rPr>
          <t xml:space="preserve">EDGAR Mapper:
</t>
        </r>
        <r>
          <t xml:space="preserve">Other Non-Current Liabilities includes:
- Liabilities, Current
- Long-term Debt and Lease Obligation, Including Current Maturities
- Deferred Income Tax Liabilities, Net</t>
        </r>
      </text>
    </comment>
    <comment ref="M142" authorId="0">
      <text>
        <r>
          <rPr>
            <b/>
          </rPr>
          <t xml:space="preserve">EDGAR Mapper:
</t>
        </r>
        <r>
          <t xml:space="preserve">Other Non-Current Liabilities includes:
- Liabilities, Current
- Long-term Debt, Current Maturities
- Long-term Debt and Lease Obligation, Including Current Maturities
- Deferred Income Tax Liabilities, Net</t>
        </r>
      </text>
    </comment>
    <comment ref="N142" authorId="0">
      <text>
        <r>
          <rPr>
            <b/>
          </rPr>
          <t xml:space="preserve">EDGAR Mapper:
</t>
        </r>
        <r>
          <t xml:space="preserve">Other Non-Current Liabilities includes:
- Liabilities, Current
- Long-term Debt, Current Maturities
- Long-term Debt, Excluding Current Maturities</t>
        </r>
      </text>
    </comment>
    <comment ref="P142" authorId="0">
      <text>
        <r>
          <t/>
        </r>
      </text>
    </comment>
    <comment ref="Q142" authorId="0">
      <text>
        <r>
          <t/>
        </r>
      </text>
    </comment>
    <comment ref="R142" authorId="0">
      <text>
        <r>
          <t/>
        </r>
      </text>
    </comment>
    <comment ref="S142" authorId="0">
      <text>
        <r>
          <t/>
        </r>
      </text>
    </comment>
    <comment ref="U142" authorId="0">
      <text>
        <r>
          <rPr>
            <b/>
          </rPr>
          <t xml:space="preserve">EDGAR Mapper:
</t>
        </r>
        <r>
          <t xml:space="preserve">Other Non-Current Liabilities includes:
- Liabilities, Current
- Long-term Debt, Current Maturities
- Long-term Debt, Excluding Current Maturities</t>
        </r>
      </text>
    </comment>
    <comment ref="Z143" authorId="0">
      <text/>
    </comment>
    <comment ref="AE143" authorId="0">
      <text/>
    </comment>
    <comment ref="C147" authorId="0">
      <text>
        <r>
          <rPr>
            <b/>
          </rPr>
          <t xml:space="preserve">EDGAR Mapper:
</t>
        </r>
        <r>
          <t xml:space="preserve">Common Stock &amp; APIC maps directly to:
- Common Stocks, Including Additional Paid in Capital</t>
        </r>
      </text>
    </comment>
    <comment ref="F147" authorId="0">
      <text>
        <r>
          <rPr>
            <b/>
          </rPr>
          <t xml:space="preserve">EDGAR Mapper:
</t>
        </r>
        <r>
          <t xml:space="preserve">Common Stock &amp; APIC maps directly to:
- Common Stocks, Including Additional Paid in Capital</t>
        </r>
      </text>
    </comment>
    <comment ref="G147" authorId="0">
      <text>
        <r>
          <rPr>
            <b/>
          </rPr>
          <t xml:space="preserve">EDGAR Mapper:
</t>
        </r>
        <r>
          <t xml:space="preserve">Common Stock &amp; APIC maps directly to:
- Common Stocks, Including Additional Paid in Capital</t>
        </r>
      </text>
    </comment>
    <comment ref="H147" authorId="0">
      <text>
        <r>
          <rPr>
            <b/>
          </rPr>
          <t xml:space="preserve">EDGAR Mapper:
</t>
        </r>
        <r>
          <t xml:space="preserve">Common Stock &amp; APIC maps directly to:
- Common Stocks, Including Additional Paid in Capital</t>
        </r>
      </text>
    </comment>
    <comment ref="I147" authorId="0">
      <text>
        <r>
          <rPr>
            <b/>
          </rPr>
          <t xml:space="preserve">EDGAR Mapper:
</t>
        </r>
        <r>
          <t xml:space="preserve">Common Stock &amp; APIC maps directly to:
- Common Stocks, Including Additional Paid in Capital</t>
        </r>
      </text>
    </comment>
    <comment ref="K147" authorId="0">
      <text>
        <r>
          <rPr>
            <b/>
          </rPr>
          <t xml:space="preserve">EDGAR Mapper:
</t>
        </r>
        <r>
          <t xml:space="preserve">Common Stock &amp; APIC maps directly to:
- Common Stocks, Including Additional Paid in Capital</t>
        </r>
      </text>
    </comment>
    <comment ref="L147" authorId="0">
      <text>
        <r>
          <rPr>
            <b/>
          </rPr>
          <t xml:space="preserve">EDGAR Mapper:
</t>
        </r>
        <r>
          <t xml:space="preserve">Common Stock &amp; APIC maps directly to:
- Common Stocks, Including Additional Paid in Capital</t>
        </r>
      </text>
    </comment>
    <comment ref="M147" authorId="0">
      <text>
        <r>
          <rPr>
            <b/>
          </rPr>
          <t xml:space="preserve">EDGAR Mapper:
</t>
        </r>
        <r>
          <t xml:space="preserve">Common Stock &amp; APIC maps directly to:
- Common Stocks, Including Additional Paid in Capital</t>
        </r>
      </text>
    </comment>
    <comment ref="N147" authorId="0">
      <text>
        <r>
          <rPr>
            <b/>
          </rPr>
          <t xml:space="preserve">EDGAR Mapper:
</t>
        </r>
        <r>
          <t xml:space="preserve">Common Stock &amp; APIC maps directly to:
- Common Stocks, Including Additional Paid in Capital</t>
        </r>
      </text>
    </comment>
    <comment ref="P147" authorId="0">
      <text>
        <r>
          <rPr>
            <b/>
          </rPr>
          <t xml:space="preserve">EDGAR Mapper:
</t>
        </r>
        <r>
          <t xml:space="preserve">Common Stock &amp; APIC maps directly to:
- Common Stocks, Including Additional Paid in Capital</t>
        </r>
      </text>
    </comment>
    <comment ref="Q147" authorId="0">
      <text>
        <r>
          <rPr>
            <b/>
          </rPr>
          <t xml:space="preserve">EDGAR Mapper:
</t>
        </r>
        <r>
          <t xml:space="preserve">Common Stock &amp; APIC maps directly to:
- Common Stocks, Including Additional Paid in Capital</t>
        </r>
      </text>
    </comment>
    <comment ref="R147" authorId="0">
      <text>
        <r>
          <rPr>
            <b/>
          </rPr>
          <t xml:space="preserve">EDGAR Mapper:
</t>
        </r>
        <r>
          <t xml:space="preserve">Common Stock &amp; APIC maps directly to:
- Common Stocks, Including Additional Paid in Capital</t>
        </r>
      </text>
    </comment>
    <comment ref="S147" authorId="0">
      <text>
        <r>
          <rPr>
            <b/>
          </rPr>
          <t xml:space="preserve">EDGAR Mapper:
</t>
        </r>
        <r>
          <t xml:space="preserve">Common Stock &amp; APIC maps directly to:
- Common Stocks, Including Additional Paid in Capital</t>
        </r>
      </text>
    </comment>
    <comment ref="U147" authorId="0">
      <text>
        <r>
          <rPr>
            <b/>
          </rPr>
          <t xml:space="preserve">EDGAR Mapper:
</t>
        </r>
        <r>
          <t xml:space="preserve">Common Stock &amp; APIC maps directly to:
- Common Stocks, Including Additional Paid in Capital</t>
        </r>
      </text>
    </comment>
    <comment ref="F148" authorId="0">
      <text>
        <r>
          <rPr>
            <b/>
          </rPr>
          <t xml:space="preserve">EDGAR Mapper:
</t>
        </r>
        <r>
          <t xml:space="preserve">Retained Earnings maps directly to:
- Retained Earnings (Accumulated Deficit)</t>
        </r>
      </text>
    </comment>
    <comment ref="G148" authorId="0">
      <text>
        <r>
          <rPr>
            <b/>
          </rPr>
          <t xml:space="preserve">EDGAR Mapper:
</t>
        </r>
        <r>
          <t xml:space="preserve">Retained Earnings maps directly to:
- Retained Earnings (Accumulated Deficit)</t>
        </r>
      </text>
    </comment>
    <comment ref="H148" authorId="0">
      <text>
        <r>
          <rPr>
            <b/>
          </rPr>
          <t xml:space="preserve">EDGAR Mapper:
</t>
        </r>
        <r>
          <t xml:space="preserve">Retained Earnings maps directly to:
- Retained Earnings (Accumulated Deficit)</t>
        </r>
      </text>
    </comment>
    <comment ref="I148" authorId="0">
      <text>
        <r>
          <rPr>
            <b/>
          </rPr>
          <t xml:space="preserve">EDGAR Mapper:
</t>
        </r>
        <r>
          <t xml:space="preserve">Retained Earnings maps directly to:
- Retained Earnings (Accumulated Deficit)</t>
        </r>
      </text>
    </comment>
    <comment ref="K148" authorId="0">
      <text>
        <r>
          <rPr>
            <b/>
          </rPr>
          <t xml:space="preserve">EDGAR Mapper:
</t>
        </r>
        <r>
          <t xml:space="preserve">Retained Earnings maps directly to:
- Retained Earnings (Accumulated Deficit)</t>
        </r>
      </text>
    </comment>
    <comment ref="L148" authorId="0">
      <text>
        <r>
          <rPr>
            <b/>
          </rPr>
          <t xml:space="preserve">EDGAR Mapper:
</t>
        </r>
        <r>
          <t xml:space="preserve">Retained Earnings maps directly to:
- Retained Earnings (Accumulated Deficit)</t>
        </r>
      </text>
    </comment>
    <comment ref="M148" authorId="0">
      <text>
        <r>
          <rPr>
            <b/>
          </rPr>
          <t xml:space="preserve">EDGAR Mapper:
</t>
        </r>
        <r>
          <t xml:space="preserve">Retained Earnings maps directly to:
- Retained Earnings (Accumulated Deficit)</t>
        </r>
      </text>
    </comment>
    <comment ref="N148" authorId="0">
      <text>
        <r>
          <rPr>
            <b/>
          </rPr>
          <t xml:space="preserve">EDGAR Mapper:
</t>
        </r>
        <r>
          <t xml:space="preserve">Retained Earnings maps directly to:
- Retained Earnings (Accumulated Deficit)</t>
        </r>
      </text>
    </comment>
    <comment ref="P148" authorId="0">
      <text>
        <r>
          <rPr>
            <b/>
          </rPr>
          <t xml:space="preserve">EDGAR Mapper:
</t>
        </r>
        <r>
          <t xml:space="preserve">Retained Earnings maps directly to:
- Retained Earnings (Accumulated Deficit)</t>
        </r>
      </text>
    </comment>
    <comment ref="Q148" authorId="0">
      <text>
        <r>
          <rPr>
            <b/>
          </rPr>
          <t xml:space="preserve">EDGAR Mapper:
</t>
        </r>
        <r>
          <t xml:space="preserve">Retained Earnings maps directly to:
- Retained Earnings (Accumulated Deficit)</t>
        </r>
      </text>
    </comment>
    <comment ref="R148" authorId="0">
      <text>
        <r>
          <rPr>
            <b/>
          </rPr>
          <t xml:space="preserve">EDGAR Mapper:
</t>
        </r>
        <r>
          <t xml:space="preserve">Retained Earnings maps directly to:
- Retained Earnings (Accumulated Deficit)</t>
        </r>
      </text>
    </comment>
    <comment ref="S148" authorId="0">
      <text>
        <r>
          <rPr>
            <b/>
          </rPr>
          <t xml:space="preserve">EDGAR Mapper:
</t>
        </r>
        <r>
          <t xml:space="preserve">Retained Earnings maps directly to:
- Retained Earnings (Accumulated Deficit)</t>
        </r>
      </text>
    </comment>
    <comment ref="U148" authorId="0">
      <text>
        <r>
          <rPr>
            <b/>
          </rPr>
          <t xml:space="preserve">EDGAR Mapper:
</t>
        </r>
        <r>
          <t xml:space="preserve">Retained Earnings maps directly to:
- Retained Earnings (Accumulated Deficit)</t>
        </r>
      </text>
    </comment>
    <comment ref="Z148" authorId="0">
      <text/>
    </comment>
    <comment ref="AE148" authorId="0">
      <text/>
    </comment>
    <comment ref="F149" authorId="0">
      <text>
        <r>
          <t/>
        </r>
      </text>
    </comment>
    <comment ref="G149" authorId="0">
      <text>
        <r>
          <t/>
        </r>
      </text>
    </comment>
    <comment ref="H149" authorId="0">
      <text>
        <r>
          <t/>
        </r>
      </text>
    </comment>
    <comment ref="I149" authorId="0">
      <text>
        <r>
          <t/>
        </r>
      </text>
    </comment>
    <comment ref="K149" authorId="0">
      <text>
        <r>
          <t/>
        </r>
      </text>
    </comment>
    <comment ref="L149" authorId="0">
      <text>
        <r>
          <t/>
        </r>
      </text>
    </comment>
    <comment ref="M149" authorId="0">
      <text>
        <r>
          <t/>
        </r>
      </text>
    </comment>
    <comment ref="N149" authorId="0">
      <text>
        <r>
          <t/>
        </r>
      </text>
    </comment>
    <comment ref="P149" authorId="0">
      <text>
        <r>
          <t/>
        </r>
      </text>
    </comment>
    <comment ref="Q149" authorId="0">
      <text>
        <r>
          <t/>
        </r>
      </text>
    </comment>
    <comment ref="R149" authorId="0">
      <text>
        <r>
          <t/>
        </r>
      </text>
    </comment>
    <comment ref="S149" authorId="0">
      <text>
        <r>
          <t/>
        </r>
      </text>
    </comment>
    <comment ref="U149" authorId="0">
      <text>
        <r>
          <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Accumulated Other Comprehensive Income (AOCI) maps directly to:
- Accumulated Other Comprehensive Income (Loss), Net of Tax</t>
        </r>
      </text>
    </comment>
    <comment ref="G150" authorId="0">
      <text>
        <r>
          <rPr>
            <b/>
          </rPr>
          <t xml:space="preserve">EDGAR Mapper:
</t>
        </r>
        <r>
          <t xml:space="preserve">Accumulated Other Comprehensive Income (AOCI) maps directly to:
- Accumulated Other Comprehensive Income (Loss), Net of Tax</t>
        </r>
      </text>
    </comment>
    <comment ref="H150" authorId="0">
      <text>
        <r>
          <rPr>
            <b/>
          </rPr>
          <t xml:space="preserve">EDGAR Mapper:
</t>
        </r>
        <r>
          <t xml:space="preserve">Accumulated Other Comprehensive Income (AOCI) maps directly to:
- Accumulated Other Comprehensive Income (Loss), Net of Tax</t>
        </r>
      </text>
    </comment>
    <comment ref="I150" authorId="0">
      <text>
        <r>
          <rPr>
            <b/>
          </rPr>
          <t xml:space="preserve">EDGAR Mapper:
</t>
        </r>
        <r>
          <t xml:space="preserve">Accumulated Other Comprehensive Income (AOCI) maps directly to:
- Accumulated Other Comprehensive Income (Loss), Net of Tax</t>
        </r>
      </text>
    </comment>
    <comment ref="K150" authorId="0">
      <text>
        <r>
          <rPr>
            <b/>
          </rPr>
          <t xml:space="preserve">EDGAR Mapper:
</t>
        </r>
        <r>
          <t xml:space="preserve">Accumulated Other Comprehensive Income (AOCI) maps directly to:
- Accumulated Other Comprehensive Income (Loss), Net of Tax</t>
        </r>
      </text>
    </comment>
    <comment ref="L150" authorId="0">
      <text>
        <r>
          <rPr>
            <b/>
          </rPr>
          <t xml:space="preserve">EDGAR Mapper:
</t>
        </r>
        <r>
          <t xml:space="preserve">Accumulated Other Comprehensive Income (AOCI) maps directly to:
- Accumulated Other Comprehensive Income (Loss), Net of Tax</t>
        </r>
      </text>
    </comment>
    <comment ref="M150" authorId="0">
      <text>
        <r>
          <rPr>
            <b/>
          </rPr>
          <t xml:space="preserve">EDGAR Mapper:
</t>
        </r>
        <r>
          <t xml:space="preserve">Accumulated Other Comprehensive Income (AOCI) maps directly to:
- Accumulated Other Comprehensive Income (Loss), Net of Tax</t>
        </r>
      </text>
    </comment>
    <comment ref="N150" authorId="0">
      <text>
        <r>
          <rPr>
            <b/>
          </rPr>
          <t xml:space="preserve">EDGAR Mapper:
</t>
        </r>
        <r>
          <t xml:space="preserve">Accumulated Other Comprehensive Income (AOCI) maps directly to:
- Accumulated Other Comprehensive Income (Loss), Net of Tax</t>
        </r>
      </text>
    </comment>
    <comment ref="P150" authorId="0">
      <text>
        <r>
          <rPr>
            <b/>
          </rPr>
          <t xml:space="preserve">EDGAR Mapper:
</t>
        </r>
        <r>
          <t xml:space="preserve">Accumulated Other Comprehensive Income (AOCI) maps directly to:
- Accumulated Other Comprehensive Income (Loss), Net of Tax</t>
        </r>
      </text>
    </comment>
    <comment ref="Q150" authorId="0">
      <text>
        <r>
          <rPr>
            <b/>
          </rPr>
          <t xml:space="preserve">EDGAR Mapper:
</t>
        </r>
        <r>
          <t xml:space="preserve">Accumulated Other Comprehensive Income (AOCI) maps directly to:
- Accumulated Other Comprehensive Income (Loss), Net of Tax</t>
        </r>
      </text>
    </comment>
    <comment ref="R150" authorId="0">
      <text>
        <r>
          <rPr>
            <b/>
          </rPr>
          <t xml:space="preserve">EDGAR Mapper:
</t>
        </r>
        <r>
          <t xml:space="preserve">Accumulated Other Comprehensive Income (AOCI) maps directly to:
- Accumulated Other Comprehensive Income (Loss), Net of Tax</t>
        </r>
      </text>
    </comment>
    <comment ref="S150" authorId="0">
      <text>
        <r>
          <rPr>
            <b/>
          </rPr>
          <t xml:space="preserve">EDGAR Mapper:
</t>
        </r>
        <r>
          <t xml:space="preserve">Accumulated Other Comprehensive Income (AOCI) maps directly to:
- Accumulated Other Comprehensive Income (Loss), Net of Tax</t>
        </r>
      </text>
    </comment>
    <comment ref="U150" authorId="0">
      <text>
        <r>
          <rPr>
            <b/>
          </rPr>
          <t xml:space="preserve">EDGAR Mapper:
</t>
        </r>
        <r>
          <t xml:space="preserve">Accumulated Other Comprehensive Income (AOCI) maps directly to:
- Accumulated Other Comprehensive Income (Loss), Net of Tax</t>
        </r>
      </text>
    </comment>
    <comment ref="Z151" authorId="0">
      <text/>
    </comment>
    <comment ref="AE151" authorId="0">
      <text/>
    </comment>
    <comment ref="C153" authorId="0">
      <text>
        <r>
          <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t/>
        </r>
      </text>
    </comment>
    <comment ref="C194" authorId="0">
      <text>
        <r>
          <t/>
        </r>
      </text>
    </comment>
    <comment ref="C195" authorId="0">
      <text>
        <r>
          <t/>
        </r>
      </text>
    </comment>
    <comment ref="C207" authorId="0">
      <text>
        <r>
          <t/>
        </r>
      </text>
    </comment>
    <comment ref="C209" authorId="0">
      <text>
        <r>
          <t/>
        </r>
      </text>
    </comment>
    <comment ref="F209" authorId="0">
      <text>
        <r>
          <t/>
        </r>
      </text>
    </comment>
    <comment ref="C239" authorId="0">
      <text>
        <r>
          <t/>
        </r>
      </text>
    </comment>
    <comment ref="C241" authorId="0">
      <text>
        <r>
          <t/>
        </r>
      </text>
    </comment>
    <comment ref="C245" authorId="0">
      <text>
        <r>
          <t/>
        </r>
      </text>
    </comment>
    <comment ref="C246" authorId="0">
      <text>
        <r>
          <rPr>
            <b/>
          </rPr>
          <t xml:space="preserve">EDGAR Mapper:
</t>
        </r>
        <r>
          <t xml:space="preserve">Stock-Based Comp Expense maps directly to:
- Share-based Payment Arrangement, Noncash Expense</t>
        </r>
      </text>
    </comment>
    <comment ref="F246" authorId="0">
      <text>
        <r>
          <rPr>
            <b/>
          </rPr>
          <t xml:space="preserve">EDGAR Mapper:
</t>
        </r>
        <r>
          <t xml:space="preserve">Stock-Based Comp Expense maps directly to:
- Share-based Payment Arrangement, Noncash Expense</t>
        </r>
      </text>
    </comment>
    <comment ref="G246" authorId="0">
      <text>
        <r>
          <t/>
        </r>
      </text>
    </comment>
    <comment ref="H246" authorId="0">
      <text>
        <r>
          <t/>
        </r>
      </text>
    </comment>
    <comment ref="I246" authorId="0">
      <text>
        <r>
          <t/>
        </r>
      </text>
    </comment>
    <comment ref="K246" authorId="0">
      <text>
        <r>
          <rPr>
            <b/>
          </rPr>
          <t xml:space="preserve">EDGAR Mapper:
</t>
        </r>
        <r>
          <t xml:space="preserve">Stock-Based Comp Expense maps directly to:
- Share-based Payment Arrangement, Noncash Expense</t>
        </r>
      </text>
    </comment>
    <comment ref="L246" authorId="0">
      <text>
        <r>
          <t/>
        </r>
      </text>
    </comment>
    <comment ref="M246" authorId="0">
      <text>
        <r>
          <t/>
        </r>
      </text>
    </comment>
    <comment ref="N246" authorId="0">
      <text>
        <r>
          <t/>
        </r>
      </text>
    </comment>
    <comment ref="P246" authorId="0">
      <text>
        <r>
          <rPr>
            <b/>
          </rPr>
          <t xml:space="preserve">EDGAR Mapper:
</t>
        </r>
        <r>
          <t xml:space="preserve">Stock-Based Comp Expense maps directly to:
- Share-based Payment Arrangement, Noncash Expense</t>
        </r>
      </text>
    </comment>
    <comment ref="Q246" authorId="0">
      <text>
        <r>
          <t/>
        </r>
      </text>
    </comment>
    <comment ref="R246" authorId="0">
      <text>
        <r>
          <t/>
        </r>
      </text>
    </comment>
    <comment ref="S246" authorId="0">
      <text>
        <r>
          <t/>
        </r>
      </text>
    </comment>
    <comment ref="U246" authorId="0">
      <text>
        <r>
          <rPr>
            <b/>
          </rPr>
          <t xml:space="preserve">EDGAR Mapper:
</t>
        </r>
        <r>
          <t xml:space="preserve">Stock-Based Comp Expense maps directly to:
- Share-based Payment Arrangement, Noncash Expense</t>
        </r>
      </text>
    </comment>
    <comment ref="C254" authorId="0">
      <text>
        <r>
          <t/>
        </r>
      </text>
    </comment>
    <comment ref="H254" authorId="0">
      <text>
        <r>
          <t/>
        </r>
      </text>
    </comment>
    <comment ref="I254" authorId="0">
      <text>
        <r>
          <t/>
        </r>
      </text>
    </comment>
    <comment ref="K254" authorId="0">
      <text>
        <r>
          <t/>
        </r>
      </text>
    </comment>
    <comment ref="L254" authorId="0">
      <text>
        <r>
          <t/>
        </r>
      </text>
    </comment>
    <comment ref="M254" authorId="0">
      <text>
        <r>
          <t/>
        </r>
      </text>
    </comment>
    <comment ref="N254" authorId="0">
      <text>
        <r>
          <t/>
        </r>
      </text>
    </comment>
    <comment ref="P254" authorId="0">
      <text>
        <r>
          <rPr>
            <b/>
          </rPr>
          <t xml:space="preserve">EDGAR Mapper:
</t>
        </r>
        <r>
          <t xml:space="preserve">Dividends maps directly to:
- Payments of Dividends</t>
        </r>
      </text>
    </comment>
    <comment ref="Q254" authorId="0">
      <text>
        <r>
          <t/>
        </r>
      </text>
    </comment>
    <comment ref="R254" authorId="0">
      <text>
        <r>
          <t/>
        </r>
      </text>
    </comment>
    <comment ref="S254" authorId="0">
      <text>
        <r>
          <t/>
        </r>
      </text>
    </comment>
    <comment ref="U254" authorId="0">
      <text>
        <r>
          <rPr>
            <b/>
          </rPr>
          <t xml:space="preserve">EDGAR Mapper:
</t>
        </r>
        <r>
          <t xml:space="preserve">Dividends maps directly to:
- Payments of Dividends</t>
        </r>
      </text>
    </comment>
    <comment ref="C271" authorId="0">
      <text>
        <r>
          <t/>
        </r>
      </text>
    </comment>
    <comment ref="C278" authorId="0">
      <text>
        <r>
          <t/>
        </r>
      </text>
    </comment>
    <comment ref="C279" authorId="0">
      <text>
        <r>
          <t/>
        </r>
      </text>
    </comment>
    <comment ref="C282" authorId="0">
      <text>
        <r>
          <t/>
        </r>
      </text>
    </comment>
    <comment ref="C284" authorId="0">
      <text>
        <r>
          <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t/>
        </r>
      </text>
    </comment>
    <comment ref="G8" authorId="0">
      <text>
        <r>
          <t/>
        </r>
      </text>
    </comment>
    <comment ref="H8" authorId="0">
      <text>
        <r>
          <t/>
        </r>
      </text>
    </comment>
    <comment ref="I8" authorId="0">
      <text>
        <r>
          <t/>
        </r>
      </text>
    </comment>
    <comment ref="J8" authorId="0">
      <text>
        <r>
          <t/>
        </r>
      </text>
    </comment>
    <comment ref="K8" authorId="0">
      <text>
        <r>
          <t/>
        </r>
      </text>
    </comment>
    <comment ref="L8" authorId="0">
      <text>
        <r>
          <t/>
        </r>
      </text>
    </comment>
    <comment ref="M8" authorId="0">
      <text>
        <r>
          <t/>
        </r>
      </text>
    </comment>
    <comment ref="N8" authorId="0">
      <text>
        <r>
          <t/>
        </r>
      </text>
    </comment>
    <comment ref="O8" authorId="0">
      <text>
        <r>
          <t/>
        </r>
      </text>
    </comment>
    <comment ref="P8" authorId="0">
      <text>
        <r>
          <t/>
        </r>
      </text>
    </comment>
    <comment ref="Q8" authorId="0">
      <text>
        <r>
          <t/>
        </r>
      </text>
    </comment>
    <comment ref="R8" authorId="0">
      <text>
        <r>
          <t/>
        </r>
      </text>
    </comment>
    <comment ref="S8" authorId="0">
      <text>
        <r>
          <t/>
        </r>
      </text>
    </comment>
    <comment ref="T8" authorId="0">
      <text>
        <r>
          <t/>
        </r>
      </text>
    </comment>
    <comment ref="U8" authorId="0">
      <text>
        <r>
          <t/>
        </r>
      </text>
    </comment>
    <comment ref="V8" authorId="0">
      <text>
        <r>
          <t/>
        </r>
      </text>
    </comment>
    <comment ref="F34" authorId="0">
      <text>
        <r>
          <rPr>
            <b/>
          </rPr>
          <t xml:space="preserve">EDGAR Mapper:
</t>
        </r>
        <r>
          <t xml:space="preserve">Google Services maps directly to:
- Google Services Operating Income</t>
        </r>
      </text>
    </comment>
    <comment ref="G34" authorId="0">
      <text>
        <r>
          <rPr>
            <b/>
          </rPr>
          <t xml:space="preserve">EDGAR Mapper:
</t>
        </r>
        <r>
          <t xml:space="preserve">Google Services maps directly to:
- Google Services Operating Income</t>
        </r>
      </text>
    </comment>
    <comment ref="H34" authorId="0">
      <text>
        <r>
          <rPr>
            <b/>
          </rPr>
          <t xml:space="preserve">EDGAR Mapper:
</t>
        </r>
        <r>
          <t xml:space="preserve">Google Services maps directly to:
- Google Services Operating Income</t>
        </r>
      </text>
    </comment>
    <comment ref="I34" authorId="0">
      <text>
        <r>
          <rPr>
            <b/>
          </rPr>
          <t xml:space="preserve">EDGAR Mapper:
</t>
        </r>
        <r>
          <t xml:space="preserve">Google Services maps directly to:
- Google Services Operating Income</t>
        </r>
      </text>
    </comment>
    <comment ref="K34" authorId="0">
      <text>
        <r>
          <rPr>
            <b/>
          </rPr>
          <t xml:space="preserve">EDGAR Mapper:
</t>
        </r>
        <r>
          <t xml:space="preserve">Google Services maps directly to:
- Google Services Operating Income</t>
        </r>
      </text>
    </comment>
    <comment ref="L34" authorId="0">
      <text>
        <r>
          <rPr>
            <b/>
          </rPr>
          <t xml:space="preserve">EDGAR Mapper:
</t>
        </r>
        <r>
          <t xml:space="preserve">Google Services maps directly to:
- Google Services Operating Income</t>
        </r>
      </text>
    </comment>
    <comment ref="M34" authorId="0">
      <text>
        <r>
          <rPr>
            <b/>
          </rPr>
          <t xml:space="preserve">EDGAR Mapper:
</t>
        </r>
        <r>
          <t xml:space="preserve">Google Services maps directly to:
- Google Services Operating Income</t>
        </r>
      </text>
    </comment>
    <comment ref="N34" authorId="0">
      <text>
        <r>
          <rPr>
            <b/>
          </rPr>
          <t xml:space="preserve">EDGAR Mapper:
</t>
        </r>
        <r>
          <t xml:space="preserve">Google Services maps directly to:
- Google Services Operating Income</t>
        </r>
      </text>
    </comment>
    <comment ref="P34" authorId="0">
      <text>
        <r>
          <rPr>
            <b/>
          </rPr>
          <t xml:space="preserve">EDGAR Mapper:
</t>
        </r>
        <r>
          <t xml:space="preserve">Google Services maps directly to:
- Google Services Operating Income</t>
        </r>
      </text>
    </comment>
    <comment ref="Q34" authorId="0">
      <text>
        <r>
          <rPr>
            <b/>
          </rPr>
          <t xml:space="preserve">EDGAR Mapper:
</t>
        </r>
        <r>
          <t xml:space="preserve">Google Services maps directly to:
- Google Services Operating Income</t>
        </r>
      </text>
    </comment>
    <comment ref="R34" authorId="0">
      <text>
        <r>
          <rPr>
            <b/>
          </rPr>
          <t xml:space="preserve">EDGAR Mapper:
</t>
        </r>
        <r>
          <t xml:space="preserve">Google Services maps directly to:
- Google Services Operating Income</t>
        </r>
      </text>
    </comment>
    <comment ref="S34" authorId="0">
      <text>
        <r>
          <rPr>
            <b/>
          </rPr>
          <t xml:space="preserve">EDGAR Mapper:
</t>
        </r>
        <r>
          <t xml:space="preserve">Google Services maps directly to:
- Google Services Operating Income</t>
        </r>
      </text>
    </comment>
    <comment ref="U34" authorId="0">
      <text>
        <r>
          <rPr>
            <b/>
          </rPr>
          <t xml:space="preserve">EDGAR Mapper:
</t>
        </r>
        <r>
          <t xml:space="preserve">Google Services maps directly to:
- Google Services Operating Income</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t/>
        </r>
      </text>
    </comment>
    <comment ref="G52" authorId="0">
      <text>
        <r>
          <t/>
        </r>
      </text>
    </comment>
    <comment ref="H52" authorId="0">
      <text>
        <r>
          <t/>
        </r>
      </text>
    </comment>
    <comment ref="I52" authorId="0">
      <text>
        <r>
          <t/>
        </r>
      </text>
    </comment>
    <comment ref="K52" authorId="0">
      <text>
        <r>
          <t/>
        </r>
      </text>
    </comment>
    <comment ref="L52" authorId="0">
      <text>
        <r>
          <t/>
        </r>
      </text>
    </comment>
    <comment ref="M52" authorId="0">
      <text>
        <r>
          <t/>
        </r>
      </text>
    </comment>
    <comment ref="N52" authorId="0">
      <text>
        <r>
          <t/>
        </r>
      </text>
    </comment>
    <comment ref="P52" authorId="0">
      <text>
        <r>
          <t/>
        </r>
      </text>
    </comment>
    <comment ref="Q52" authorId="0">
      <text>
        <r>
          <t/>
        </r>
      </text>
    </comment>
    <comment ref="R52" authorId="0">
      <text>
        <r>
          <t/>
        </r>
      </text>
    </comment>
    <comment ref="S52" authorId="0">
      <text>
        <r>
          <t/>
        </r>
      </text>
    </comment>
    <comment ref="U52" authorId="0">
      <text>
        <r>
          <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<sst xmlns="http://schemas.openxmlformats.org/spreadsheetml/2006/main" count="17594" uniqueCount="2209">
  <si>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</si>
  <si>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</si>
  <si>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</si>
  <si>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</si>
  <si>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</si>
  <si>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</si>
  <si>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</si>
  <si>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</si>
  <si>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</si>
  <si>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</si>
  <si>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</si>
  <si>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</si>
  <si>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</si>
  <si>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</si>
  <si>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</si>
  <si>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</si>
  <si>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</si>
  <si>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</si>
  <si>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</si>
  <si>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</si>
  <si>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</si>
  <si>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</si>
  <si>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</si>
  <si>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</si>
  <si>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Alphabet Inc.</t>
  </si>
  <si>
    <t>Ticker</t>
  </si>
  <si>
    <t>GOOG</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</si>
  <si>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</si>
  <si>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</si>
  <si>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</si>
  <si>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</si>
  <si>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</si>
  <si>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</si>
  <si>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</si>
  <si>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</si>
  <si>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</si>
  <si>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</si>
  <si>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</si>
  <si>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</si>
  <si>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</si>
  <si>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</si>
  <si>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</si>
  <si>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</si>
  <si>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</si>
  <si>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</si>
  <si>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</si>
  <si>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</si>
  <si>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</si>
  <si>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</si>
  <si>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</si>
  <si>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</si>
  <si>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</si>
  <si>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</si>
  <si>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</si>
  <si>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</si>
  <si>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</si>
  <si>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</si>
  <si>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</si>
  <si>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</si>
  <si>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</si>
  <si>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</si>
  <si>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</si>
  <si>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</si>
  <si>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</si>
  <si>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</si>
  <si>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</si>
  <si>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</si>
  <si>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</si>
  <si>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</si>
  <si>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</si>
  <si>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</si>
  <si>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</si>
  <si>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</si>
  <si>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</si>
  <si>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</si>
  <si>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</si>
  <si>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</si>
  <si>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</si>
  <si>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</si>
  <si>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</si>
  <si>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</si>
  <si>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</si>
  <si>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</si>
  <si>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</si>
  <si>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</si>
  <si>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</si>
  <si>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</si>
  <si>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</si>
  <si>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</si>
  <si>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</si>
  <si>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</si>
  <si>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</si>
  <si>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</si>
  <si>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</si>
  <si>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</si>
  <si>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</si>
  <si>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</si>
  <si>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</si>
  <si>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</si>
  <si>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</si>
  <si>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</si>
  <si>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</si>
  <si>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</si>
  <si>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</si>
  <si>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</si>
  <si>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</si>
  <si>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</si>
  <si>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</si>
  <si>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</si>
  <si>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</si>
  <si>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</si>
  <si>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</si>
  <si>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</si>
  <si>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</si>
  <si>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</si>
  <si>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</si>
  <si>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</si>
  <si>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</si>
  <si>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</si>
  <si>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</si>
  <si>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</si>
  <si>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</si>
  <si>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</si>
  <si>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</si>
  <si>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</si>
  <si>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</si>
  <si>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</si>
  <si>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</si>
  <si>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</si>
  <si>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</si>
  <si>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</si>
  <si>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</si>
  <si>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</si>
  <si>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</si>
  <si>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</si>
  <si>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</si>
  <si>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</si>
  <si>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</si>
  <si>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</si>
  <si>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</si>
  <si>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</si>
  <si>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</si>
  <si>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</si>
  <si>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</si>
  <si>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</si>
  <si>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</si>
  <si>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</si>
  <si>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</si>
  <si>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</si>
  <si>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</si>
  <si>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</si>
  <si>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</si>
  <si>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</si>
  <si>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</si>
  <si>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</si>
  <si>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</si>
  <si>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</si>
  <si>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</si>
  <si>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</si>
  <si>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</si>
  <si>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</si>
  <si>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</si>
  <si>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</si>
  <si>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</si>
  <si>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</si>
  <si>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</si>
  <si>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</si>
  <si>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</si>
  <si>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</si>
  <si>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</si>
  <si>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</si>
  <si>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</si>
  <si>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</si>
  <si>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</si>
  <si>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</si>
  <si>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</si>
  <si>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</si>
  <si>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</si>
  <si>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</si>
  <si>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</si>
  <si>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</si>
  <si>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</si>
  <si>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</si>
  <si>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</si>
  <si>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</si>
  <si>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</si>
  <si>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</si>
  <si>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</si>
  <si>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</si>
  <si>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</si>
  <si>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</si>
  <si>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</si>
  <si>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</si>
  <si>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</si>
  <si>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</si>
  <si>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</si>
  <si>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</si>
  <si>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</si>
  <si>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</si>
  <si>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</si>
  <si>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</si>
  <si>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</si>
  <si>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</si>
  <si>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</si>
  <si>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</si>
  <si>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</si>
  <si>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</si>
  <si>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</si>
  <si>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</si>
  <si>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</si>
  <si>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</si>
  <si>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</si>
  <si>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</si>
  <si>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</si>
  <si>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</si>
  <si>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</si>
  <si>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</si>
  <si>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</si>
  <si>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</si>
  <si>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</si>
  <si>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</si>
  <si>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</si>
  <si>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</si>
  <si>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</si>
  <si>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</si>
  <si>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</si>
  <si>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</si>
  <si>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</si>
  <si>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</si>
  <si>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</si>
  <si>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</si>
  <si>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</si>
  <si>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</si>
  <si>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</si>
  <si>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</si>
  <si>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</si>
  <si>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</si>
  <si>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</si>
  <si>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</si>
  <si>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</si>
  <si>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</si>
  <si>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</si>
  <si>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</si>
  <si>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</si>
  <si>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</si>
  <si>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</si>
  <si>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</si>
  <si>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</si>
  <si>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</si>
  <si>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</si>
  <si>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</si>
  <si>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</si>
  <si>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</si>
  <si>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</si>
  <si>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</si>
  <si>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</si>
  <si>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</si>
  <si>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</si>
  <si>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</si>
  <si>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</si>
  <si>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</si>
  <si>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</si>
  <si>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</si>
  <si>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</si>
  <si>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</si>
  <si>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</si>
  <si>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</si>
  <si>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</si>
  <si>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</si>
  <si>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</si>
  <si>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</si>
  <si>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</si>
  <si>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</si>
  <si>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</si>
  <si>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</si>
  <si>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</si>
  <si>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</si>
  <si>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</si>
  <si>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</si>
  <si>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</si>
  <si>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</si>
  <si>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</si>
  <si>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</si>
  <si>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</si>
  <si>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</si>
  <si>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</si>
  <si>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</si>
  <si>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</si>
  <si>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</si>
  <si>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</si>
  <si>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</si>
  <si>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</si>
  <si>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</si>
  <si>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</si>
  <si>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</si>
  <si>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</si>
  <si>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</si>
  <si>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</si>
  <si>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</si>
  <si>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</si>
  <si>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</si>
  <si>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</si>
  <si>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</si>
  <si>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</si>
  <si>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</si>
  <si>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</si>
  <si>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</si>
  <si>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</si>
  <si>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</si>
  <si>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</si>
  <si>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</si>
  <si>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</si>
  <si>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</si>
  <si>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</si>
  <si>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</si>
  <si>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</si>
  <si>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</si>
  <si>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</si>
  <si>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</si>
  <si>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</si>
  <si>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</si>
  <si>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</si>
  <si>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</si>
  <si>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</si>
  <si>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</si>
  <si>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</si>
  <si>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</si>
  <si>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</si>
  <si>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</si>
  <si>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</si>
  <si>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</si>
  <si>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</si>
  <si>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</si>
  <si>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</si>
  <si>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</si>
  <si>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</si>
  <si>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</si>
  <si>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</si>
  <si>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</si>
  <si>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</si>
  <si>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</si>
  <si>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</si>
  <si>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</si>
  <si>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</si>
  <si>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</si>
  <si>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</si>
  <si>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</si>
  <si>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</si>
  <si>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</si>
  <si>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</si>
  <si>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</si>
  <si>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</si>
  <si>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</si>
  <si>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</si>
  <si>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</si>
  <si>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</si>
  <si>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</si>
  <si>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</si>
  <si>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</si>
  <si>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</si>
  <si>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</si>
  <si>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</si>
  <si>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</si>
  <si>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</si>
  <si>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</si>
  <si>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</si>
  <si>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</si>
  <si>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</si>
  <si>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</si>
  <si>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</si>
  <si>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</si>
  <si>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</si>
  <si>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</si>
  <si>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</si>
  <si>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</si>
  <si>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</si>
  <si>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</si>
  <si>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</si>
  <si>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</si>
  <si>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</si>
  <si>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</si>
  <si>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</si>
  <si>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</si>
  <si>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</si>
  <si>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</si>
  <si>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</si>
  <si>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</si>
  <si>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</si>
  <si>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</si>
  <si>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</si>
  <si>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</si>
  <si>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</si>
  <si>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</si>
  <si>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</si>
  <si>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</si>
  <si>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</si>
  <si>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</si>
  <si>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</si>
  <si>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</si>
  <si>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</si>
  <si>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</si>
  <si>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</si>
  <si>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</si>
  <si>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</si>
  <si>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</si>
  <si>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</si>
  <si>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</si>
  <si>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</si>
  <si>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</si>
  <si>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</si>
  <si>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</si>
  <si>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</si>
  <si>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</si>
  <si>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</si>
  <si>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</si>
  <si>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</si>
  <si>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</si>
  <si>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</si>
  <si>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</si>
  <si>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</si>
  <si>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</si>
  <si>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</si>
  <si>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</si>
  <si>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</si>
  <si>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</si>
  <si>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</si>
  <si>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</si>
  <si>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</si>
  <si>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</si>
  <si>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</si>
  <si>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</si>
  <si>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</si>
  <si>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</si>
  <si>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</si>
  <si>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</si>
  <si>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</si>
  <si>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</si>
  <si>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</si>
  <si>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</si>
  <si>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</si>
  <si>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</si>
  <si>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</si>
  <si>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</si>
  <si>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</si>
  <si>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</si>
  <si>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</si>
  <si>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Home Improvement Retail</t>
  </si>
  <si>
    <t>Segment 2</t>
  </si>
  <si>
    <t>Segment 3</t>
  </si>
  <si>
    <t>Segment 4</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</si>
  <si>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</si>
  <si>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</si>
  <si>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</si>
  <si>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</si>
  <si>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</si>
  <si>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</si>
  <si>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</si>
  <si>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</si>
  <si>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</si>
  <si>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</si>
  <si>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</si>
  <si>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</si>
  <si>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</si>
  <si>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</si>
  <si>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</si>
  <si>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</si>
  <si>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</si>
  <si>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</si>
  <si>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</si>
  <si>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</si>
  <si>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</si>
  <si>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</si>
  <si>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</si>
  <si>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</si>
  <si>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</si>
  <si>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</si>
  <si>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</si>
  <si>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</si>
  <si>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</si>
  <si>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</si>
  <si>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</si>
  <si>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</si>
  <si>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</si>
  <si>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</si>
  <si>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</si>
  <si>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</si>
  <si>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</si>
  <si>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</si>
  <si>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</si>
  <si>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</si>
  <si>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</si>
  <si>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</si>
  <si>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</si>
  <si>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</si>
  <si>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</si>
  <si>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</si>
  <si>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</si>
  <si>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</si>
  <si>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</si>
  <si>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</si>
  <si>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</si>
  <si>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</si>
  <si>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</si>
  <si>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</si>
  <si>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</si>
  <si>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</si>
  <si>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</si>
  <si>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</si>
  <si>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</si>
  <si>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</si>
  <si>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</si>
  <si>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</si>
  <si>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</si>
  <si>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</si>
  <si>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</si>
  <si>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</si>
  <si>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</si>
  <si>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</si>
  <si>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</si>
  <si>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</si>
  <si>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</si>
  <si>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</si>
  <si>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</si>
  <si>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</si>
  <si>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</si>
  <si>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</si>
  <si>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</si>
  <si>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</si>
  <si>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</si>
  <si>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</si>
  <si>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</si>
  <si>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</si>
  <si>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</si>
  <si>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</si>
  <si>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</si>
  <si>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</si>
  <si>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</si>
  <si>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</si>
  <si>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</si>
  <si>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</si>
  <si>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</si>
  <si>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</si>
  <si>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</si>
  <si>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</si>
  <si>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</si>
  <si>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</si>
  <si>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</si>
  <si>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</si>
  <si>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</si>
  <si>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</si>
  <si>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</si>
  <si>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</si>
  <si>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</si>
  <si>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</si>
  <si>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</si>
  <si>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</si>
  <si>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</si>
  <si>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</si>
  <si>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</si>
  <si>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</si>
  <si>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</si>
  <si>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</si>
  <si>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</si>
  <si>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</si>
  <si>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</si>
  <si>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</si>
  <si>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</si>
  <si>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</si>
  <si>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</si>
  <si>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</si>
  <si>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</si>
  <si>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</si>
  <si>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</si>
  <si>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</si>
  <si>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</si>
  <si>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</si>
  <si>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</si>
  <si>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</si>
  <si>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</si>
  <si>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</si>
  <si>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</si>
  <si>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</si>
  <si>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</si>
  <si>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</si>
  <si>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</si>
  <si>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</si>
  <si>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</si>
  <si>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</si>
  <si>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</si>
  <si>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</si>
  <si>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</si>
  <si>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</si>
  <si>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</si>
  <si>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</si>
  <si>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</si>
  <si>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</si>
  <si>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</si>
  <si>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</si>
  <si>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</si>
  <si>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</si>
  <si>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</si>
  <si>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</si>
  <si>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</si>
  <si>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</si>
  <si>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</si>
  <si>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</si>
  <si>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</si>
  <si>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</si>
  <si>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</si>
  <si>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</si>
  <si>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</si>
  <si>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</si>
  <si>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</si>
  <si>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</si>
  <si>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</si>
  <si>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</si>
  <si>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</si>
  <si>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</si>
  <si>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</si>
  <si>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</si>
  <si>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</si>
  <si>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</si>
  <si>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</si>
  <si>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</si>
  <si>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</si>
  <si>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</si>
  <si>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</si>
  <si>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</si>
  <si>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</si>
  <si>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</si>
  <si>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</si>
  <si>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</si>
  <si>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</si>
  <si>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</si>
  <si>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</si>
  <si>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</si>
  <si>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</si>
  <si>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</si>
  <si>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</si>
  <si>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</si>
  <si>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</si>
  <si>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</si>
  <si>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</si>
  <si>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</si>
  <si>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</si>
  <si>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</si>
  <si>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</si>
  <si>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</si>
  <si>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</si>
  <si>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</si>
  <si>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</si>
  <si>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</si>
  <si>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</si>
  <si>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</si>
  <si>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</si>
  <si>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</si>
  <si>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</si>
  <si>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</si>
  <si>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</si>
  <si>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</si>
  <si>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</si>
  <si>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</si>
  <si>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</si>
  <si>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</si>
  <si>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</si>
  <si>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</si>
  <si>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</si>
  <si>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</si>
  <si>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</si>
  <si>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</si>
  <si>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</si>
  <si>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</si>
  <si>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</si>
  <si>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</si>
  <si>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</si>
  <si>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</si>
  <si>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</si>
  <si>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</si>
  <si>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</si>
  <si>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</si>
  <si>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</si>
  <si>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</si>
  <si>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</si>
  <si>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</si>
  <si>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</si>
  <si>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</si>
  <si>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</si>
  <si>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</si>
  <si>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</si>
  <si>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</si>
  <si>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</si>
  <si>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</si>
  <si>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</si>
  <si>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</si>
  <si>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</si>
  <si>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</si>
  <si>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</si>
  <si>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</si>
  <si>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</si>
  <si>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</si>
  <si>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</si>
  <si>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</si>
  <si>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</si>
  <si>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</si>
  <si>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</si>
  <si>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</si>
  <si>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</si>
  <si>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</si>
  <si>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</si>
  <si>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</si>
  <si>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</si>
  <si>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</si>
  <si>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</si>
  <si>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</si>
  <si>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</si>
  <si>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</si>
  <si>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</si>
  <si>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</si>
  <si>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</si>
  <si>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</si>
  <si>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</si>
  <si>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</si>
  <si>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</si>
  <si>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</si>
  <si>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</si>
  <si>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</si>
  <si>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</si>
  <si>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</si>
  <si>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</si>
  <si>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</si>
  <si>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</si>
  <si>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</si>
  <si>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</si>
  <si>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</si>
  <si>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</si>
  <si>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</si>
  <si>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</si>
  <si>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</si>
  <si>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</si>
  <si>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</si>
  <si>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</si>
  <si>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</si>
  <si>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</si>
  <si>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</si>
  <si>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</si>
  <si>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</si>
  <si>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</si>
  <si>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</si>
  <si>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</si>
  <si>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</si>
  <si>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</si>
  <si>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</si>
  <si>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</si>
  <si>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</si>
  <si>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</si>
  <si>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</si>
  <si>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</si>
  <si>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</si>
  <si>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</si>
  <si>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</si>
  <si>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</si>
  <si>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</si>
  <si>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</si>
  <si>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</si>
  <si>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</si>
  <si>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</si>
  <si>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</si>
  <si>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</si>
  <si>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</si>
  <si>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</si>
  <si>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</si>
  <si>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</si>
  <si>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</si>
  <si>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</si>
  <si>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</si>
  <si>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</si>
  <si>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</si>
  <si>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</si>
  <si>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</si>
  <si>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</si>
  <si>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</si>
  <si>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</si>
  <si>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</si>
  <si>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</si>
  <si>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</si>
  <si>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</si>
  <si>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</si>
  <si>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</si>
  <si>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</si>
  <si>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</si>
  <si>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</si>
  <si>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</si>
  <si>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</si>
  <si>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</si>
  <si>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</si>
  <si>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</si>
  <si>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</si>
  <si>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</si>
  <si>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</si>
  <si>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</si>
  <si>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</si>
  <si>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</si>
  <si>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</si>
  <si>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</si>
  <si>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</si>
  <si>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</si>
  <si>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</si>
  <si>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</si>
  <si>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</si>
  <si>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</si>
  <si>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</si>
  <si>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</si>
  <si>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</si>
  <si>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</si>
  <si>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</si>
  <si>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</si>
  <si>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</si>
  <si>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</si>
  <si>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</si>
  <si>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</si>
  <si>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</si>
  <si>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</si>
  <si>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</si>
  <si>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</si>
  <si>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</si>
  <si>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</si>
  <si>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</si>
  <si>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</si>
  <si>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</si>
  <si>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</si>
  <si>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</si>
  <si>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</si>
  <si>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</si>
  <si>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</si>
  <si>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</si>
  <si>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</si>
  <si>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</si>
  <si>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</si>
  <si>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</si>
  <si>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</si>
  <si>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</si>
  <si>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</si>
  <si>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</si>
  <si>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</si>
  <si>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</si>
  <si>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</si>
  <si>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</si>
  <si>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</si>
  <si>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</si>
  <si>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</si>
  <si>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</si>
  <si>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</si>
  <si>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</si>
  <si>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</si>
  <si>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</si>
  <si>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</si>
  <si>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</si>
  <si>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</si>
  <si>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</si>
  <si>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</si>
  <si>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</si>
  <si>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</si>
  <si>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</si>
  <si>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</si>
  <si>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</si>
  <si>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</si>
  <si>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</si>
  <si>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</si>
  <si>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</si>
  <si>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</si>
  <si>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</si>
  <si>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</si>
  <si>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</si>
  <si>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</si>
  <si>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</si>
  <si>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</si>
  <si>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</si>
  <si>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</si>
  <si>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</si>
  <si>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</si>
  <si>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</si>
  <si>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</si>
  <si>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</si>
  <si>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</si>
  <si>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</si>
  <si>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</si>
  <si>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</si>
  <si>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</si>
  <si>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</si>
  <si>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</si>
  <si>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</si>
  <si>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</si>
  <si>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</si>
  <si>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</si>
  <si>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</si>
  <si>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</si>
  <si>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</si>
  <si>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</si>
  <si>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</si>
  <si>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</si>
  <si>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</si>
  <si>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</si>
  <si>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</si>
  <si>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</si>
  <si>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</si>
  <si>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</si>
  <si>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</si>
  <si>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</si>
  <si>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</si>
  <si>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</si>
  <si>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</si>
  <si>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</si>
  <si>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</si>
  <si>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</si>
  <si>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</si>
  <si>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</si>
  <si>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</si>
  <si>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</si>
  <si>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</si>
  <si>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</si>
  <si>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</si>
  <si>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</si>
  <si>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</si>
  <si>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</si>
  <si>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</si>
  <si>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</si>
  <si>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</si>
  <si>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</si>
  <si>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</si>
  <si>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</si>
  <si>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</si>
  <si>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</si>
  <si>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</si>
  <si>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</si>
  <si>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</si>
  <si>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</si>
  <si>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</si>
  <si>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</si>
  <si>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</si>
  <si>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</si>
  <si>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</si>
  <si>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</si>
  <si>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</si>
  <si>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</si>
  <si>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</si>
  <si>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</si>
  <si>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</si>
  <si>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</si>
  <si>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</si>
  <si>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</si>
  <si>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</si>
  <si>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</si>
  <si>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</si>
  <si>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</si>
  <si>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</si>
  <si>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</si>
  <si>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</si>
  <si>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</si>
  <si>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</si>
  <si>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</si>
  <si>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</si>
  <si>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</si>
  <si>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</si>
  <si>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</si>
  <si>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</si>
  <si>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</si>
  <si>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</si>
  <si>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</si>
  <si>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</si>
  <si>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</si>
  <si>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</si>
  <si>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</si>
  <si>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</si>
  <si>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</si>
  <si>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</si>
  <si>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</si>
  <si>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</si>
  <si>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</si>
  <si>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</si>
  <si>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</si>
  <si>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</si>
  <si>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</si>
  <si>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</si>
  <si>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</si>
  <si>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</si>
  <si>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</si>
  <si>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</si>
  <si>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</si>
  <si>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</si>
  <si>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</si>
  <si>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</si>
  <si>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</si>
  <si>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1Q23</t>
  </si>
  <si>
    <t>unused</t>
  </si>
  <si>
    <t/>
  </si>
  <si>
    <t>income</t>
  </si>
  <si>
    <t>not written</t>
  </si>
  <si>
    <t>high</t>
  </si>
  <si>
    <t>cleared</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</si>
  <si>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</si>
  <si>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</si>
  <si>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</si>
  <si>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</si>
  <si>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</si>
  <si>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</si>
  <si>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</si>
  <si>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</si>
  <si>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</si>
  <si>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</si>
  <si>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</si>
  <si>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</si>
  <si>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</si>
  <si>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</si>
  <si>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</si>
  <si>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</si>
  <si>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</si>
  <si>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</si>
  <si>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</si>
  <si>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</si>
  <si>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</si>
  <si>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</si>
  <si>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</si>
  <si>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</si>
  <si>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</si>
  <si>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</si>
  <si>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CostOfRevenue=30612mm</t>
  </si>
  <si>
    <t>Cost of Revenue</t>
  </si>
  <si>
    <t>0001652044-23-000045</t>
  </si>
  <si>
    <t>https://www.sec.gov/Archives/edgar/data/1652044/000165204423000045/</t>
  </si>
  <si>
    <t>10-Q</t>
  </si>
  <si>
    <t>2023-04-26</t>
  </si>
  <si>
    <t>2023-01-01</t>
  </si>
  <si>
    <t>2023-03-31</t>
  </si>
  <si>
    <t>not a formula cell</t>
  </si>
  <si>
    <t>copied</t>
  </si>
  <si>
    <t>OK!</t>
  </si>
  <si>
    <t xml:space="preserve">Cost of Goods Sold maps directly to:
- Cost of Revenue</t>
  </si>
  <si>
    <t>G29</t>
  </si>
  <si>
    <t>CostOfRevenue=31916mm</t>
  </si>
  <si>
    <t>0001652044-23-000070</t>
  </si>
  <si>
    <t>https://www.sec.gov/Archives/edgar/data/1652044/000165204423000070/</t>
  </si>
  <si>
    <t>2023-07-26</t>
  </si>
  <si>
    <t>2023-04-01</t>
  </si>
  <si>
    <t>2023-06-30</t>
  </si>
  <si>
    <t>H29</t>
  </si>
  <si>
    <t>CostOfRevenue=33229mm</t>
  </si>
  <si>
    <t>0001652044-23-000094</t>
  </si>
  <si>
    <t>https://www.sec.gov/Archives/edgar/data/1652044/000165204423000094/</t>
  </si>
  <si>
    <t>2023-10-25</t>
  </si>
  <si>
    <t>2023-07-01</t>
  </si>
  <si>
    <t>2023-09-30</t>
  </si>
  <si>
    <t>I29</t>
  </si>
  <si>
    <t>formula updated</t>
  </si>
  <si>
    <t>CostOfRevenue=37575mm</t>
  </si>
  <si>
    <t>Cost of Revenue (derived Q4)</t>
  </si>
  <si>
    <t>0001652044-24-000022</t>
  </si>
  <si>
    <t>https://www.sec.gov/Archives/edgar/data/1652044/000165204424000022/</t>
  </si>
  <si>
    <t>10-K</t>
  </si>
  <si>
    <t>2024-01-31</t>
  </si>
  <si>
    <t>2023-12-31</t>
  </si>
  <si>
    <t>formula bridge updated</t>
  </si>
  <si>
    <t>formula result refreshed</t>
  </si>
  <si>
    <t>medium</t>
  </si>
  <si>
    <t>K29</t>
  </si>
  <si>
    <t>CostOfRevenue=33712mm</t>
  </si>
  <si>
    <t>0001652044-24-000053</t>
  </si>
  <si>
    <t>https://www.sec.gov/Archives/edgar/data/1652044/000165204424000053/</t>
  </si>
  <si>
    <t>2024-04-26</t>
  </si>
  <si>
    <t>2024-01-01</t>
  </si>
  <si>
    <t>2024-03-31</t>
  </si>
  <si>
    <t>L29</t>
  </si>
  <si>
    <t>CostOfRevenue=35507mm</t>
  </si>
  <si>
    <t>0001652044-24-000079</t>
  </si>
  <si>
    <t>https://www.sec.gov/Archives/edgar/data/1652044/000165204424000079/</t>
  </si>
  <si>
    <t>2024-07-24</t>
  </si>
  <si>
    <t>2024-04-01</t>
  </si>
  <si>
    <t>2024-06-30</t>
  </si>
  <si>
    <t>M29</t>
  </si>
  <si>
    <t>CostOfRevenue=36474mm</t>
  </si>
  <si>
    <t>0001652044-24-000118</t>
  </si>
  <si>
    <t>https://www.sec.gov/Archives/edgar/data/1652044/000165204424000118/</t>
  </si>
  <si>
    <t>2024-10-30</t>
  </si>
  <si>
    <t>2024-07-01</t>
  </si>
  <si>
    <t>2024-09-30</t>
  </si>
  <si>
    <t>N29</t>
  </si>
  <si>
    <t>CostOfRevenue=40613mm</t>
  </si>
  <si>
    <t>0001652044-25-000014</t>
  </si>
  <si>
    <t>https://www.sec.gov/Archives/edgar/data/1652044/000165204425000014/</t>
  </si>
  <si>
    <t>2025-02-05</t>
  </si>
  <si>
    <t>2024-12-31</t>
  </si>
  <si>
    <t>P29</t>
  </si>
  <si>
    <t>CostOfRevenue=36361mm</t>
  </si>
  <si>
    <t>0001652044-25-000043</t>
  </si>
  <si>
    <t>https://www.sec.gov/Archives/edgar/data/1652044/000165204425000043/</t>
  </si>
  <si>
    <t>2025-04-25</t>
  </si>
  <si>
    <t>2025-01-01</t>
  </si>
  <si>
    <t>2025-03-31</t>
  </si>
  <si>
    <t>formula replaced with EDGAR-supported value</t>
  </si>
  <si>
    <t>Q29</t>
  </si>
  <si>
    <t>CostOfRevenue=39039mm</t>
  </si>
  <si>
    <t>0001652044-25-000062</t>
  </si>
  <si>
    <t>https://www.sec.gov/Archives/edgar/data/1652044/000165204425000062/</t>
  </si>
  <si>
    <t>2025-07-24</t>
  </si>
  <si>
    <t>2025-04-01</t>
  </si>
  <si>
    <t>2025-06-30</t>
  </si>
  <si>
    <t>R29</t>
  </si>
  <si>
    <t>CostOfRevenue=41369mm</t>
  </si>
  <si>
    <t>0001652044-25-000091</t>
  </si>
  <si>
    <t>https://www.sec.gov/Archives/edgar/data/1652044/000165204425000091/</t>
  </si>
  <si>
    <t>2025-10-30</t>
  </si>
  <si>
    <t>2025-07-01</t>
  </si>
  <si>
    <t>2025-09-30</t>
  </si>
  <si>
    <t>S29</t>
  </si>
  <si>
    <t>CostOfRevenue=45767mm</t>
  </si>
  <si>
    <t>0001652044-26-000018</t>
  </si>
  <si>
    <t>https://www.sec.gov/Archives/edgar/data/1652044/000165204426000018/</t>
  </si>
  <si>
    <t>2026-02-05</t>
  </si>
  <si>
    <t>2025-12-31</t>
  </si>
  <si>
    <t>U29</t>
  </si>
  <si>
    <t>CostOfRevenue=41271mm</t>
  </si>
  <si>
    <t>0001652044-26-000048</t>
  </si>
  <si>
    <t>https://www.sec.gov/Archives/edgar/data/1652044/000165204426000048/</t>
  </si>
  <si>
    <t>2026-04-30</t>
  </si>
  <si>
    <t>2026-01-01</t>
  </si>
  <si>
    <t>2026-03-31</t>
  </si>
  <si>
    <t>F32</t>
  </si>
  <si>
    <t>grouped</t>
  </si>
  <si>
    <t>SellingAndMarketingExpense=6533mm; GeneralAndAdministrativeExpense=3759mm</t>
  </si>
  <si>
    <t>Selling and Marketing Expense; General and Administrative Expense</t>
  </si>
  <si>
    <t xml:space="preserve">Selling, General &amp; Administration (SG&amp;A) includes:
- Selling and Marketing Expense
- General and Administrative Expense</t>
  </si>
  <si>
    <t>G32</t>
  </si>
  <si>
    <t>SellingAndMarketingExpense=6781mm; GeneralAndAdministrativeExpense=3481mm</t>
  </si>
  <si>
    <t>H32</t>
  </si>
  <si>
    <t>SellingAndMarketingExpense=6884mm; GeneralAndAdministrativeExpense=3979mm</t>
  </si>
  <si>
    <t>I32</t>
  </si>
  <si>
    <t>SellingAndMarketingExpense=7719mm; GeneralAndAdministrativeExpense=5206mm</t>
  </si>
  <si>
    <t>Selling and Marketing Expense (derived Q4); General and Administrative Expense (derived Q4)</t>
  </si>
  <si>
    <t>K32</t>
  </si>
  <si>
    <t>SellingAndMarketingExpense=6426mm; GeneralAndAdministrativeExpense=3026mm</t>
  </si>
  <si>
    <t>L32</t>
  </si>
  <si>
    <t>SellingAndMarketingExpense=6792mm; GeneralAndAdministrativeExpense=3158mm</t>
  </si>
  <si>
    <t>M32</t>
  </si>
  <si>
    <t>SellingAndMarketingExpense=7227mm; GeneralAndAdministrativeExpense=3599mm</t>
  </si>
  <si>
    <t>N32</t>
  </si>
  <si>
    <t>SellingAndMarketingExpense=7363mm; GeneralAndAdministrativeExpense=4405mm</t>
  </si>
  <si>
    <t>P32</t>
  </si>
  <si>
    <t>SellingAndMarketingExpense=6172mm; GeneralAndAdministrativeExpense=3539mm</t>
  </si>
  <si>
    <t>Q32</t>
  </si>
  <si>
    <t>SellingAndMarketingExpense=7101mm; GeneralAndAdministrativeExpense=5209mm</t>
  </si>
  <si>
    <t>R32</t>
  </si>
  <si>
    <t>SellingAndMarketingExpense=7205mm; GeneralAndAdministrativeExpense=7393mm</t>
  </si>
  <si>
    <t>S32</t>
  </si>
  <si>
    <t>SellingAndMarketingExpense=8215mm; GeneralAndAdministrativeExpense=5341mm</t>
  </si>
  <si>
    <t>U32</t>
  </si>
  <si>
    <t>SellingAndMarketingExpense=7606mm; GeneralAndAdministrativeExpense=4291mm</t>
  </si>
  <si>
    <t>F33</t>
  </si>
  <si>
    <t>ResearchAndDevelopmentExpense=11468mm</t>
  </si>
  <si>
    <t>Research and Development Expense</t>
  </si>
  <si>
    <t xml:space="preserve">Research &amp; Development (R&amp;D) maps directly to:
- Research and Development Expense</t>
  </si>
  <si>
    <t>G33</t>
  </si>
  <si>
    <t>ResearchAndDevelopmentExpense=10588mm</t>
  </si>
  <si>
    <t>H33</t>
  </si>
  <si>
    <t>ResearchAndDevelopmentExpense=11258mm</t>
  </si>
  <si>
    <t>I33</t>
  </si>
  <si>
    <t>ResearchAndDevelopmentExpense=12113mm</t>
  </si>
  <si>
    <t>Research and Development Expense (derived Q4)</t>
  </si>
  <si>
    <t>K33</t>
  </si>
  <si>
    <t>ResearchAndDevelopmentExpense=11903mm</t>
  </si>
  <si>
    <t>L33</t>
  </si>
  <si>
    <t>ResearchAndDevelopmentExpense=11860mm</t>
  </si>
  <si>
    <t>M33</t>
  </si>
  <si>
    <t>ResearchAndDevelopmentExpense=12447mm</t>
  </si>
  <si>
    <t>N33</t>
  </si>
  <si>
    <t>ResearchAndDevelopmentExpense=13116mm</t>
  </si>
  <si>
    <t>P33</t>
  </si>
  <si>
    <t>ResearchAndDevelopmentExpense=13556mm</t>
  </si>
  <si>
    <t>Q33</t>
  </si>
  <si>
    <t>ResearchAndDevelopmentExpense=13808mm</t>
  </si>
  <si>
    <t>R33</t>
  </si>
  <si>
    <t>ResearchAndDevelopmentExpense=15151mm</t>
  </si>
  <si>
    <t>S33</t>
  </si>
  <si>
    <t>ResearchAndDevelopmentExpense=18572mm</t>
  </si>
  <si>
    <t>U33</t>
  </si>
  <si>
    <t>ResearchAndDevelopmentExpense=17032mm</t>
  </si>
  <si>
    <t>F34</t>
  </si>
  <si>
    <t>IncomeStatementDepreciationAmortizationNotReported=0mm</t>
  </si>
  <si>
    <t>IncomeStatementDepreciationAmortizationNotReported</t>
  </si>
  <si>
    <t>warning: Value is a zero/derived model support value with no direct SEC fact.</t>
  </si>
  <si>
    <t>G34</t>
  </si>
  <si>
    <t>H34</t>
  </si>
  <si>
    <t>I34</t>
  </si>
  <si>
    <t>K34</t>
  </si>
  <si>
    <t>L34</t>
  </si>
  <si>
    <t>M34</t>
  </si>
  <si>
    <t>N34</t>
  </si>
  <si>
    <t>P34</t>
  </si>
  <si>
    <t>Q34</t>
  </si>
  <si>
    <t>R34</t>
  </si>
  <si>
    <t>S34</t>
  </si>
  <si>
    <t>U34</t>
  </si>
  <si>
    <t>F35</t>
  </si>
  <si>
    <t>OtherOperatingIncomeExpenseNotReported=0mm</t>
  </si>
  <si>
    <t>OtherOperatingIncomeExpenseNotReported</t>
  </si>
  <si>
    <t>G35</t>
  </si>
  <si>
    <t>H35</t>
  </si>
  <si>
    <t>I35</t>
  </si>
  <si>
    <t>K35</t>
  </si>
  <si>
    <t>L35</t>
  </si>
  <si>
    <t>M35</t>
  </si>
  <si>
    <t>N35</t>
  </si>
  <si>
    <t>P35</t>
  </si>
  <si>
    <t>Q35</t>
  </si>
  <si>
    <t>R35</t>
  </si>
  <si>
    <t>S35</t>
  </si>
  <si>
    <t>U35</t>
  </si>
  <si>
    <t>F38</t>
  </si>
  <si>
    <t>InterestIncomeOther=797mm</t>
  </si>
  <si>
    <t>Interest Income, Other</t>
  </si>
  <si>
    <t xml:space="preserve">Interest Income maps directly to:
- Interest Income, Other</t>
  </si>
  <si>
    <t>G38</t>
  </si>
  <si>
    <t>InterestIncomeOther=892mm</t>
  </si>
  <si>
    <t>H38</t>
  </si>
  <si>
    <t>InterestIncomeOther=1066mm</t>
  </si>
  <si>
    <t>I38</t>
  </si>
  <si>
    <t>InterestIncomeOther=1110mm</t>
  </si>
  <si>
    <t>Interest Income, Other (derived Q4)</t>
  </si>
  <si>
    <t>K38</t>
  </si>
  <si>
    <t>InterestIncomeOther=1061mm</t>
  </si>
  <si>
    <t>L38</t>
  </si>
  <si>
    <t>InterestIncomeOther=1090mm</t>
  </si>
  <si>
    <t>M38</t>
  </si>
  <si>
    <t>InterestIncomeOther=1243mm</t>
  </si>
  <si>
    <t>N38</t>
  </si>
  <si>
    <t>InterestIncomeOther=1088mm</t>
  </si>
  <si>
    <t>P38</t>
  </si>
  <si>
    <t>InterestIncomeOther=1001mm</t>
  </si>
  <si>
    <t>Q38</t>
  </si>
  <si>
    <t>InterestIncomeOther=1050mm</t>
  </si>
  <si>
    <t>R38</t>
  </si>
  <si>
    <t>InterestIncomeOther=1076mm</t>
  </si>
  <si>
    <t>S38</t>
  </si>
  <si>
    <t>InterestIncomeOther=1209mm</t>
  </si>
  <si>
    <t>U38</t>
  </si>
  <si>
    <t>InterestIncomeOther=1381mm</t>
  </si>
  <si>
    <t>F39</t>
  </si>
  <si>
    <t>InterestExpense=80mm</t>
  </si>
  <si>
    <t xml:space="preserve">Interest (Expense) maps directly to:
- Interest Expense</t>
  </si>
  <si>
    <t>G39</t>
  </si>
  <si>
    <t>InterestExpense=43mm</t>
  </si>
  <si>
    <t>H39</t>
  </si>
  <si>
    <t>InterestExpense=116mm</t>
  </si>
  <si>
    <t>I39</t>
  </si>
  <si>
    <t>InterestExpense=69mm</t>
  </si>
  <si>
    <t>Interest Expense (derived Q4)</t>
  </si>
  <si>
    <t>K39</t>
  </si>
  <si>
    <t>InterestExpense=94mm</t>
  </si>
  <si>
    <t>L39</t>
  </si>
  <si>
    <t>FinanceLeaseInterestExpense=7mm</t>
  </si>
  <si>
    <t>Finance Lease, Interest Expense</t>
  </si>
  <si>
    <t xml:space="preserve">Interest (Expense) maps directly to:
- Finance Lease, Interest Expense</t>
  </si>
  <si>
    <t>M39</t>
  </si>
  <si>
    <t>FinanceLeaseInterestExpense=8mm</t>
  </si>
  <si>
    <t>N39</t>
  </si>
  <si>
    <t>FinanceLeaseInterestExpense=9mm</t>
  </si>
  <si>
    <t>Finance Lease, Interest Expense (derived Q4)</t>
  </si>
  <si>
    <t>P39</t>
  </si>
  <si>
    <t>FinanceLeaseInterestExpense=15mm</t>
  </si>
  <si>
    <t>Q39</t>
  </si>
  <si>
    <t>FinanceLeaseInterestExpense=16mm</t>
  </si>
  <si>
    <t>R39</t>
  </si>
  <si>
    <t>FinanceLeaseInterestExpense=17mm</t>
  </si>
  <si>
    <t>S39</t>
  </si>
  <si>
    <t>U39</t>
  </si>
  <si>
    <t>F41</t>
  </si>
  <si>
    <t>OtherNonOperatingIncomeExpenseFromReportedLine=73mm; NonoperatingIncomeExpense=790mm; InterestIncomeOther=797mm; InterestExpense=80mm</t>
  </si>
  <si>
    <t>Other non-operating income/expense from reported line; Nonoperating Income (Expense); Interest Income, Other; Interest Expense</t>
  </si>
  <si>
    <t xml:space="preserve">Other Non-Operating Income (Expense) includes:
- Other non-operating income/expense from reported line
- Nonoperating Income (Expense)
- Interest Income, Other
- Interest Expense</t>
  </si>
  <si>
    <t>G41</t>
  </si>
  <si>
    <t>OtherNonOperatingIncomeExpenseFromReportedLine=-784mm; NonoperatingIncomeExpense=65mm; InterestIncomeOther=892mm; InterestExpense=43mm</t>
  </si>
  <si>
    <t>H41</t>
  </si>
  <si>
    <t>OtherNonOperatingIncomeExpenseFromReportedLine=-1096mm; NonoperatingIncomeExpense=-146mm; InterestIncomeOther=1066mm; InterestExpense=116mm</t>
  </si>
  <si>
    <t>I41</t>
  </si>
  <si>
    <t>OtherNonOperatingIncomeExpenseFromReportedLine=-326mm; NonoperatingIncomeExpense=715mm; InterestIncomeOther=1110mm; InterestExpense=69mm</t>
  </si>
  <si>
    <t>Other non-operating income/expense from reported line; Nonoperating Income (Expense) (derived Q4); Interest Income, Other (derived Q4); Interest Expense (derived Q4)</t>
  </si>
  <si>
    <t xml:space="preserve">Other Non-Operating Income (Expense) maps directly to:
- Other non-operating income/expense from reported line</t>
  </si>
  <si>
    <t>K41</t>
  </si>
  <si>
    <t>OtherNonOperatingIncomeExpenseFromReportedLine=1876mm; NonoperatingIncomeExpense=2843mm; InterestIncomeOther=1061mm; InterestExpense=94mm</t>
  </si>
  <si>
    <t>L41</t>
  </si>
  <si>
    <t>OtherNonOperatingIncomeExpenseFromReportedLine=-957mm; NonoperatingIncomeExpense=126mm; InterestIncomeOther=1090mm; FinanceLeaseInterestExpense=7mm</t>
  </si>
  <si>
    <t>Other non-operating income/expense from reported line; Nonoperating Income (Expense); Interest Income, Other; Finance Lease, Interest Expense</t>
  </si>
  <si>
    <t>0001652044-24-000079; 0001652044-25-000062</t>
  </si>
  <si>
    <t>https://www.sec.gov/Archives/edgar/data/1652044/000165204424000079/; https://www.sec.gov/Archives/edgar/data/1652044/000165204425000062/</t>
  </si>
  <si>
    <t>2024-07-24; 2025-07-24</t>
  </si>
  <si>
    <t xml:space="preserve">Other Non-Operating Income (Expense) includes:
- Other non-operating income/expense from reported line
- Nonoperating Income (Expense)
- Interest Income, Other
- Finance Lease, Interest Expense</t>
  </si>
  <si>
    <t>M41</t>
  </si>
  <si>
    <t>OtherNonOperatingIncomeExpenseFromReportedLine=1950mm; NonoperatingIncomeExpense=3185mm; InterestIncomeOther=1243mm; FinanceLeaseInterestExpense=8mm</t>
  </si>
  <si>
    <t>0001652044-24-000118; 0001652044-25-000091</t>
  </si>
  <si>
    <t>https://www.sec.gov/Archives/edgar/data/1652044/000165204424000118/; https://www.sec.gov/Archives/edgar/data/1652044/000165204425000091/</t>
  </si>
  <si>
    <t>2024-10-30; 2025-10-30</t>
  </si>
  <si>
    <t>N41</t>
  </si>
  <si>
    <t>OtherNonOperatingIncomeExpenseFromReportedLine=192mm; NonoperatingIncomeExpense=1271mm; InterestIncomeOther=1088mm; FinanceLeaseInterestExpense=9mm</t>
  </si>
  <si>
    <t>Other non-operating income/expense from reported line; Nonoperating Income (Expense) (derived Q4); Interest Income, Other (derived Q4); Finance Lease, Interest Expense (derived Q4)</t>
  </si>
  <si>
    <t>P41</t>
  </si>
  <si>
    <t>OtherNonOperatingIncomeExpenseFromReportedLine=10197mm; NonoperatingIncomeExpense=11183mm; InterestIncomeOther=1001mm; FinanceLeaseInterestExpense=15mm</t>
  </si>
  <si>
    <t>Q41</t>
  </si>
  <si>
    <t>OtherNonOperatingIncomeExpenseFromReportedLine=1628mm; NonoperatingIncomeExpense=2662mm; InterestIncomeOther=1050mm; FinanceLeaseInterestExpense=16mm</t>
  </si>
  <si>
    <t>R41</t>
  </si>
  <si>
    <t>OtherNonOperatingIncomeExpenseFromReportedLine=11700mm; NonoperatingIncomeExpense=12759mm; InterestIncomeOther=1076mm; FinanceLeaseInterestExpense=17mm</t>
  </si>
  <si>
    <t>S41</t>
  </si>
  <si>
    <t>OtherNonOperatingIncomeExpenseFromReportedLine=1991mm; NonoperatingIncomeExpense=3183mm; InterestIncomeOther=1209mm; FinanceLeaseInterestExpense=17mm</t>
  </si>
  <si>
    <t>U41</t>
  </si>
  <si>
    <t>OtherNonOperatingIncomeExpenseFromReportedLine=36352mm; NonoperatingIncomeExpense=37716mm; InterestIncomeOther=1381mm; FinanceLeaseInterestExpense=17mm</t>
  </si>
  <si>
    <t>F44</t>
  </si>
  <si>
    <t>IncomeTaxExpenseBenefit=3154mm</t>
  </si>
  <si>
    <t>Income Tax Expense (Benefit)</t>
  </si>
  <si>
    <t xml:space="preserve">Income Tax Benefit (Expense) maps directly to:
- Income Tax Expense (Benefit)</t>
  </si>
  <si>
    <t>G44</t>
  </si>
  <si>
    <t>IncomeTaxExpenseBenefit=3535mm</t>
  </si>
  <si>
    <t>H44</t>
  </si>
  <si>
    <t>IncomeTaxExpenseBenefit=1508mm</t>
  </si>
  <si>
    <t>I44</t>
  </si>
  <si>
    <t>IncomeTaxExpenseBenefit=3725mm</t>
  </si>
  <si>
    <t>Income Tax Expense (Benefit) (derived Q4)</t>
  </si>
  <si>
    <t>K44</t>
  </si>
  <si>
    <t>IncomeTaxExpenseBenefit=4653mm</t>
  </si>
  <si>
    <t>L44</t>
  </si>
  <si>
    <t>IncomeTaxExpenseBenefit=3932mm</t>
  </si>
  <si>
    <t>M44</t>
  </si>
  <si>
    <t>IncomeTaxExpenseBenefit=5405mm</t>
  </si>
  <si>
    <t>N44</t>
  </si>
  <si>
    <t>IncomeTaxExpenseBenefit=5707mm</t>
  </si>
  <si>
    <t>P44</t>
  </si>
  <si>
    <t>IncomeTaxExpenseBenefit=7249mm</t>
  </si>
  <si>
    <t>Q44</t>
  </si>
  <si>
    <t>IncomeTaxExpenseBenefit=5737mm</t>
  </si>
  <si>
    <t>R44</t>
  </si>
  <si>
    <t>IncomeTaxExpenseBenefit=9008mm</t>
  </si>
  <si>
    <t>S44</t>
  </si>
  <si>
    <t>IncomeTaxExpenseBenefit=4662mm</t>
  </si>
  <si>
    <t>U44</t>
  </si>
  <si>
    <t>IncomeTaxExpenseBenefit=14834mm</t>
  </si>
  <si>
    <t>F47</t>
  </si>
  <si>
    <t>PreTaxAdjustmentsNotReported=0mm</t>
  </si>
  <si>
    <t>PreTaxAdjustmentsNotReported</t>
  </si>
  <si>
    <t>G47</t>
  </si>
  <si>
    <t>H47</t>
  </si>
  <si>
    <t>I47</t>
  </si>
  <si>
    <t>K47</t>
  </si>
  <si>
    <t>L47</t>
  </si>
  <si>
    <t>M47</t>
  </si>
  <si>
    <t>N47</t>
  </si>
  <si>
    <t>P47</t>
  </si>
  <si>
    <t>Q47</t>
  </si>
  <si>
    <t>R47</t>
  </si>
  <si>
    <t>S47</t>
  </si>
  <si>
    <t>U47</t>
  </si>
  <si>
    <t>F48</t>
  </si>
  <si>
    <t>PostTaxAdjustmentsNotReported=0mm</t>
  </si>
  <si>
    <t>PostTaxAdjustmentsNotReported</t>
  </si>
  <si>
    <t>G48</t>
  </si>
  <si>
    <t>H48</t>
  </si>
  <si>
    <t>I48</t>
  </si>
  <si>
    <t>K48</t>
  </si>
  <si>
    <t>L48</t>
  </si>
  <si>
    <t>M48</t>
  </si>
  <si>
    <t>N48</t>
  </si>
  <si>
    <t>P48</t>
  </si>
  <si>
    <t>Q48</t>
  </si>
  <si>
    <t>R48</t>
  </si>
  <si>
    <t>S48</t>
  </si>
  <si>
    <t>U48</t>
  </si>
  <si>
    <t>F49</t>
  </si>
  <si>
    <t>DiscontinuedOperationsBridge=0mm</t>
  </si>
  <si>
    <t>DiscontinuedOperationsBridge</t>
  </si>
  <si>
    <t>G49</t>
  </si>
  <si>
    <t>H49</t>
  </si>
  <si>
    <t>I49</t>
  </si>
  <si>
    <t>K49</t>
  </si>
  <si>
    <t>L49</t>
  </si>
  <si>
    <t>M49</t>
  </si>
  <si>
    <t>N49</t>
  </si>
  <si>
    <t>U49</t>
  </si>
  <si>
    <t>K50</t>
  </si>
  <si>
    <t>CommonShareholderNciBridge=0mm; NetIncomeLossAvailableToCommonStockholdersBasic=23662mm; NetIncomeLoss=23662mm; PostTaxAdjustmentsNotReported=0mm; DiscontinuedOperationsBridge=0mm</t>
  </si>
  <si>
    <t>Common-shareholder NCI bridge; Net Income (Loss) Available to Common Stockholders, Basic; Net Income (Loss) Attributable to Parent; PostTaxAdjustmentsNotReported; DiscontinuedOperationsBridge</t>
  </si>
  <si>
    <t>0001652044-25-000043; 0001652044-24-000053</t>
  </si>
  <si>
    <t>https://www.sec.gov/Archives/edgar/data/1652044/000165204425000043/; https://www.sec.gov/Archives/edgar/data/1652044/000165204424000053/</t>
  </si>
  <si>
    <t>2025-04-25; 2024-04-26</t>
  </si>
  <si>
    <t xml:space="preserve">Income (Loss) due to Non-Controlling Interest includes:
- Net Income (Loss) Available to Common Stockholders, Basic
- Net Income (Loss) Attributable to Parent</t>
  </si>
  <si>
    <t>L50</t>
  </si>
  <si>
    <t>CommonShareholderNciBridge=0mm; NetIncomeLossAvailableToCommonStockholdersBasic=23619mm; NetIncomeLoss=23619mm; PostTaxAdjustmentsNotReported=0mm; DiscontinuedOperationsBridge=0mm</t>
  </si>
  <si>
    <t>M50</t>
  </si>
  <si>
    <t>CommonShareholderNciBridge=0mm; NetIncomeLossAvailableToCommonStockholdersBasic=26301mm; NetIncomeLoss=26301mm; PostTaxAdjustmentsNotReported=0mm; DiscontinuedOperationsBridge=0mm</t>
  </si>
  <si>
    <t>N50</t>
  </si>
  <si>
    <t>CommonShareholderNciBridge=0mm; NetIncomeLossAvailableToCommonStockholdersBasic=26536mm; NetIncomeLoss=26536mm; PostTaxAdjustmentsNotReported=0mm; DiscontinuedOperationsBridge=0mm</t>
  </si>
  <si>
    <t>Common-shareholder NCI bridge; Net Income (Loss) Available to Common Stockholders, Basic (derived Q4); Net Income (Loss) Attributable to Parent (derived Q4); PostTaxAdjustmentsNotReported; DiscontinuedOperationsBridge</t>
  </si>
  <si>
    <t>U50</t>
  </si>
  <si>
    <t>CommonShareholderNciBridge=0mm; NetIncomeLossAvailableToCommonStockholdersBasic=62578mm; NetIncomeLoss=62578mm; PostTaxAdjustmentsNotReported=0mm; DiscontinuedOperationsBridge=0mm</t>
  </si>
  <si>
    <t>F120</t>
  </si>
  <si>
    <t>CashAndCashEquivalentsAtCarryingValue=25924mm; MarketableSecuritiesCurrent=89178mm</t>
  </si>
  <si>
    <t>Cash and Cash Equivalents, at Carrying Value; Marketable Securities, Current</t>
  </si>
  <si>
    <t>balance</t>
  </si>
  <si>
    <t xml:space="preserve">Cash &amp; Cash Equivalents includes:
- Cash and Cash Equivalents, at Carrying Value
- Marketable Securities, Current</t>
  </si>
  <si>
    <t>G120</t>
  </si>
  <si>
    <t>CashAndCashEquivalentsAtCarryingValue=25929mm; MarketableSecuritiesCurrent=92403mm</t>
  </si>
  <si>
    <t>H120</t>
  </si>
  <si>
    <t>CashAndCashEquivalentsAtCarryingValue=30702mm; MarketableSecuritiesCurrent=89233mm</t>
  </si>
  <si>
    <t>I120</t>
  </si>
  <si>
    <t>CashAndCashEquivalentsAtCarryingValue=24048mm; MarketableSecuritiesCurrent=86868mm</t>
  </si>
  <si>
    <t>K120</t>
  </si>
  <si>
    <t>CashAndCashEquivalentsAtCarryingValue=24493mm; MarketableSecuritiesCurrent=83597mm</t>
  </si>
  <si>
    <t>L120</t>
  </si>
  <si>
    <t>CashAndCashEquivalentsAtCarryingValue=27225mm; MarketableSecuritiesCurrent=73500mm</t>
  </si>
  <si>
    <t>M120</t>
  </si>
  <si>
    <t>CashAndCashEquivalentsAtCarryingValue=19959mm; MarketableSecuritiesCurrent=73271mm</t>
  </si>
  <si>
    <t>N120</t>
  </si>
  <si>
    <t>CashAndCashEquivalentsAtCarryingValue=23466mm; MarketableSecuritiesCurrent=72191mm</t>
  </si>
  <si>
    <t>P120</t>
  </si>
  <si>
    <t>CashAndCashEquivalentsAtCarryingValue=23264mm; MarketableSecuritiesCurrent=72064mm</t>
  </si>
  <si>
    <t>Q120</t>
  </si>
  <si>
    <t>CashAndCashEquivalentsAtCarryingValue=21036mm; MarketableSecuritiesCurrent=74112mm</t>
  </si>
  <si>
    <t>R120</t>
  </si>
  <si>
    <t>CashAndCashEquivalentsAtCarryingValue=23090mm; MarketableSecuritiesCurrent=75406mm</t>
  </si>
  <si>
    <t>S120</t>
  </si>
  <si>
    <t>CashAndCashEquivalentsAtCarryingValue=30708mm; MarketableSecuritiesCurrent=96135mm</t>
  </si>
  <si>
    <t>U120</t>
  </si>
  <si>
    <t>CashAndCashEquivalentsAtCarryingValue=38063mm; MarketableSecuritiesCurrent=88777mm</t>
  </si>
  <si>
    <t>F121</t>
  </si>
  <si>
    <t>skipped</t>
  </si>
  <si>
    <t>AccountsReceivableNetCurrent=36036mm</t>
  </si>
  <si>
    <t>Accounts Receivable, after Allowance for Credit Loss, Current</t>
  </si>
  <si>
    <t>Classification mismatch: AccountsReceivableNetCurrent was identified as net income, but Accounts Receivable expects current assets.</t>
  </si>
  <si>
    <t>would copy</t>
  </si>
  <si>
    <t>low</t>
  </si>
  <si>
    <t>blocked: Classification mismatch: AccountsReceivableNetCurrent was identified as net income, but Accounts Receivable expects current assets.</t>
  </si>
  <si>
    <t xml:space="preserve">Accounts Receivable maps directly to:
- Accounts Receivable, after Allowance for Credit Loss, Current</t>
  </si>
  <si>
    <t>G121</t>
  </si>
  <si>
    <t>AccountsReceivableNetCurrent=38804mm</t>
  </si>
  <si>
    <t>H121</t>
  </si>
  <si>
    <t>AccountsReceivableNetCurrent=41020mm</t>
  </si>
  <si>
    <t>I121</t>
  </si>
  <si>
    <t>AccountsReceivableNetCurrent=47964mm</t>
  </si>
  <si>
    <t>K121</t>
  </si>
  <si>
    <t>AccountsReceivableNetCurrent=44552mm</t>
  </si>
  <si>
    <t>L121</t>
  </si>
  <si>
    <t>AccountsReceivableNetCurrent=47087mm</t>
  </si>
  <si>
    <t>M121</t>
  </si>
  <si>
    <t>AccountsReceivableNetCurrent=49104mm</t>
  </si>
  <si>
    <t>N121</t>
  </si>
  <si>
    <t>AccountsReceivableNetCurrent=52340mm</t>
  </si>
  <si>
    <t>P121</t>
  </si>
  <si>
    <t>AccountsReceivableNetCurrent=51000mm</t>
  </si>
  <si>
    <t>Q121</t>
  </si>
  <si>
    <t>AccountsReceivableNetCurrent=55048mm</t>
  </si>
  <si>
    <t>R121</t>
  </si>
  <si>
    <t>AccountsReceivableNetCurrent=57148mm</t>
  </si>
  <si>
    <t>S121</t>
  </si>
  <si>
    <t>AccountsReceivableNetCurrent=62886mm</t>
  </si>
  <si>
    <t>U121</t>
  </si>
  <si>
    <t>AccountsReceivableNetCurrent=62999mm</t>
  </si>
  <si>
    <t>F122</t>
  </si>
  <si>
    <t>InventoryNet=2315mm</t>
  </si>
  <si>
    <t>Inventory, Net</t>
  </si>
  <si>
    <t xml:space="preserve">Inventory maps directly to:
- Inventory, Net</t>
  </si>
  <si>
    <t>G122</t>
  </si>
  <si>
    <t>InventoryNet=2231mm</t>
  </si>
  <si>
    <t>H122</t>
  </si>
  <si>
    <t>InventoryNet=2957mm</t>
  </si>
  <si>
    <t>I122</t>
  </si>
  <si>
    <t>InventoryNet=0mm</t>
  </si>
  <si>
    <t>InventoryNet</t>
  </si>
  <si>
    <t>K122</t>
  </si>
  <si>
    <t>L122</t>
  </si>
  <si>
    <t>M122</t>
  </si>
  <si>
    <t>N122</t>
  </si>
  <si>
    <t>P122</t>
  </si>
  <si>
    <t>Q122</t>
  </si>
  <si>
    <t>R122</t>
  </si>
  <si>
    <t>S122</t>
  </si>
  <si>
    <t>U122</t>
  </si>
  <si>
    <t>F123</t>
  </si>
  <si>
    <t>OtherAssetsCurrent=8532mm</t>
  </si>
  <si>
    <t>Other Assets, Current</t>
  </si>
  <si>
    <t xml:space="preserve">Prepaid &amp; Other Current Assets maps directly to:
- Other Assets, Current</t>
  </si>
  <si>
    <t>G123</t>
  </si>
  <si>
    <t>OtherAssetsCurrent=9421mm</t>
  </si>
  <si>
    <t>H123</t>
  </si>
  <si>
    <t>OtherAssetsCurrent=12398mm</t>
  </si>
  <si>
    <t>I123</t>
  </si>
  <si>
    <t>OtherAssetsCurrent=12650mm</t>
  </si>
  <si>
    <t>K123</t>
  </si>
  <si>
    <t>OtherAssetsCurrent=12829mm</t>
  </si>
  <si>
    <t>L123</t>
  </si>
  <si>
    <t>OtherAssetsCurrent=14183mm</t>
  </si>
  <si>
    <t>M123</t>
  </si>
  <si>
    <t>OtherAssetsCurrent=15207mm</t>
  </si>
  <si>
    <t>N123</t>
  </si>
  <si>
    <t>OtherAssetsCurrent=15714mm</t>
  </si>
  <si>
    <t>P123</t>
  </si>
  <si>
    <t>OtherAssetsCurrent=15724mm</t>
  </si>
  <si>
    <t>Q123</t>
  </si>
  <si>
    <t>OtherAssetsCurrent=16020mm</t>
  </si>
  <si>
    <t>R123</t>
  </si>
  <si>
    <t>OtherAssetsCurrent=18303mm</t>
  </si>
  <si>
    <t>S123</t>
  </si>
  <si>
    <t>OtherAssetsCurrent=16309mm</t>
  </si>
  <si>
    <t>U123</t>
  </si>
  <si>
    <t>OtherAssetsCurrent=23914mm</t>
  </si>
  <si>
    <t>F126</t>
  </si>
  <si>
    <t>PropertyPlantAndEquipmentAndFinanceLeaseRightOfUseAssetAfterAccumulatedDepreciationAndAmortization=117560mm</t>
  </si>
  <si>
    <t>Property, Plant, and Equipment and Finance Lease Right-of-Use Asset, after Accumulated Depreciation and Amortization</t>
  </si>
  <si>
    <t>Classification mismatch: PropertyPlantAndEquipmentAndFinanceLeaseRightOfUseAssetAfterAccumulatedDepreciationAndAmortization was identified as income statement depreciation amortization, but PP&amp;E, Net expects non current assets.</t>
  </si>
  <si>
    <t>blocked: Classification mismatch: PropertyPlantAndEquipmentAndFinanceLeaseRightOfUseAssetAfterAccumulatedDepreciationAndAmortization was identified as income statement depreciation amortization, but PP&amp;E, Net expects non current assets.</t>
  </si>
  <si>
    <t xml:space="preserve">PP&amp;E, Net maps directly to:
- Property, Plant, and Equipment and Finance Lease Right-of-Use Asset, after Accumulated Depreciation and Amortization</t>
  </si>
  <si>
    <t>G126</t>
  </si>
  <si>
    <t>PropertyPlantAndEquipmentAndFinanceLeaseRightOfUseAssetAfterAccumulatedDepreciationAndAmortization=121208mm</t>
  </si>
  <si>
    <t>H126</t>
  </si>
  <si>
    <t>PropertyPlantAndEquipmentAndFinanceLeaseRightOfUseAssetAfterAccumulatedDepreciationAndAmortization=125705mm</t>
  </si>
  <si>
    <t>I126</t>
  </si>
  <si>
    <t>PropertyPlantAndEquipmentAndFinanceLeaseRightOfUseAssetAfterAccumulatedDepreciationAndAmortization=134345mm</t>
  </si>
  <si>
    <t>K126</t>
  </si>
  <si>
    <t>PropertyPlantAndEquipmentNet=143182mm</t>
  </si>
  <si>
    <t>Property, Plant and Equipment, Net</t>
  </si>
  <si>
    <t xml:space="preserve">PP&amp;E, Net maps directly to:
- Property, Plant and Equipment, Net</t>
  </si>
  <si>
    <t>L126</t>
  </si>
  <si>
    <t>PropertyPlantAndEquipmentNet=151155mm</t>
  </si>
  <si>
    <t>M126</t>
  </si>
  <si>
    <t>PropertyPlantAndEquipmentAndFinanceLeaseRightOfUseAssetAfterAccumulatedDepreciationAndAmortization=161270mm</t>
  </si>
  <si>
    <t>N126</t>
  </si>
  <si>
    <t>PropertyPlantAndEquipmentAndFinanceLeaseRightOfUseAssetAfterAccumulatedDepreciationAndAmortization=171036mm</t>
  </si>
  <si>
    <t>P126</t>
  </si>
  <si>
    <t>PropertyPlantAndEquipmentNet=185062mm</t>
  </si>
  <si>
    <t>Q126</t>
  </si>
  <si>
    <t>PropertyPlantAndEquipmentAndFinanceLeaseRightOfUseAssetAfterAccumulatedDepreciationAndAmortization=203231mm</t>
  </si>
  <si>
    <t>R126</t>
  </si>
  <si>
    <t>PropertyPlantAndEquipmentAndFinanceLeaseRightOfUseAssetAfterAccumulatedDepreciationAndAmortization=223787mm</t>
  </si>
  <si>
    <t>S126</t>
  </si>
  <si>
    <t>PropertyPlantAndEquipmentAndFinanceLeaseRightOfUseAssetAfterAccumulatedDepreciationAndAmortization=246597mm</t>
  </si>
  <si>
    <t>U126</t>
  </si>
  <si>
    <t>PropertyPlantAndEquipmentAndFinanceLeaseRightOfUseAssetAfterAccumulatedDepreciationAndAmortization=281020mm</t>
  </si>
  <si>
    <t>F127</t>
  </si>
  <si>
    <t>FiniteLivedIntangibleAssetsNet=1726mm</t>
  </si>
  <si>
    <t>Finite-Lived Intangible Assets, Net</t>
  </si>
  <si>
    <t xml:space="preserve">Intangible Assets, Net maps directly to:
- Finite-Lived Intangible Assets, Net</t>
  </si>
  <si>
    <t>G127</t>
  </si>
  <si>
    <t>FiniteLivedIntangibleAssetsNet=1730mm</t>
  </si>
  <si>
    <t>H127</t>
  </si>
  <si>
    <t>FiniteLivedIntangibleAssetsNet=1599mm</t>
  </si>
  <si>
    <t>I127</t>
  </si>
  <si>
    <t>FiniteLivedIntangibleAssetsNet=0mm</t>
  </si>
  <si>
    <t>FiniteLivedIntangibleAssetsNet</t>
  </si>
  <si>
    <t>K127</t>
  </si>
  <si>
    <t>L127</t>
  </si>
  <si>
    <t>M127</t>
  </si>
  <si>
    <t>N127</t>
  </si>
  <si>
    <t>P127</t>
  </si>
  <si>
    <t>Q127</t>
  </si>
  <si>
    <t>R127</t>
  </si>
  <si>
    <t>S127</t>
  </si>
  <si>
    <t>FiniteLivedIntangibleAssetsNet=1088mm</t>
  </si>
  <si>
    <t>U127</t>
  </si>
  <si>
    <t>FiniteLivedIntangibleAssetsNet=9249mm</t>
  </si>
  <si>
    <t>F128</t>
  </si>
  <si>
    <t>Goodwill=28994mm</t>
  </si>
  <si>
    <t>G128</t>
  </si>
  <si>
    <t>Goodwill=29210mm</t>
  </si>
  <si>
    <t>H128</t>
  </si>
  <si>
    <t>Goodwill=29146mm</t>
  </si>
  <si>
    <t>I128</t>
  </si>
  <si>
    <t>Goodwill=29198mm</t>
  </si>
  <si>
    <t>K128</t>
  </si>
  <si>
    <t>Goodwill=29183mm</t>
  </si>
  <si>
    <t>L128</t>
  </si>
  <si>
    <t>Goodwill=29185mm</t>
  </si>
  <si>
    <t>M128</t>
  </si>
  <si>
    <t>Goodwill=31935mm</t>
  </si>
  <si>
    <t>N128</t>
  </si>
  <si>
    <t>Goodwill=31885mm</t>
  </si>
  <si>
    <t>P128</t>
  </si>
  <si>
    <t>Goodwill=32173mm</t>
  </si>
  <si>
    <t>Q128</t>
  </si>
  <si>
    <t>Goodwill=32335mm</t>
  </si>
  <si>
    <t>R128</t>
  </si>
  <si>
    <t>Goodwill=33269mm</t>
  </si>
  <si>
    <t>S128</t>
  </si>
  <si>
    <t>Goodwill=33380mm</t>
  </si>
  <si>
    <t>U128</t>
  </si>
  <si>
    <t>Goodwill=57774mm</t>
  </si>
  <si>
    <t>F129</t>
  </si>
  <si>
    <t>Assets=369491mm; AssetsCurrent=161985mm; PropertyPlantAndEquipmentAndFinanceLeaseRightOfUseAssetAfterAccumulatedDepreciationAndAmortization=117560mm; FiniteLivedIntangibleAssetsNet=1726mm; Goodwill=28994mm</t>
  </si>
  <si>
    <t>Assets; Assets, Current; Property, Plant, and Equipment and Finance Lease Right-of-Use Asset, after Accumulated Depreciation and Amortization; Finite-Lived Intangible Assets, Net; Goodwill</t>
  </si>
  <si>
    <t>preserved</t>
  </si>
  <si>
    <t>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FiniteLivedIntangibleAssetsNet was identified as non current assets,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</si>
  <si>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FiniteLivedIntangibleAssetsNet was identified as n</t>
  </si>
  <si>
    <t xml:space="preserve">Other Non-Current Assets includes:
- Assets, Current
- Property, Plant, and Equipment and Finance Lease Right-of-Use Asset, after Accumulated Depreciation and Amortization
- Finite-Lived Intangible Assets, Net</t>
  </si>
  <si>
    <t>G129</t>
  </si>
  <si>
    <t>Assets=383044mm; AssetsCurrent=168788mm; PropertyPlantAndEquipmentAndFinanceLeaseRightOfUseAssetAfterAccumulatedDepreciationAndAmortization=121208mm; FiniteLivedIntangibleAssetsNet=1730mm; Goodwill=29210mm</t>
  </si>
  <si>
    <t>H129</t>
  </si>
  <si>
    <t>Assets=396711mm; AssetsCurrent=176310mm; PropertyPlantAndEquipmentAndFinanceLeaseRightOfUseAssetAfterAccumulatedDepreciationAndAmortization=125705mm; FiniteLivedIntangibleAssetsNet=1599mm; Goodwill=29146mm</t>
  </si>
  <si>
    <t>I129</t>
  </si>
  <si>
    <t>Assets=402392mm; AssetsCurrent=171530mm; PropertyPlantAndEquipmentAndFinanceLeaseRightOfUseAssetAfterAccumulatedDepreciationAndAmortization=134345mm; FiniteLivedIntangibleAssetsNet=0mm; Goodwill=29198mm</t>
  </si>
  <si>
    <t>Assets; Assets, Current; Property, Plant, and Equipment and Finance Lease Right-of-Use Asset, after Accumulated Depreciation and Amortization; FiniteLivedIntangibleAssetsNet; Goodwill</t>
  </si>
  <si>
    <t>0001652044-24-000022; 0001652044-24-000118</t>
  </si>
  <si>
    <t>https://www.sec.gov/Archives/edgar/data/1652044/000165204424000022/; https://www.sec.gov/Archives/edgar/data/1652044/000165204424000118/</t>
  </si>
  <si>
    <t>10-K; 10-Q</t>
  </si>
  <si>
    <t>2024-01-31; 2024-10-30</t>
  </si>
  <si>
    <t>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</si>
  <si>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Goodwill was identified as non current assets, but</t>
  </si>
  <si>
    <t xml:space="preserve">Other Non-Current Assets includes:
- Assets, Current
- Property, Plant, and Equipment and Finance Lease Right-of-Use Asset, after Accumulated Depreciation and Amortization</t>
  </si>
  <si>
    <t>K129</t>
  </si>
  <si>
    <t>Assets=407350mm; AssetsCurrent=165471mm; PropertyPlantAndEquipmentNet=143182mm; FiniteLivedIntangibleAssetsNet=0mm; Goodwill=29183mm</t>
  </si>
  <si>
    <t>Assets; Assets, Current; Property, Plant and Equipment, Net; FiniteLivedIntangibleAssetsNet; Goodwill</t>
  </si>
  <si>
    <t>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</si>
  <si>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Non-Current Assets expects current assets.</t>
  </si>
  <si>
    <t xml:space="preserve">Other Non-Current Assets includes:
- Assets, Current
- Property, Plant and Equipment, Net</t>
  </si>
  <si>
    <t>L129</t>
  </si>
  <si>
    <t>Assets=414770mm; AssetsCurrent=161995mm; PropertyPlantAndEquipmentNet=151155mm; FiniteLivedIntangibleAssetsNet=0mm; Goodwill=29185mm</t>
  </si>
  <si>
    <t>M129</t>
  </si>
  <si>
    <t>Assets=430266mm; AssetsCurrent=157541mm; PropertyPlantAndEquipmentAndFinanceLeaseRightOfUseAssetAfterAccumulatedDepreciationAndAmortization=161270mm; FiniteLivedIntangibleAssetsNet=0mm; Goodwill=31935mm</t>
  </si>
  <si>
    <t>N129</t>
  </si>
  <si>
    <t>Assets=450256mm; AssetsCurrent=163711mm; PropertyPlantAndEquipmentAndFinanceLeaseRightOfUseAssetAfterAccumulatedDepreciationAndAmortization=171036mm; FiniteLivedIntangibleAssetsNet=0mm; Goodwill=31885mm</t>
  </si>
  <si>
    <t>0001652044-25-000014; 0001652044-26-000018</t>
  </si>
  <si>
    <t>https://www.sec.gov/Archives/edgar/data/1652044/000165204425000014/; https://www.sec.gov/Archives/edgar/data/1652044/000165204426000018/</t>
  </si>
  <si>
    <t>2025-02-05; 2026-02-05</t>
  </si>
  <si>
    <t>P129</t>
  </si>
  <si>
    <t>Assets=475374mm; AssetsCurrent=162052mm; PropertyPlantAndEquipmentNet=185062mm; FiniteLivedIntangibleAssetsNet=0mm; Goodwill=32173mm</t>
  </si>
  <si>
    <t>Q129</t>
  </si>
  <si>
    <t>Assets=502053mm; AssetsCurrent=166216mm; PropertyPlantAndEquipmentAndFinanceLeaseRightOfUseAssetAfterAccumulatedDepreciationAndAmortization=203231mm; FiniteLivedIntangibleAssetsNet=0mm; Goodwill=32335mm</t>
  </si>
  <si>
    <t>R129</t>
  </si>
  <si>
    <t>Assets=536469mm; AssetsCurrent=173947mm; PropertyPlantAndEquipmentAndFinanceLeaseRightOfUseAssetAfterAccumulatedDepreciationAndAmortization=223787mm; FiniteLivedIntangibleAssetsNet=0mm; Goodwill=33269mm</t>
  </si>
  <si>
    <t>S129</t>
  </si>
  <si>
    <t>Assets=595281mm; AssetsCurrent=206038mm; PropertyPlantAndEquipmentAndFinanceLeaseRightOfUseAssetAfterAccumulatedDepreciationAndAmortization=246597mm; FiniteLivedIntangibleAssetsNet=1088mm; Goodwill=33380mm</t>
  </si>
  <si>
    <t>0001652044-26-000018; 0001652044-26-000048</t>
  </si>
  <si>
    <t>https://www.sec.gov/Archives/edgar/data/1652044/000165204426000018/; https://www.sec.gov/Archives/edgar/data/1652044/000165204426000048/</t>
  </si>
  <si>
    <t>2026-02-05; 2026-04-30</t>
  </si>
  <si>
    <t>U129</t>
  </si>
  <si>
    <t>Assets=703919mm; AssetsCurrent=213753mm; PropertyPlantAndEquipmentAndFinanceLeaseRightOfUseAssetAfterAccumulatedDepreciationAndAmortization=281020mm; FiniteLivedIntangibleAssetsNet=9249mm; Goodwill=57774mm</t>
  </si>
  <si>
    <t>F134</t>
  </si>
  <si>
    <t>AccountsPayableCurrent=4184mm</t>
  </si>
  <si>
    <t>Accounts Payable, Current</t>
  </si>
  <si>
    <t xml:space="preserve">Accounts Payable maps directly to:
- Accounts Payable, Current</t>
  </si>
  <si>
    <t>G134</t>
  </si>
  <si>
    <t>AccountsPayableCurrent=5313mm</t>
  </si>
  <si>
    <t>H134</t>
  </si>
  <si>
    <t>AccountsPayableCurrent=5803mm</t>
  </si>
  <si>
    <t>I134</t>
  </si>
  <si>
    <t>AccountsPayableCurrent=7493mm</t>
  </si>
  <si>
    <t>K134</t>
  </si>
  <si>
    <t>AccountsPayableCurrent=6198mm</t>
  </si>
  <si>
    <t>L134</t>
  </si>
  <si>
    <t>AccountsPayableCurrent=6092mm</t>
  </si>
  <si>
    <t>M134</t>
  </si>
  <si>
    <t>AccountsPayableCurrent=7049mm</t>
  </si>
  <si>
    <t>N134</t>
  </si>
  <si>
    <t>AccountsPayableCurrent=7987mm</t>
  </si>
  <si>
    <t>P134</t>
  </si>
  <si>
    <t>AccountsPayableCurrent=8497mm</t>
  </si>
  <si>
    <t>Q134</t>
  </si>
  <si>
    <t>AccountsPayableCurrent=8347mm</t>
  </si>
  <si>
    <t>R134</t>
  </si>
  <si>
    <t>AccountsPayableCurrent=10546mm</t>
  </si>
  <si>
    <t>S134</t>
  </si>
  <si>
    <t>AccountsPayableCurrent=12200mm</t>
  </si>
  <si>
    <t>U134</t>
  </si>
  <si>
    <t>AccountsPayableCurrent=16852mm</t>
  </si>
  <si>
    <t>F135</t>
  </si>
  <si>
    <t>LiabilitiesCurrent=68854mm; AccountsPayableCurrent=4184mm; ContractWithCustomerLiabilityCurrent=3715mm; LongTermDebtCurrent=999mm</t>
  </si>
  <si>
    <t>Liabilities, Current; Accounts Payable, Current; Contract with Customer, Liability, Current; Long-term Debt, Current Maturities</t>
  </si>
  <si>
    <t xml:space="preserve">Accrued Liabilities includes:
- Liabilities, Current
- Accounts Payable, Current
- Contract with Customer, Liability, Current
- Long-term Debt, Current Maturities</t>
  </si>
  <si>
    <t>G135</t>
  </si>
  <si>
    <t>LiabilitiesCurrent=77709mm; AccountsPayableCurrent=5313mm; ContractWithCustomerLiabilityCurrent=3846mm; LongTermDebtCurrent=999mm</t>
  </si>
  <si>
    <t>H135</t>
  </si>
  <si>
    <t>LiabilitiesCurrent=86295mm; AccountsPayableCurrent=5803mm; ContractWithCustomerLiabilityCurrent=4303mm; LongTermDebtCurrent=1000mm</t>
  </si>
  <si>
    <t>I135</t>
  </si>
  <si>
    <t>LiabilitiesCurrent=81814mm; AccountsPayableCurrent=7493mm; ContractWithCustomerLiabilityCurrent=4137mm; LongTermDebtCurrent=1000mm</t>
  </si>
  <si>
    <t>K135</t>
  </si>
  <si>
    <t>LiabilitiesCurrent=76997mm; AccountsPayableCurrent=6198mm; ContractWithCustomerLiabilityCurrent=3973mm; LongTermDebtCurrent=0mm</t>
  </si>
  <si>
    <t xml:space="preserve">Accrued Liabilities includes:
- Liabilities, Current
- Accounts Payable, Current
- Contract with Customer, Liability, Current</t>
  </si>
  <si>
    <t>L135</t>
  </si>
  <si>
    <t>LiabilitiesCurrent=77913mm; AccountsPayableCurrent=6092mm; ContractWithCustomerLiabilityCurrent=4251mm; LongTermDebtCurrent=0mm</t>
  </si>
  <si>
    <t>M135</t>
  </si>
  <si>
    <t>LiabilitiesCurrent=80803mm; AccountsPayableCurrent=7049mm; ContractWithCustomerLiabilityCurrent=4896mm; LongTermDebtCurrent=999mm</t>
  </si>
  <si>
    <t>N135</t>
  </si>
  <si>
    <t>LiabilitiesCurrent=89122mm; AccountsPayableCurrent=7987mm; ContractWithCustomerLiabilityCurrent=5036mm; LongTermDebtCurrent=999mm</t>
  </si>
  <si>
    <t>P135</t>
  </si>
  <si>
    <t>LiabilitiesCurrent=91654mm; AccountsPayableCurrent=8497mm; ContractWithCustomerLiabilityCurrent=4908mm; LongTermDebtCurrent=1000mm</t>
  </si>
  <si>
    <t>Q135</t>
  </si>
  <si>
    <t>LiabilitiesCurrent=87310mm; AccountsPayableCurrent=8347mm; ContractWithCustomerLiabilityCurrent=4969mm; LongTermDebtCurrent=1000mm</t>
  </si>
  <si>
    <t>R135</t>
  </si>
  <si>
    <t>LiabilitiesCurrent=99550mm; AccountsPayableCurrent=10546mm; ContractWithCustomerLiabilityCurrent=5542mm; LongTermDebtCurrent=1995mm</t>
  </si>
  <si>
    <t>S135</t>
  </si>
  <si>
    <t>LiabilitiesCurrent=102745mm; AccountsPayableCurrent=12200mm; ContractWithCustomerLiabilityCurrent=6578mm; LongTermDebtCurrent=1996mm</t>
  </si>
  <si>
    <t>U135</t>
  </si>
  <si>
    <t>LiabilitiesCurrent=111188mm; AccountsPayableCurrent=16852mm; ContractWithCustomerLiabilityCurrent=7162mm; LongTermDebtCurrent=1998mm</t>
  </si>
  <si>
    <t>F136</t>
  </si>
  <si>
    <t>ContractWithCustomerLiabilityCurrent=3715mm</t>
  </si>
  <si>
    <t>Contract with Customer, Liability, Current</t>
  </si>
  <si>
    <t xml:space="preserve">Other Current Liabilities maps directly to:
- Contract with Customer, Liability, Current</t>
  </si>
  <si>
    <t>G136</t>
  </si>
  <si>
    <t>ContractWithCustomerLiabilityCurrent=3846mm</t>
  </si>
  <si>
    <t>H136</t>
  </si>
  <si>
    <t>ContractWithCustomerLiabilityCurrent=4303mm</t>
  </si>
  <si>
    <t>I136</t>
  </si>
  <si>
    <t>ContractWithCustomerLiabilityCurrent=4137mm</t>
  </si>
  <si>
    <t>K136</t>
  </si>
  <si>
    <t>ContractWithCustomerLiabilityCurrent=3973mm</t>
  </si>
  <si>
    <t>L136</t>
  </si>
  <si>
    <t>ContractWithCustomerLiabilityCurrent=4251mm</t>
  </si>
  <si>
    <t>M136</t>
  </si>
  <si>
    <t>ContractWithCustomerLiabilityCurrent=4896mm</t>
  </si>
  <si>
    <t>N136</t>
  </si>
  <si>
    <t>ContractWithCustomerLiabilityCurrent=5036mm</t>
  </si>
  <si>
    <t>P136</t>
  </si>
  <si>
    <t>ContractWithCustomerLiabilityCurrent=4908mm</t>
  </si>
  <si>
    <t>Q136</t>
  </si>
  <si>
    <t>ContractWithCustomerLiabilityCurrent=4969mm</t>
  </si>
  <si>
    <t>R136</t>
  </si>
  <si>
    <t>ContractWithCustomerLiabilityCurrent=5542mm</t>
  </si>
  <si>
    <t>S136</t>
  </si>
  <si>
    <t>ContractWithCustomerLiabilityCurrent=6578mm</t>
  </si>
  <si>
    <t>U136</t>
  </si>
  <si>
    <t>ContractWithCustomerLiabilityCurrent=7162mm</t>
  </si>
  <si>
    <t>F140</t>
  </si>
  <si>
    <t>LongTermDebtAndCapitalLeaseObligationsIncludingCurrentMaturities=15208mm</t>
  </si>
  <si>
    <t>Long-term Debt and Lease Obligation, Including Current Maturities</t>
  </si>
  <si>
    <t xml:space="preserve">LT Debt (Incl. Current Portion) maps directly to:
- Long-term Debt and Lease Obligation, Including Current Maturities</t>
  </si>
  <si>
    <t>G140</t>
  </si>
  <si>
    <t>LongTermDebtAndCapitalLeaseObligationsIncludingCurrentMaturities=15159mm</t>
  </si>
  <si>
    <t>H140</t>
  </si>
  <si>
    <t>LongTermDebtAndCapitalLeaseObligationsIncludingCurrentMaturities=15314mm</t>
  </si>
  <si>
    <t>I140</t>
  </si>
  <si>
    <t>LongTermDebtAndCapitalLeaseObligationsIncludingCurrentMaturities=14746mm</t>
  </si>
  <si>
    <t>K140</t>
  </si>
  <si>
    <t>LongTermDebtAndCapitalLeaseObligationsIncludingCurrentMaturities=13672mm</t>
  </si>
  <si>
    <t>L140</t>
  </si>
  <si>
    <t>LongTermDebtAndCapitalLeaseObligationsIncludingCurrentMaturities=14280mm</t>
  </si>
  <si>
    <t>M140</t>
  </si>
  <si>
    <t>LongTermDebtAndCapitalLeaseObligationsIncludingCurrentMaturities=14785mm</t>
  </si>
  <si>
    <t>N140</t>
  </si>
  <si>
    <t>LongTermDebtNoncurrent=10883mm; LongTermDebtCurrent=999mm</t>
  </si>
  <si>
    <t>Long-term Debt, Excluding Current Maturities; Long-term Debt, Current Maturities</t>
  </si>
  <si>
    <t xml:space="preserve">LT Debt (Incl. Current Portion) includes:
- Long-term Debt, Excluding Current Maturities
- Long-term Debt, Current Maturities</t>
  </si>
  <si>
    <t>P140</t>
  </si>
  <si>
    <t>LongTermDebtNoncurrent=10886mm; LongTermDebtCurrent=1000mm</t>
  </si>
  <si>
    <t>Q140</t>
  </si>
  <si>
    <t>LongTermDebtNoncurrent=23607mm; LongTermDebtCurrent=1000mm</t>
  </si>
  <si>
    <t>R140</t>
  </si>
  <si>
    <t>LongTermDebtNoncurrent=21607mm; LongTermDebtCurrent=1995mm</t>
  </si>
  <si>
    <t>S140</t>
  </si>
  <si>
    <t>LongTermDebtNoncurrent=46547mm; LongTermDebtCurrent=1996mm</t>
  </si>
  <si>
    <t>U140</t>
  </si>
  <si>
    <t>LongTermDebtNoncurrent=77501mm; LongTermDebtCurrent=1998mm</t>
  </si>
  <si>
    <t>F141</t>
  </si>
  <si>
    <t>DeferredIncomeTaxLiabilitiesNet=542mm</t>
  </si>
  <si>
    <t>Deferred Income Tax Liabilities, Net</t>
  </si>
  <si>
    <t xml:space="preserve">Deferred Income Taxes maps directly to:
- Deferred Income Tax Liabilities, Net</t>
  </si>
  <si>
    <t>G141</t>
  </si>
  <si>
    <t>DeferredIncomeTaxLiabilitiesNet=558mm</t>
  </si>
  <si>
    <t>H141</t>
  </si>
  <si>
    <t>DeferredIncomeTaxLiabilitiesNet=528mm</t>
  </si>
  <si>
    <t>I141</t>
  </si>
  <si>
    <t>DeferredIncomeTaxLiabilitiesNet=485mm</t>
  </si>
  <si>
    <t>K141</t>
  </si>
  <si>
    <t>DeferredIncomeTaxLiabilitiesNet=486mm</t>
  </si>
  <si>
    <t>L141</t>
  </si>
  <si>
    <t>DeferredIncomeTaxLiabilitiesNet=717mm</t>
  </si>
  <si>
    <t>M141</t>
  </si>
  <si>
    <t>DeferredIncomeTaxLiabilitiesNet=706mm</t>
  </si>
  <si>
    <t>N141</t>
  </si>
  <si>
    <t>DeferredIncomeTaxLiabilitiesNet=0mm</t>
  </si>
  <si>
    <t>DeferredIncomeTaxLiabilitiesNet</t>
  </si>
  <si>
    <t>P141</t>
  </si>
  <si>
    <t>Q141</t>
  </si>
  <si>
    <t>R141</t>
  </si>
  <si>
    <t>S141</t>
  </si>
  <si>
    <t>U141</t>
  </si>
  <si>
    <t>F142</t>
  </si>
  <si>
    <t>Liabilities=108597mm; LiabilitiesCurrent=68854mm; LongTermDebtCurrent=999mm; LongTermDebtAndCapitalLeaseObligationsIncludingCurrentMaturities=15208mm; DeferredIncomeTaxLiabilitiesNet=542mm; OperatingLeaseLiabilityNoncurrent=0mm; PensionAndOtherPostretirementDefinedBenefitPlansLiabilityNoncurrent=0mm</t>
  </si>
  <si>
    <t>Liabilities; Liabilities, Current; Long-term Debt, Current Maturities; Long-term Debt and Lease Obligation, Including Current Maturities; Deferred Income Tax Liabilities, Net; OperatingLeaseLiabilityNoncurrent; PensionAndOtherPostretirementDefinedBenefitPlansLiabilityNoncurrent</t>
  </si>
  <si>
    <t>Classification mismatch: Liabilities was identified as total liabilities, but Other Non-Current Liabilities expects current liabilities. Classification: LiabilitiesCurrent identified as current liabilities. Classification: LongTermDebtCurrent identified as current liabilities. Classification mismatch: LongTermDebtAndCapitalLeaseObligationsIncludingCurrentMaturities was identified as non current liabilities, but Other Non-Current Liabilities expects current liabilities. Classification mismatch: DeferredIncomeTaxLiabilitiesNet was identified as income tax, but Other Non-Current Liabilities expects current liabilities.</t>
  </si>
  <si>
    <t>blocked: Classification mismatch: Liabilities was identified as total liabilities, but Other Non-Current Liabilities expects current liabilities. Classification: LiabilitiesCurrent identified as current liabilities. Classification: LongTermDebtCurrent identified as current liabilities. Classification mismatch: LongTermDebtAndCapitalLeaseObligationsIncludingCurrentMaturities was identified as non current liabilities, but Other Non-Current Liabilities expects current liabilities. Classification mi</t>
  </si>
  <si>
    <t xml:space="preserve">Other Non-Current Liabilities includes:
- Liabilities, Current
- Long-term Debt, Current Maturities
- Long-term Debt and Lease Obligation, Including Current Maturities
- Deferred Income Tax Liabilities, Net</t>
  </si>
  <si>
    <t>G142</t>
  </si>
  <si>
    <t>Liabilities=115903mm; LiabilitiesCurrent=77709mm; LongTermDebtCurrent=999mm; LongTermDebtAndCapitalLeaseObligationsIncludingCurrentMaturities=15159mm; DeferredIncomeTaxLiabilitiesNet=558mm; OperatingLeaseLiabilityNoncurrent=0mm; PensionAndOtherPostretirementDefinedBenefitPlansLiabilityNoncurrent=0mm</t>
  </si>
  <si>
    <t>H142</t>
  </si>
  <si>
    <t>Liabilities=123509mm; LiabilitiesCurrent=86295mm; LongTermDebtCurrent=1000mm; LongTermDebtAndCapitalLeaseObligationsIncludingCurrentMaturities=15314mm; DeferredIncomeTaxLiabilitiesNet=528mm; OperatingLeaseLiabilityNoncurrent=0mm; PensionAndOtherPostretirementDefinedBenefitPlansLiabilityNoncurrent=0mm</t>
  </si>
  <si>
    <t>I142</t>
  </si>
  <si>
    <t>Liabilities=119013mm; LiabilitiesCurrent=81814mm; LongTermDebtCurrent=1000mm; LongTermDebtAndCapitalLeaseObligationsIncludingCurrentMaturities=14746mm; DeferredIncomeTaxLiabilitiesNet=485mm; OperatingLeaseLiabilityNoncurrent=0mm; PensionAndOtherPostretirementDefinedBenefitPlansLiabilityNoncurrent=0mm</t>
  </si>
  <si>
    <t>K142</t>
  </si>
  <si>
    <t>Liabilities=114506mm; LiabilitiesCurrent=76997mm; LongTermDebtCurrent=0mm; LongTermDebtAndCapitalLeaseObligationsIncludingCurrentMaturities=13672mm; DeferredIncomeTaxLiabilitiesNet=486mm; OperatingLeaseLiabilityNoncurrent=0mm; PensionAndOtherPostretirementDefinedBenefitPlansLiabilityNoncurrent=0mm</t>
  </si>
  <si>
    <t xml:space="preserve">Other Non-Current Liabilities includes:
- Liabilities, Current
- Long-term Debt and Lease Obligation, Including Current Maturities
- Deferred Income Tax Liabilities, Net</t>
  </si>
  <si>
    <t>L142</t>
  </si>
  <si>
    <t>Liabilities=114017mm; LiabilitiesCurrent=77913mm; LongTermDebtCurrent=0mm; LongTermDebtAndCapitalLeaseObligationsIncludingCurrentMaturities=14280mm; DeferredIncomeTaxLiabilitiesNet=717mm; OperatingLeaseLiabilityNoncurrent=0mm; PensionAndOtherPostretirementDefinedBenefitPlansLiabilityNoncurrent=0mm</t>
  </si>
  <si>
    <t>M142</t>
  </si>
  <si>
    <t>Liabilities=116147mm; LiabilitiesCurrent=80803mm; LongTermDebtCurrent=999mm; LongTermDebtAndCapitalLeaseObligationsIncludingCurrentMaturities=14785mm; DeferredIncomeTaxLiabilitiesNet=706mm; OperatingLeaseLiabilityNoncurrent=0mm; PensionAndOtherPostretirementDefinedBenefitPlansLiabilityNoncurrent=0mm</t>
  </si>
  <si>
    <t>N142</t>
  </si>
  <si>
    <t>Liabilities=125172mm; LiabilitiesCurrent=89122mm; LongTermDebtCurrent=999mm; LongTermDebtNoncurrent=10883mm; LongTermDebtCurrent=999mm; DeferredIncomeTaxLiabilitiesNet=0mm; OperatingLeaseLiabilityNoncurrent=0mm; PensionAndOtherPostretirementDefinedBenefitPlansLiabilityNoncurrent=0mm</t>
  </si>
  <si>
    <t>Liabilities; Liabilities, Current; Long-term Debt, Current Maturities; Long-term Debt, Excluding Current Maturities; DeferredIncomeTaxLiabilitiesNet; OperatingLeaseLiabilityNoncurrent; PensionAndOtherPostretirementDefinedBenefitPlansLiabilityNoncurrent</t>
  </si>
  <si>
    <t>Classification mismatch: Liabilities was identified as total liabilities, but Other Non-Current Liabilities expects current liabilities. Classification: LiabilitiesCurrent identified as current liabilities. Classification: LongTermDebtCurrent identified as current liabilities. Classification mismatch: LongTermDebtNoncurrent was identified as non current liabilities, but Other Non-Current Liabilities expects current liabilities.</t>
  </si>
  <si>
    <t>blocked: Classification mismatch: Liabilities was identified as total liabilities, but Other Non-Current Liabilities expects current liabilities. Classification: LiabilitiesCurrent identified as current liabilities. Classification: LongTermDebtCurrent identified as current liabilities. Classification mismatch: LongTermDebtNoncurrent was identified as non current liabilities, but Other Non-Current Liabilities expects current liabilities.</t>
  </si>
  <si>
    <t xml:space="preserve">Other Non-Current Liabilities includes:
- Liabilities, Current
- Long-term Debt, Current Maturities
- Long-term Debt, Excluding Current Maturities</t>
  </si>
  <si>
    <t>P142</t>
  </si>
  <si>
    <t>Liabilities=130107mm; LiabilitiesCurrent=91654mm; LongTermDebtCurrent=1000mm; LongTermDebtNoncurrent=10886mm; LongTermDebtCurrent=1000mm; DeferredIncomeTaxLiabilitiesNet=0mm; OperatingLeaseLiabilityNoncurrent=0mm; PensionAndOtherPostretirementDefinedBenefitPlansLiabilityNoncurrent=0mm</t>
  </si>
  <si>
    <t>Q142</t>
  </si>
  <si>
    <t>Liabilities=139137mm; LiabilitiesCurrent=87310mm; LongTermDebtCurrent=1000mm; LongTermDebtNoncurrent=23607mm; LongTermDebtCurrent=1000mm; DeferredIncomeTaxLiabilitiesNet=0mm; OperatingLeaseLiabilityNoncurrent=0mm; PensionAndOtherPostretirementDefinedBenefitPlansLiabilityNoncurrent=0mm</t>
  </si>
  <si>
    <t>R142</t>
  </si>
  <si>
    <t>Liabilities=149602mm; LiabilitiesCurrent=99550mm; LongTermDebtCurrent=1995mm; LongTermDebtNoncurrent=21607mm; LongTermDebtCurrent=1995mm; DeferredIncomeTaxLiabilitiesNet=0mm; OperatingLeaseLiabilityNoncurrent=0mm; PensionAndOtherPostretirementDefinedBenefitPlansLiabilityNoncurrent=0mm</t>
  </si>
  <si>
    <t>S142</t>
  </si>
  <si>
    <t>Liabilities=180016mm; LiabilitiesCurrent=102745mm; LongTermDebtCurrent=1996mm; LongTermDebtNoncurrent=46547mm; LongTermDebtCurrent=1996mm; DeferredIncomeTaxLiabilitiesNet=0mm; OperatingLeaseLiabilityNoncurrent=0mm; PensionAndOtherPostretirementDefinedBenefitPlansLiabilityNoncurrent=0mm</t>
  </si>
  <si>
    <t>U142</t>
  </si>
  <si>
    <t>Liabilities=225173mm; LiabilitiesCurrent=111188mm; LongTermDebtCurrent=1998mm; LongTermDebtNoncurrent=77501mm; LongTermDebtCurrent=1998mm; DeferredIncomeTaxLiabilitiesNet=0mm; OperatingLeaseLiabilityNoncurrent=0mm; PensionAndOtherPostretirementDefinedBenefitPlansLiabilityNoncurrent=0mm</t>
  </si>
  <si>
    <t>F147</t>
  </si>
  <si>
    <t>CommonStockValue=0mm; CommonStocksIncludingAdditionalPaidInCapital=70269mm</t>
  </si>
  <si>
    <t>CommonStockValue; Common Stocks, Including Additional Paid in Capital</t>
  </si>
  <si>
    <t xml:space="preserve">Common Stock &amp; APIC maps directly to:
- Common Stocks, Including Additional Paid in Capital</t>
  </si>
  <si>
    <t>G147</t>
  </si>
  <si>
    <t>CommonStockValue=0mm; CommonStocksIncludingAdditionalPaidInCapital=72248mm</t>
  </si>
  <si>
    <t>H147</t>
  </si>
  <si>
    <t>CommonStockValue=0mm; CommonStocksIncludingAdditionalPaidInCapital=74591mm</t>
  </si>
  <si>
    <t>I147</t>
  </si>
  <si>
    <t>CommonStockValue=0mm; CommonStocksIncludingAdditionalPaidInCapital=76534mm</t>
  </si>
  <si>
    <t>K147</t>
  </si>
  <si>
    <t>CommonStockValue=0mm; CommonStocksIncludingAdditionalPaidInCapital=77913mm</t>
  </si>
  <si>
    <t>L147</t>
  </si>
  <si>
    <t>CommonStockValue=0mm; CommonStocksIncludingAdditionalPaidInCapital=79732mm</t>
  </si>
  <si>
    <t>M147</t>
  </si>
  <si>
    <t>CommonStockValue=0mm; CommonStocksIncludingAdditionalPaidInCapital=82030mm</t>
  </si>
  <si>
    <t>N147</t>
  </si>
  <si>
    <t>CommonStockValue=0mm; CommonStocksIncludingAdditionalPaidInCapital=84800mm</t>
  </si>
  <si>
    <t>P147</t>
  </si>
  <si>
    <t>CommonStockValue=0mm; CommonStocksIncludingAdditionalPaidInCapital=86725mm</t>
  </si>
  <si>
    <t>Q147</t>
  </si>
  <si>
    <t>CommonStockValue=0mm; CommonStocksIncludingAdditionalPaidInCapital=89283mm</t>
  </si>
  <si>
    <t>R147</t>
  </si>
  <si>
    <t>CommonStockValue=0mm; CommonStocksIncludingAdditionalPaidInCapital=91695mm</t>
  </si>
  <si>
    <t>S147</t>
  </si>
  <si>
    <t>CommonStockValue=0mm; CommonStocksIncludingAdditionalPaidInCapital=93126mm</t>
  </si>
  <si>
    <t>U147</t>
  </si>
  <si>
    <t>CommonStockValue=0mm; CommonStocksIncludingAdditionalPaidInCapital=96902mm</t>
  </si>
  <si>
    <t>F148</t>
  </si>
  <si>
    <t>RetainedEarningsAccumulatedDeficit=196625mm</t>
  </si>
  <si>
    <t>Retained Earnings (Accumulated Deficit)</t>
  </si>
  <si>
    <t xml:space="preserve">Retained Earnings maps directly to:
- Retained Earnings (Accumulated Deficit)</t>
  </si>
  <si>
    <t>G148</t>
  </si>
  <si>
    <t>RetainedEarningsAccumulatedDeficit=200884mm</t>
  </si>
  <si>
    <t>H148</t>
  </si>
  <si>
    <t>RetainedEarningsAccumulatedDeficit=205647mm</t>
  </si>
  <si>
    <t>I148</t>
  </si>
  <si>
    <t>RetainedEarningsAccumulatedDeficit=211247mm</t>
  </si>
  <si>
    <t>K148</t>
  </si>
  <si>
    <t>RetainedEarningsAccumulatedDeficit=219770mm</t>
  </si>
  <si>
    <t>L148</t>
  </si>
  <si>
    <t>RetainedEarningsAccumulatedDeficit=226033mm</t>
  </si>
  <si>
    <t>M148</t>
  </si>
  <si>
    <t>RetainedEarningsAccumulatedDeficit=235317mm</t>
  </si>
  <si>
    <t>N148</t>
  </si>
  <si>
    <t>RetainedEarningsAccumulatedDeficit=245084mm</t>
  </si>
  <si>
    <t>P148</t>
  </si>
  <si>
    <t>RetainedEarningsAccumulatedDeficit=262628mm</t>
  </si>
  <si>
    <t>Q148</t>
  </si>
  <si>
    <t>RetainedEarningsAccumulatedDeficit=275760mm</t>
  </si>
  <si>
    <t>R148</t>
  </si>
  <si>
    <t>RetainedEarningsAccumulatedDeficit=297226mm</t>
  </si>
  <si>
    <t>S148</t>
  </si>
  <si>
    <t>RetainedEarningsAccumulatedDeficit=324055mm</t>
  </si>
  <si>
    <t>U148</t>
  </si>
  <si>
    <t>RetainedEarningsAccumulatedDeficit=384024mm</t>
  </si>
  <si>
    <t>F149</t>
  </si>
  <si>
    <t>TreasuryStockValue=0mm</t>
  </si>
  <si>
    <t>TreasuryStockValue</t>
  </si>
  <si>
    <t>G149</t>
  </si>
  <si>
    <t>H149</t>
  </si>
  <si>
    <t>I149</t>
  </si>
  <si>
    <t>K149</t>
  </si>
  <si>
    <t>L149</t>
  </si>
  <si>
    <t>M149</t>
  </si>
  <si>
    <t>N149</t>
  </si>
  <si>
    <t>P149</t>
  </si>
  <si>
    <t>Q149</t>
  </si>
  <si>
    <t>R149</t>
  </si>
  <si>
    <t>S149</t>
  </si>
  <si>
    <t>U149</t>
  </si>
  <si>
    <t>F150</t>
  </si>
  <si>
    <t>AccumulatedOtherComprehensiveIncomeLossNetOfTax=-6000mm</t>
  </si>
  <si>
    <t>Accumulated Other Comprehensive Income (Loss), Net of Tax</t>
  </si>
  <si>
    <t xml:space="preserve">Accumulated Other Comprehensive Income (AOCI) maps directly to:
- Accumulated Other Comprehensive Income (Loss), Net of Tax</t>
  </si>
  <si>
    <t>G150</t>
  </si>
  <si>
    <t>AccumulatedOtherComprehensiveIncomeLossNetOfTax=-5991mm</t>
  </si>
  <si>
    <t>H150</t>
  </si>
  <si>
    <t>AccumulatedOtherComprehensiveIncomeLossNetOfTax=-7036mm</t>
  </si>
  <si>
    <t>I150</t>
  </si>
  <si>
    <t>AccumulatedOtherComprehensiveIncomeLossNetOfTax=-4402mm</t>
  </si>
  <si>
    <t>K150</t>
  </si>
  <si>
    <t>AccumulatedOtherComprehensiveIncomeLossNetOfTax=-4839mm</t>
  </si>
  <si>
    <t>L150</t>
  </si>
  <si>
    <t>AccumulatedOtherComprehensiveIncomeLossNetOfTax=-5012mm</t>
  </si>
  <si>
    <t>M150</t>
  </si>
  <si>
    <t>AccumulatedOtherComprehensiveIncomeLossNetOfTax=-3228mm</t>
  </si>
  <si>
    <t>N150</t>
  </si>
  <si>
    <t>AccumulatedOtherComprehensiveIncomeLossNetOfTax=-4800mm</t>
  </si>
  <si>
    <t>P150</t>
  </si>
  <si>
    <t>AccumulatedOtherComprehensiveIncomeLossNetOfTax=-4086mm</t>
  </si>
  <si>
    <t>Q150</t>
  </si>
  <si>
    <t>AccumulatedOtherComprehensiveIncomeLossNetOfTax=-2127mm</t>
  </si>
  <si>
    <t>R150</t>
  </si>
  <si>
    <t>AccumulatedOtherComprehensiveIncomeLossNetOfTax=-2054mm</t>
  </si>
  <si>
    <t>S150</t>
  </si>
  <si>
    <t>AccumulatedOtherComprehensiveIncomeLossNetOfTax=-1916mm</t>
  </si>
  <si>
    <t>U150</t>
  </si>
  <si>
    <t>AccumulatedOtherComprehensiveIncomeLossNetOfTax=-2180mm</t>
  </si>
  <si>
    <t>F209</t>
  </si>
  <si>
    <t>AmortizationAndImpairmentOfIntangibleAssets=126mm</t>
  </si>
  <si>
    <t>AmortizationAndImpairmentOfIntangibleAssets</t>
  </si>
  <si>
    <t>https://www.sec.gov/Archives/edgar/data/1652044/000165204423000045/goog-20230331.htm</t>
  </si>
  <si>
    <t>F246</t>
  </si>
  <si>
    <t>ShareBasedCompensation=5284mm</t>
  </si>
  <si>
    <t>Share-based Payment Arrangement, Noncash Expense</t>
  </si>
  <si>
    <t>support</t>
  </si>
  <si>
    <t>Unit mismatch: ShareBasedCompensation is reported in USD, expected shares.</t>
  </si>
  <si>
    <t>blocked: Unit mismatch: ShareBasedCompensation is reported in USD, expected shares.</t>
  </si>
  <si>
    <t xml:space="preserve">Stock-Based Comp Expense maps directly to:
- Share-based Payment Arrangement, Noncash Expense</t>
  </si>
  <si>
    <t>G246</t>
  </si>
  <si>
    <t>ShareBasedCompensation=5774mm</t>
  </si>
  <si>
    <t>Share-based Payment Arrangement, Noncash Expense (derived Q2)</t>
  </si>
  <si>
    <t>H246</t>
  </si>
  <si>
    <t>ShareBasedCompensation=5743mm</t>
  </si>
  <si>
    <t>Share-based Payment Arrangement, Noncash Expense (derived Q3)</t>
  </si>
  <si>
    <t>I246</t>
  </si>
  <si>
    <t>ShareBasedCompensation=5659mm</t>
  </si>
  <si>
    <t>Share-based Payment Arrangement, Noncash Expense (derived Q4)</t>
  </si>
  <si>
    <t>K246</t>
  </si>
  <si>
    <t>ShareBasedCompensation=5264mm</t>
  </si>
  <si>
    <t>L246</t>
  </si>
  <si>
    <t>ShareBasedCompensation=5865mm</t>
  </si>
  <si>
    <t>M246</t>
  </si>
  <si>
    <t>ShareBasedCompensation=5846mm</t>
  </si>
  <si>
    <t>N246</t>
  </si>
  <si>
    <t>ShareBasedCompensation=5810mm</t>
  </si>
  <si>
    <t>P246</t>
  </si>
  <si>
    <t>ShareBasedCompensation=5516mm</t>
  </si>
  <si>
    <t>Q246</t>
  </si>
  <si>
    <t>ShareBasedCompensation=5998mm</t>
  </si>
  <si>
    <t>R246</t>
  </si>
  <si>
    <t>ShareBasedCompensation=6368mm</t>
  </si>
  <si>
    <t>S246</t>
  </si>
  <si>
    <t>ShareBasedCompensation=7071mm</t>
  </si>
  <si>
    <t>U246</t>
  </si>
  <si>
    <t>ShareBasedCompensation=6751mm</t>
  </si>
  <si>
    <t>F252</t>
  </si>
  <si>
    <t>existing formula cell</t>
  </si>
  <si>
    <t>formula_preserved</t>
  </si>
  <si>
    <t>G252</t>
  </si>
  <si>
    <t>H252</t>
  </si>
  <si>
    <t>I252</t>
  </si>
  <si>
    <t>K252</t>
  </si>
  <si>
    <t>L252</t>
  </si>
  <si>
    <t>M252</t>
  </si>
  <si>
    <t>N252</t>
  </si>
  <si>
    <t>P252</t>
  </si>
  <si>
    <t>Q252</t>
  </si>
  <si>
    <t>R252</t>
  </si>
  <si>
    <t>S252</t>
  </si>
  <si>
    <t>U252</t>
  </si>
  <si>
    <t>H254</t>
  </si>
  <si>
    <t>PaymentsOfDividends=0mm</t>
  </si>
  <si>
    <t>Payments of Dividends (derived Q3)</t>
  </si>
  <si>
    <t>inverted to match model sign convention</t>
  </si>
  <si>
    <t>I254</t>
  </si>
  <si>
    <t>Payments of Dividends (derived Q4)</t>
  </si>
  <si>
    <t>K254</t>
  </si>
  <si>
    <t>Payments of Dividends</t>
  </si>
  <si>
    <t>L254</t>
  </si>
  <si>
    <t>PaymentsOfDividends=2466mm</t>
  </si>
  <si>
    <t>Payments of Dividends (derived Q2)</t>
  </si>
  <si>
    <t>M254</t>
  </si>
  <si>
    <t>PaymentsOfDividends=2455mm</t>
  </si>
  <si>
    <t>N254</t>
  </si>
  <si>
    <t>PaymentsOfDividends=2442mm</t>
  </si>
  <si>
    <t>P254</t>
  </si>
  <si>
    <t>PaymentsOfDividends=2434mm</t>
  </si>
  <si>
    <t xml:space="preserve">Dividends maps directly to:
- Payments of Dividends</t>
  </si>
  <si>
    <t>Q254</t>
  </si>
  <si>
    <t>PaymentsOfDividends=2543mm</t>
  </si>
  <si>
    <t>R254</t>
  </si>
  <si>
    <t>PaymentsOfDividends=2536mm</t>
  </si>
  <si>
    <t>S254</t>
  </si>
  <si>
    <t>U254</t>
  </si>
  <si>
    <t>PaymentsOfDividends=2542mm</t>
  </si>
  <si>
    <t>F259</t>
  </si>
  <si>
    <t>G259</t>
  </si>
  <si>
    <t>H259</t>
  </si>
  <si>
    <t>I259</t>
  </si>
  <si>
    <t>K259</t>
  </si>
  <si>
    <t>L259</t>
  </si>
  <si>
    <t>M259</t>
  </si>
  <si>
    <t>N259</t>
  </si>
  <si>
    <t>P259</t>
  </si>
  <si>
    <t>Q259</t>
  </si>
  <si>
    <t>R259</t>
  </si>
  <si>
    <t>S259</t>
  </si>
  <si>
    <t>U259</t>
  </si>
  <si>
    <t>F302</t>
  </si>
  <si>
    <t>G302</t>
  </si>
  <si>
    <t>H302</t>
  </si>
  <si>
    <t>I302</t>
  </si>
  <si>
    <t>K302</t>
  </si>
  <si>
    <t>L302</t>
  </si>
  <si>
    <t>M302</t>
  </si>
  <si>
    <t>N302</t>
  </si>
  <si>
    <t>P302</t>
  </si>
  <si>
    <t>Q302</t>
  </si>
  <si>
    <t>R302</t>
  </si>
  <si>
    <t>S302</t>
  </si>
  <si>
    <t>U302</t>
  </si>
  <si>
    <t>F307</t>
  </si>
  <si>
    <t>G307</t>
  </si>
  <si>
    <t>H307</t>
  </si>
  <si>
    <t>I307</t>
  </si>
  <si>
    <t>K307</t>
  </si>
  <si>
    <t>L307</t>
  </si>
  <si>
    <t>M307</t>
  </si>
  <si>
    <t>N307</t>
  </si>
  <si>
    <t>P307</t>
  </si>
  <si>
    <t>Q307</t>
  </si>
  <si>
    <t>R307</t>
  </si>
  <si>
    <t>S307</t>
  </si>
  <si>
    <t>U307</t>
  </si>
  <si>
    <t>F8</t>
  </si>
  <si>
    <t>Home Improvement Retail Revenue</t>
  </si>
  <si>
    <t>segment</t>
  </si>
  <si>
    <t>needs_review</t>
  </si>
  <si>
    <t>Needs review: Segment Analysis row was not filled because the template label is blank, generic, or does not confidently match an EDGAR reportable segment.</t>
  </si>
  <si>
    <t>G8</t>
  </si>
  <si>
    <t>H8</t>
  </si>
  <si>
    <t>I8</t>
  </si>
  <si>
    <t>J8</t>
  </si>
  <si>
    <t>FY23</t>
  </si>
  <si>
    <t>K8</t>
  </si>
  <si>
    <t>L8</t>
  </si>
  <si>
    <t>M8</t>
  </si>
  <si>
    <t>N8</t>
  </si>
  <si>
    <t>O8</t>
  </si>
  <si>
    <t>FY24</t>
  </si>
  <si>
    <t>P8</t>
  </si>
  <si>
    <t>Q8</t>
  </si>
  <si>
    <t>R8</t>
  </si>
  <si>
    <t>S8</t>
  </si>
  <si>
    <t>T8</t>
  </si>
  <si>
    <t>FY25</t>
  </si>
  <si>
    <t>U8</t>
  </si>
  <si>
    <t>V8</t>
  </si>
  <si>
    <t>2Q26</t>
  </si>
  <si>
    <t>Google Services</t>
  </si>
  <si>
    <t>Google Services Operating Income=21737mm</t>
  </si>
  <si>
    <t>not_run</t>
  </si>
  <si>
    <t xml:space="preserve">Google Services maps directly to:
- Google Services Operating Income</t>
  </si>
  <si>
    <t>Google Services Operating Income=23454mm</t>
  </si>
  <si>
    <t>Google Services Operating Income=23937mm</t>
  </si>
  <si>
    <t>Google Services Operating Income=26730mm</t>
  </si>
  <si>
    <t>Google Services Operating Income=27897mm</t>
  </si>
  <si>
    <t>Google Services Operating Income=29674mm</t>
  </si>
  <si>
    <t>Google Services Operating Income=30856mm</t>
  </si>
  <si>
    <t>Google Services Operating Income=32836mm</t>
  </si>
  <si>
    <t>Google Services Operating Income=32682mm</t>
  </si>
  <si>
    <t>Google Services Operating Income=33063mm</t>
  </si>
  <si>
    <t>Google Services Operating Income=33527mm</t>
  </si>
  <si>
    <t>Google Services Operating Income=40132mm</t>
  </si>
  <si>
    <t>Google Services Operating Income=40589mm</t>
  </si>
  <si>
    <t>F52</t>
  </si>
  <si>
    <t>Home Improvement Retail D&amp;A</t>
  </si>
  <si>
    <t>G52</t>
  </si>
  <si>
    <t>H52</t>
  </si>
  <si>
    <t>I52</t>
  </si>
  <si>
    <t>K52</t>
  </si>
  <si>
    <t>L52</t>
  </si>
  <si>
    <t>M52</t>
  </si>
  <si>
    <t>N52</t>
  </si>
  <si>
    <t>P52</t>
  </si>
  <si>
    <t>Q52</t>
  </si>
  <si>
    <t>R52</t>
  </si>
  <si>
    <t>S52</t>
  </si>
  <si>
    <t>U52</t>
  </si>
  <si>
    <t>Operating Income segment detail</t>
  </si>
  <si>
    <t>OperatingIncomeLoss, IncomeLossFromContinuingOperationsBeforeIncomeTaxesExtraordinaryItemsNoncontrollingInterest</t>
  </si>
  <si>
    <t>segment rows did not tie to consolidated EDGAR total</t>
  </si>
  <si>
    <t xml:space="preserve">Operating Income segment detail maps directly to:
- Operating Income (Loss)</t>
  </si>
  <si>
    <t>F7</t>
  </si>
  <si>
    <t>calculated</t>
  </si>
  <si>
    <t>Sum of Segment Analysis total company revenue rows</t>
  </si>
  <si>
    <t>G7</t>
  </si>
  <si>
    <t>H7</t>
  </si>
  <si>
    <t>I7</t>
  </si>
  <si>
    <t>K7</t>
  </si>
  <si>
    <t>L7</t>
  </si>
  <si>
    <t>M7</t>
  </si>
  <si>
    <t>N7</t>
  </si>
  <si>
    <t>P7</t>
  </si>
  <si>
    <t>Q7</t>
  </si>
  <si>
    <t>R7</t>
  </si>
  <si>
    <t>S7</t>
  </si>
  <si>
    <t>U7</t>
  </si>
  <si>
    <t>Sum of Segment Analysis total company operating income rows</t>
  </si>
  <si>
    <t>F51</t>
  </si>
  <si>
    <t>Sum of Segment Analysis total d&amp;a rows</t>
  </si>
  <si>
    <t>G51</t>
  </si>
  <si>
    <t>H51</t>
  </si>
  <si>
    <t>I51</t>
  </si>
  <si>
    <t>K51</t>
  </si>
  <si>
    <t>L51</t>
  </si>
  <si>
    <t>M51</t>
  </si>
  <si>
    <t>N51</t>
  </si>
  <si>
    <t>P51</t>
  </si>
  <si>
    <t>Q51</t>
  </si>
  <si>
    <t>R51</t>
  </si>
  <si>
    <t>S51</t>
  </si>
  <si>
    <t>U51</t>
  </si>
  <si>
    <t>F28</t>
  </si>
  <si>
    <t>RevenueFromContractWithCustomerExcludingAssessedTax</t>
  </si>
  <si>
    <t xml:space="preserve">Revenue maps directly to:
- Revenue from Contract with Customer, Excluding Assessed Tax</t>
  </si>
  <si>
    <t>G28</t>
  </si>
  <si>
    <t>H28</t>
  </si>
  <si>
    <t>I28</t>
  </si>
  <si>
    <t>K28</t>
  </si>
  <si>
    <t>L28</t>
  </si>
  <si>
    <t>Revenues</t>
  </si>
  <si>
    <t>M28</t>
  </si>
  <si>
    <t>N28</t>
  </si>
  <si>
    <t>P28</t>
  </si>
  <si>
    <t>Q28</t>
  </si>
  <si>
    <t>R28</t>
  </si>
  <si>
    <t>S28</t>
  </si>
  <si>
    <t>U28</t>
  </si>
  <si>
    <t>residual</t>
  </si>
  <si>
    <t>F36</t>
  </si>
  <si>
    <t>OperatingIncomeLoss</t>
  </si>
  <si>
    <t xml:space="preserve">EBIT maps directly to:
- Operating Income (Loss)</t>
  </si>
  <si>
    <t>G36</t>
  </si>
  <si>
    <t>H36</t>
  </si>
  <si>
    <t>I36</t>
  </si>
  <si>
    <t>K36</t>
  </si>
  <si>
    <t>L36</t>
  </si>
  <si>
    <t>M36</t>
  </si>
  <si>
    <t>N36</t>
  </si>
  <si>
    <t>P36</t>
  </si>
  <si>
    <t>Q36</t>
  </si>
  <si>
    <t>R36</t>
  </si>
  <si>
    <t>S36</t>
  </si>
  <si>
    <t>U36</t>
  </si>
  <si>
    <t>J120</t>
  </si>
  <si>
    <t>balance-sheet formula replaced with EDGAR period-end value</t>
  </si>
  <si>
    <t>O120</t>
  </si>
  <si>
    <t>T120</t>
  </si>
  <si>
    <t>J121</t>
  </si>
  <si>
    <t>O121</t>
  </si>
  <si>
    <t>T121</t>
  </si>
  <si>
    <t>J122</t>
  </si>
  <si>
    <t>O122</t>
  </si>
  <si>
    <t>T122</t>
  </si>
  <si>
    <t>J126</t>
  </si>
  <si>
    <t>O126</t>
  </si>
  <si>
    <t>T126</t>
  </si>
  <si>
    <t>J127</t>
  </si>
  <si>
    <t>O127</t>
  </si>
  <si>
    <t>T127</t>
  </si>
  <si>
    <t>J128</t>
  </si>
  <si>
    <t>O128</t>
  </si>
  <si>
    <t>T128</t>
  </si>
  <si>
    <t>J134</t>
  </si>
  <si>
    <t>O134</t>
  </si>
  <si>
    <t>T134</t>
  </si>
  <si>
    <t>J123</t>
  </si>
  <si>
    <t>O123</t>
  </si>
  <si>
    <t>T123</t>
  </si>
  <si>
    <t>J129</t>
  </si>
  <si>
    <t>O129</t>
  </si>
  <si>
    <t>T129</t>
  </si>
  <si>
    <t>J135</t>
  </si>
  <si>
    <t>O135</t>
  </si>
  <si>
    <t>T135</t>
  </si>
  <si>
    <t>J136</t>
  </si>
  <si>
    <t>O136</t>
  </si>
  <si>
    <t>T136</t>
  </si>
  <si>
    <t>J140</t>
  </si>
  <si>
    <t>O140</t>
  </si>
  <si>
    <t>T140</t>
  </si>
  <si>
    <t>J141</t>
  </si>
  <si>
    <t>O141</t>
  </si>
  <si>
    <t>T141</t>
  </si>
  <si>
    <t>J142</t>
  </si>
  <si>
    <t>Liabilities; Liabilities, Current; Long-term Debt, Current Maturities; Long-term Debt, Excluding Current Maturities; Long-term Debt, Current Maturities; DeferredIncomeTaxLiabilitiesNet; OperatingLeaseLiabilityNoncurrent; PensionAndOtherPostretirementDefinedBenefitPlansLiabilityNoncurrent</t>
  </si>
  <si>
    <t>O142</t>
  </si>
  <si>
    <t>T142</t>
  </si>
  <si>
    <t>J147</t>
  </si>
  <si>
    <t>O147</t>
  </si>
  <si>
    <t>T147</t>
  </si>
  <si>
    <t>J148</t>
  </si>
  <si>
    <t>O148</t>
  </si>
  <si>
    <t>T148</t>
  </si>
  <si>
    <t>J149</t>
  </si>
  <si>
    <t>O149</t>
  </si>
  <si>
    <t>T149</t>
  </si>
  <si>
    <t>J150</t>
  </si>
  <si>
    <t>O150</t>
  </si>
  <si>
    <t>T150</t>
  </si>
  <si>
    <t>J153</t>
  </si>
  <si>
    <t>MinorityInterest=0mm</t>
  </si>
  <si>
    <t>MinorityInterest</t>
  </si>
  <si>
    <t>O153</t>
  </si>
  <si>
    <t>T153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</si>
</sst>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164" formatCode="&quot;$&quot;#,##0.0_);[Red](&quot;$&quot;#,##0.0)"/>
    <numFmt numFmtId="165" formatCode="_(* #,##0.0_);_(* (#,##0.0);_(* &quot;-&quot;?_);_(@_)"/>
    <numFmt numFmtId="166" formatCode="&quot;$&quot;#,##0_);[Red](&quot;$&quot;#,##0)"/>
    <numFmt numFmtId="167" formatCode="#,##0.0%_);(#,##0.0%)"/>
    <numFmt numFmtId="168" formatCode="&quot;$&quot;#,##0_);(&quot;$&quot;#,##0)"/>
    <numFmt numFmtId="169" formatCode="m/d/yy"/>
    <numFmt numFmtId="170" formatCode="$0.00"/>
    <numFmt numFmtId="171" formatCode="#,##0.0%_);(#,##0.0%_)"/>
    <numFmt numFmtId="172" formatCode="#,##0.0_);(#,##0.0)"/>
    <numFmt numFmtId="173" formatCode="_(* #,##0.00_);_(* (#,##0.00);_(* &quot;-&quot;??_);_(@_)"/>
    <numFmt numFmtId="174" formatCode="0.0%"/>
    <numFmt numFmtId="175" formatCode="&quot;$&quot;#,##0.00_);(&quot;$&quot;#,##0.00)"/>
    <numFmt numFmtId="176" formatCode="yyyy&quot;A&quot;"/>
    <numFmt numFmtId="177" formatCode="yyyy&quot;E&quot;"/>
    <numFmt numFmtId="178" formatCode="0.0x_);(0.0x)"/>
    <numFmt numFmtId="179" formatCode="&quot;$&quot;#,##0.00"/>
    <numFmt numFmtId="180" formatCode="0.0&quot;x&quot;"/>
    <numFmt numFmtId="181" formatCode="_([$$-409]* #,##0_);_([$$-409]* (#,##0);_([$$-409]* &quot;-&quot;??_);_(@_)"/>
    <numFmt numFmtId="182" formatCode="_(&quot;$&quot;* #,##0.00_);_(&quot;$&quot;* (#,##0.00);_(&quot;$&quot;* &quot;-&quot;??_);_(@_)"/>
    <numFmt numFmtId="183" formatCode="_(&quot;$&quot;* #,##0.0_);_(&quot;$&quot;* (#,##0.0);_(&quot;$&quot;* &quot;-&quot;?_);_(@_)"/>
    <numFmt numFmtId="184" formatCode="_(* #,##0.00_);_(* (#,##0.00);_(* &quot;-&quot;?_);_(@_)"/>
    <numFmt numFmtId="185" formatCode="&quot;Check!&quot;;&quot;Check!&quot;;&quot;OK!&quot;"/>
    <numFmt numFmtId="186" formatCode="&quot;$&quot;#,##0.0_);(&quot;$&quot;#,##0.0)"/>
    <numFmt numFmtId="187" formatCode="0.0%;(0.0%)"/>
    <numFmt numFmtId="188" formatCode="_(* #,##0.0_);_(* (#,##0.0);_(* &quot;-&quot;??_);_(@_)"/>
    <numFmt numFmtId="189" formatCode="0.00x;(0.00x)"/>
    <numFmt numFmtId="190" formatCode="0.0x;(0.0x)"/>
    <numFmt numFmtId="191" formatCode="0.0;(0.0)"/>
    <numFmt numFmtId="192" formatCode="#.#;(#.#)"/>
    <numFmt numFmtId="193" formatCode="#,##0.0;(#,##0.0)"/>
    <numFmt numFmtId="194" formatCode="&quot;$&quot;#,##0.00_);(&quot;$&quot;#,##0.00);&quot;OK!&quot;"/>
    <numFmt numFmtId="195" formatCode="#.#x;(#.#x)"/>
    <numFmt numFmtId="196" formatCode="#,##0.000000_);(#,##0.000000)"/>
    <numFmt numFmtId="197" formatCode="&quot;$&quot;#,##0.00_);[Red](&quot;$&quot;#,##0.00)"/>
    <numFmt numFmtId="198" formatCode="0.00%;(0.00%)"/>
    <numFmt numFmtId="199" formatCode="&quot;$&quot;#,##0.0"/>
    <numFmt numFmtId="200" formatCode="#,##0.0%_);(#,##0.0%);_(@_)"/>
    <numFmt numFmtId="201" formatCode="#,##0.0%_);(#,##0.0)%"/>
    <numFmt numFmtId="202" formatCode="[$-409]d-mmm"/>
    <numFmt numFmtId="203" formatCode="0.0x"/>
    <numFmt numFmtId="204" formatCode="0.00_);(0.00)"/>
    <numFmt numFmtId="205" formatCode="#,##0.0x_);(#,##0.0x_)"/>
    <numFmt numFmtId="206" formatCode="_(0.0%_);(0.0%);_(&quot;-&quot;_)_%"/>
    <numFmt numFmtId="207" formatCode="0.0"/>
    <numFmt numFmtId="208" formatCode="&quot;&quot;"/>
    <numFmt numFmtId="209" formatCode="#,##0.00%_);(#,##0.00%)"/>
    <numFmt numFmtId="210" formatCode="&quot;$&quot;#,##0"/>
    <numFmt numFmtId="211" formatCode="#,##0.00%_);(#,##0.00%_)"/>
    <numFmt numFmtId="212" formatCode="0.0 x"/>
    <numFmt numFmtId="213" formatCode="#,##0.0%_);(#,##0.0%);* &quot;-&quot;;_(@_)"/>
    <numFmt numFmtId="214" formatCode="0.00%_);(0.00%)"/>
    <numFmt numFmtId="215" formatCode="_(&quot;$&quot;* #,##0.0_);_(&quot;$&quot;* (#,##0.0);_(&quot;$&quot;* &quot;-&quot;??_);_(@_)"/>
    <numFmt numFmtId="216" formatCode="#,##0.0%_);(#,##0.0%);&quot;-&quot;"/>
    <numFmt numFmtId="217" formatCode="_(&quot;$&quot;* #,##0_);_(&quot;$&quot;* (#,##0);_(&quot;$&quot;* &quot;-&quot;??_);_(@_)"/>
    <numFmt numFmtId="218" formatCode="yyyy"/>
    <numFmt numFmtId="219"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69"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172"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3" fontId="7" fillId="0" borderId="0" xfId="0" applyNumberFormat="1" applyFont="1"/>
    <xf numFmtId="173" fontId="7" fillId="0" borderId="0" xfId="0" applyNumberFormat="1" applyFont="1" applyAlignment="1">
      <alignment horizontal="center"/>
    </xf>
    <xf numFmtId="17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3" fontId="7" fillId="3" borderId="15" xfId="0" applyNumberFormat="1" applyFont="1" applyFill="1" applyBorder="1"/>
    <xf numFmtId="173" fontId="7" fillId="3" borderId="16" xfId="0" applyNumberFormat="1" applyFont="1" applyFill="1" applyBorder="1" applyAlignment="1">
      <alignment horizontal="center"/>
    </xf>
    <xf numFmtId="173" fontId="7" fillId="3" borderId="17" xfId="0" applyNumberFormat="1" applyFont="1" applyFill="1" applyBorder="1" applyAlignment="1">
      <alignment horizontal="center"/>
    </xf>
    <xf numFmtId="0" fontId="7" fillId="0" borderId="18" xfId="0" applyFont="1" applyBorder="1" applyAlignment="1">
      <alignment horizontal="center"/>
    </xf>
    <xf numFmtId="173" fontId="7" fillId="0" borderId="20" xfId="0" applyNumberFormat="1" applyFont="1" applyBorder="1"/>
    <xf numFmtId="173"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3"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3" fontId="7" fillId="0" borderId="23" xfId="0" applyNumberFormat="1" applyFont="1" applyBorder="1"/>
    <xf numFmtId="17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4"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1" fontId="24" fillId="0" borderId="34" xfId="0" applyNumberFormat="1" applyFont="1" applyBorder="1" applyAlignment="1">
      <alignment horizontal="center"/>
    </xf>
    <xf numFmtId="175" fontId="7" fillId="0" borderId="0" xfId="0" applyNumberFormat="1" applyFont="1"/>
    <xf numFmtId="175" fontId="7" fillId="0" borderId="32" xfId="0" applyNumberFormat="1" applyFont="1" applyBorder="1"/>
    <xf numFmtId="175"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1"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6" fontId="13" fillId="0" borderId="0" xfId="0" applyNumberFormat="1" applyFont="1" applyAlignment="1">
      <alignment horizontal="center"/>
    </xf>
    <xf numFmtId="177"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8" fontId="7" fillId="0" borderId="0" xfId="0" applyNumberFormat="1" applyFont="1" applyAlignment="1">
      <alignment horizontal="right"/>
    </xf>
    <xf numFmtId="178" fontId="7" fillId="0" borderId="32" xfId="0" applyNumberFormat="1" applyFont="1" applyBorder="1" applyAlignment="1">
      <alignment horizontal="right"/>
    </xf>
    <xf numFmtId="178" fontId="7" fillId="0" borderId="33" xfId="0" applyNumberFormat="1" applyFont="1" applyBorder="1" applyAlignment="1">
      <alignment horizontal="right"/>
    </xf>
    <xf numFmtId="178" fontId="7" fillId="0" borderId="33" xfId="0" applyNumberFormat="1" applyFont="1" applyBorder="1"/>
    <xf numFmtId="178" fontId="7" fillId="0" borderId="0" xfId="0" applyNumberFormat="1" applyFont="1"/>
    <xf numFmtId="178" fontId="7" fillId="0" borderId="32" xfId="0" applyNumberFormat="1" applyFont="1" applyBorder="1"/>
    <xf numFmtId="172" fontId="7" fillId="0" borderId="0" xfId="0" applyNumberFormat="1" applyFont="1"/>
    <xf numFmtId="172" fontId="7" fillId="0" borderId="32" xfId="0" applyNumberFormat="1" applyFont="1" applyBorder="1"/>
    <xf numFmtId="172"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9"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80" fontId="7" fillId="0" borderId="21" xfId="0" applyNumberFormat="1" applyFont="1" applyBorder="1" applyAlignment="1">
      <alignment horizontal="center"/>
    </xf>
    <xf numFmtId="180" fontId="7" fillId="0" borderId="0" xfId="0" applyNumberFormat="1" applyFont="1" applyAlignment="1">
      <alignment horizontal="center"/>
    </xf>
    <xf numFmtId="181" fontId="7" fillId="0" borderId="0" xfId="0" applyNumberFormat="1" applyFont="1"/>
    <xf numFmtId="174"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8" fontId="24" fillId="0" borderId="31" xfId="0" applyNumberFormat="1" applyFont="1" applyBorder="1" applyAlignment="1">
      <alignment horizontal="center"/>
    </xf>
    <xf numFmtId="178"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2" fontId="24" fillId="0" borderId="34" xfId="0" applyNumberFormat="1" applyFont="1" applyBorder="1" applyAlignment="1">
      <alignment horizontal="center"/>
    </xf>
    <xf numFmtId="172"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2" fontId="7" fillId="0" borderId="0" xfId="0" applyNumberFormat="1" applyFont="1"/>
    <xf numFmtId="183" fontId="7" fillId="0" borderId="0" xfId="0" applyNumberFormat="1" applyFont="1"/>
    <xf numFmtId="39" fontId="14" fillId="0" borderId="0" xfId="0" applyNumberFormat="1" applyFont="1"/>
    <xf numFmtId="184" fontId="7" fillId="0" borderId="0" xfId="0" applyNumberFormat="1" applyFont="1"/>
    <xf numFmtId="184" fontId="14" fillId="0" borderId="0" xfId="0" applyNumberFormat="1" applyFont="1"/>
    <xf numFmtId="0" fontId="7" fillId="0" borderId="26" xfId="0" applyFont="1" applyBorder="1"/>
    <xf numFmtId="175" fontId="7" fillId="0" borderId="29" xfId="0" applyNumberFormat="1" applyFont="1" applyBorder="1"/>
    <xf numFmtId="175"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5"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6" fontId="14" fillId="12" borderId="0" xfId="0" applyNumberFormat="1" applyFont="1" applyFill="1"/>
    <xf numFmtId="186" fontId="14" fillId="0" borderId="0" xfId="0" applyNumberFormat="1" applyFont="1"/>
    <xf numFmtId="186" fontId="7" fillId="13" borderId="0" xfId="0" applyNumberFormat="1" applyFont="1" applyFill="1"/>
    <xf numFmtId="186" fontId="7" fillId="0" borderId="0" xfId="0" applyNumberFormat="1" applyFont="1"/>
    <xf numFmtId="0" fontId="7" fillId="0" borderId="45" xfId="0" applyFont="1" applyBorder="1"/>
    <xf numFmtId="186" fontId="14" fillId="12" borderId="0" xfId="0" applyNumberFormat="1" applyFont="1" applyFill="1" applyAlignment="1">
      <alignment horizontal="right"/>
    </xf>
    <xf numFmtId="186" fontId="14" fillId="0" borderId="0" xfId="0" applyNumberFormat="1" applyFont="1" applyAlignment="1">
      <alignment horizontal="right"/>
    </xf>
    <xf numFmtId="186" fontId="7" fillId="13" borderId="0" xfId="0" applyNumberFormat="1" applyFont="1" applyFill="1" applyAlignment="1">
      <alignment horizontal="right"/>
    </xf>
    <xf numFmtId="186" fontId="7" fillId="0" borderId="0" xfId="0" applyNumberFormat="1" applyFont="1" applyAlignment="1">
      <alignment horizontal="right"/>
    </xf>
    <xf numFmtId="187" fontId="24" fillId="0" borderId="8" xfId="0" applyNumberFormat="1" applyFont="1" applyBorder="1" applyAlignment="1">
      <alignment horizontal="center"/>
    </xf>
    <xf numFmtId="187"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4" fontId="38" fillId="12" borderId="0" xfId="0" applyNumberFormat="1" applyFont="1" applyFill="1" applyAlignment="1">
      <alignment horizontal="right"/>
    </xf>
    <xf numFmtId="187" fontId="38" fillId="12" borderId="0" xfId="0" applyNumberFormat="1" applyFont="1" applyFill="1" applyAlignment="1">
      <alignment horizontal="right"/>
    </xf>
    <xf numFmtId="187" fontId="38" fillId="0" borderId="0" xfId="0" applyNumberFormat="1" applyFont="1" applyAlignment="1">
      <alignment horizontal="right"/>
    </xf>
    <xf numFmtId="187" fontId="36" fillId="13" borderId="0" xfId="0" applyNumberFormat="1" applyFont="1" applyFill="1" applyAlignment="1">
      <alignment horizontal="right"/>
    </xf>
    <xf numFmtId="187"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4" fontId="40" fillId="12" borderId="0" xfId="0" applyNumberFormat="1" applyFont="1" applyFill="1" applyAlignment="1">
      <alignment horizontal="right"/>
    </xf>
    <xf numFmtId="187" fontId="24" fillId="13" borderId="0" xfId="0" applyNumberFormat="1" applyFont="1" applyFill="1" applyAlignment="1">
      <alignment horizontal="right"/>
    </xf>
    <xf numFmtId="187" fontId="24" fillId="0" borderId="0" xfId="0" applyNumberFormat="1" applyFont="1" applyAlignment="1">
      <alignment horizontal="right"/>
    </xf>
    <xf numFmtId="0" fontId="24" fillId="0" borderId="8" xfId="0" applyFont="1" applyBorder="1"/>
    <xf numFmtId="0" fontId="24" fillId="0" borderId="9" xfId="0" applyFont="1" applyBorder="1"/>
    <xf numFmtId="187" fontId="40" fillId="12" borderId="0" xfId="0" applyNumberFormat="1" applyFont="1" applyFill="1" applyAlignment="1">
      <alignment horizontal="right"/>
    </xf>
    <xf numFmtId="187"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6" fontId="7" fillId="12" borderId="0" xfId="0" applyNumberFormat="1" applyFont="1" applyFill="1" applyAlignment="1">
      <alignment horizontal="right"/>
    </xf>
    <xf numFmtId="187" fontId="24" fillId="12" borderId="0" xfId="0" applyNumberFormat="1" applyFont="1" applyFill="1" applyAlignment="1">
      <alignment horizontal="right"/>
    </xf>
    <xf numFmtId="0" fontId="7" fillId="12" borderId="0" xfId="0" applyFont="1" applyFill="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8" fontId="7" fillId="13" borderId="0" xfId="0" applyNumberFormat="1" applyFont="1" applyFill="1" applyAlignment="1">
      <alignment horizontal="right"/>
    </xf>
    <xf numFmtId="188" fontId="7" fillId="12" borderId="0" xfId="0" applyNumberFormat="1" applyFont="1" applyFill="1"/>
    <xf numFmtId="188" fontId="7" fillId="0" borderId="0" xfId="0" applyNumberFormat="1" applyFont="1"/>
    <xf numFmtId="188" fontId="7" fillId="13" borderId="0" xfId="0" applyNumberFormat="1" applyFont="1" applyFill="1"/>
    <xf numFmtId="188" fontId="16" fillId="12" borderId="0" xfId="0" applyNumberFormat="1" applyFont="1" applyFill="1" applyAlignment="1">
      <alignment horizontal="right"/>
    </xf>
    <xf numFmtId="189" fontId="7" fillId="12" borderId="0" xfId="0" applyNumberFormat="1" applyFont="1" applyFill="1" applyAlignment="1">
      <alignment horizontal="right"/>
    </xf>
    <xf numFmtId="189" fontId="7" fillId="0" borderId="0" xfId="0" applyNumberFormat="1" applyFont="1" applyAlignment="1">
      <alignment horizontal="right"/>
    </xf>
    <xf numFmtId="189" fontId="7" fillId="13" borderId="0" xfId="0" applyNumberFormat="1" applyFont="1" applyFill="1" applyAlignment="1">
      <alignment horizontal="right"/>
    </xf>
    <xf numFmtId="189" fontId="24" fillId="12" borderId="0" xfId="0" applyNumberFormat="1" applyFont="1" applyFill="1" applyAlignment="1">
      <alignment horizontal="right"/>
    </xf>
    <xf numFmtId="189" fontId="24" fillId="0" borderId="0" xfId="0" applyNumberFormat="1" applyFont="1" applyAlignment="1">
      <alignment horizontal="right"/>
    </xf>
    <xf numFmtId="189" fontId="41" fillId="13" borderId="0" xfId="0" applyNumberFormat="1" applyFont="1" applyFill="1" applyAlignment="1">
      <alignment horizontal="right"/>
    </xf>
    <xf numFmtId="189" fontId="41" fillId="0" borderId="0" xfId="0" applyNumberFormat="1" applyFont="1" applyAlignment="1">
      <alignment horizontal="right"/>
    </xf>
    <xf numFmtId="190" fontId="7" fillId="12" borderId="0" xfId="0" applyNumberFormat="1" applyFont="1" applyFill="1" applyAlignment="1">
      <alignment horizontal="right"/>
    </xf>
    <xf numFmtId="190" fontId="7" fillId="0" borderId="0" xfId="0" applyNumberFormat="1" applyFont="1" applyAlignment="1">
      <alignment horizontal="right"/>
    </xf>
    <xf numFmtId="187" fontId="41" fillId="13" borderId="0" xfId="0" applyNumberFormat="1" applyFont="1" applyFill="1"/>
    <xf numFmtId="187"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6" fontId="7" fillId="12" borderId="0" xfId="0" applyNumberFormat="1" applyFont="1" applyFill="1"/>
    <xf numFmtId="172" fontId="16" fillId="12" borderId="16" xfId="0" applyNumberFormat="1" applyFont="1" applyFill="1" applyBorder="1"/>
    <xf numFmtId="172" fontId="7" fillId="0" borderId="16" xfId="0" applyNumberFormat="1" applyFont="1" applyBorder="1"/>
    <xf numFmtId="172" fontId="7" fillId="13" borderId="16" xfId="0" applyNumberFormat="1" applyFont="1" applyFill="1" applyBorder="1"/>
    <xf numFmtId="191" fontId="7" fillId="12" borderId="0" xfId="0" applyNumberFormat="1" applyFont="1" applyFill="1"/>
    <xf numFmtId="172" fontId="16" fillId="12" borderId="0" xfId="0" applyNumberFormat="1" applyFont="1" applyFill="1"/>
    <xf numFmtId="172" fontId="7" fillId="13" borderId="0" xfId="0" applyNumberFormat="1" applyFont="1" applyFill="1"/>
    <xf numFmtId="191" fontId="7" fillId="13" borderId="0" xfId="0" applyNumberFormat="1" applyFont="1" applyFill="1"/>
    <xf numFmtId="172" fontId="14" fillId="13" borderId="0" xfId="0" applyNumberFormat="1" applyFont="1" applyFill="1"/>
    <xf numFmtId="172" fontId="14" fillId="0" borderId="0" xfId="0" applyNumberFormat="1" applyFont="1"/>
    <xf numFmtId="192" fontId="7" fillId="12" borderId="0" xfId="0" applyNumberFormat="1" applyFont="1" applyFill="1"/>
    <xf numFmtId="192" fontId="7" fillId="13" borderId="0" xfId="0" applyNumberFormat="1" applyFont="1" applyFill="1"/>
    <xf numFmtId="172" fontId="16" fillId="13" borderId="0" xfId="0" applyNumberFormat="1" applyFont="1" applyFill="1"/>
    <xf numFmtId="172" fontId="16" fillId="0" borderId="0" xfId="0" applyNumberFormat="1" applyFont="1"/>
    <xf numFmtId="172" fontId="16" fillId="4" borderId="16" xfId="0" applyNumberFormat="1" applyFont="1" applyFill="1" applyBorder="1"/>
    <xf numFmtId="172" fontId="16" fillId="13" borderId="16" xfId="0" applyNumberFormat="1" applyFont="1" applyFill="1" applyBorder="1"/>
    <xf numFmtId="172" fontId="16" fillId="0" borderId="16" xfId="0" applyNumberFormat="1" applyFont="1" applyBorder="1"/>
    <xf numFmtId="175" fontId="7" fillId="12" borderId="0" xfId="0" applyNumberFormat="1" applyFont="1" applyFill="1"/>
    <xf numFmtId="175" fontId="7" fillId="13" borderId="0" xfId="0" applyNumberFormat="1" applyFont="1" applyFill="1"/>
    <xf numFmtId="172"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93" fontId="7" fillId="12" borderId="0" xfId="0" applyNumberFormat="1" applyFont="1" applyFill="1"/>
    <xf numFmtId="193" fontId="7" fillId="13" borderId="0" xfId="0" applyNumberFormat="1" applyFont="1" applyFill="1"/>
    <xf numFmtId="172" fontId="7" fillId="12" borderId="0" xfId="0" applyNumberFormat="1" applyFont="1" applyFill="1"/>
    <xf numFmtId="172"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6" fontId="7" fillId="12" borderId="29" xfId="0" applyNumberFormat="1" applyFont="1" applyFill="1" applyBorder="1"/>
    <xf numFmtId="186" fontId="7" fillId="0" borderId="29" xfId="0" applyNumberFormat="1" applyFont="1" applyBorder="1"/>
    <xf numFmtId="186" fontId="7" fillId="13" borderId="29" xfId="0" applyNumberFormat="1" applyFont="1" applyFill="1" applyBorder="1"/>
    <xf numFmtId="172" fontId="14" fillId="0" borderId="16" xfId="0" applyNumberFormat="1" applyFont="1" applyBorder="1"/>
    <xf numFmtId="186" fontId="16" fillId="12" borderId="0" xfId="0" applyNumberFormat="1" applyFont="1" applyFill="1"/>
    <xf numFmtId="186" fontId="4" fillId="12" borderId="0" xfId="0" applyNumberFormat="1" applyFont="1" applyFill="1"/>
    <xf numFmtId="172" fontId="4" fillId="12" borderId="16" xfId="0" applyNumberFormat="1" applyFont="1" applyFill="1" applyBorder="1"/>
    <xf numFmtId="186" fontId="16" fillId="0" borderId="0" xfId="0" applyNumberFormat="1" applyFont="1"/>
    <xf numFmtId="0" fontId="7" fillId="3" borderId="3" xfId="0" applyFont="1" applyFill="1" applyBorder="1"/>
    <xf numFmtId="187" fontId="7" fillId="12" borderId="0" xfId="0" applyNumberFormat="1" applyFont="1" applyFill="1"/>
    <xf numFmtId="187" fontId="7" fillId="0" borderId="0" xfId="0" applyNumberFormat="1" applyFont="1"/>
    <xf numFmtId="187" fontId="7" fillId="13" borderId="0" xfId="0" applyNumberFormat="1" applyFont="1" applyFill="1"/>
    <xf numFmtId="0" fontId="24" fillId="0" borderId="29" xfId="0" applyFont="1" applyBorder="1" applyAlignment="1">
      <alignment horizontal="left"/>
    </xf>
    <xf numFmtId="0" fontId="24" fillId="0" borderId="29" xfId="0" applyFont="1" applyBorder="1"/>
    <xf numFmtId="194" fontId="24" fillId="12" borderId="29" xfId="0" applyNumberFormat="1" applyFont="1" applyFill="1" applyBorder="1" applyAlignment="1">
      <alignment horizontal="right"/>
    </xf>
    <xf numFmtId="194" fontId="24" fillId="0" borderId="29" xfId="0" applyNumberFormat="1" applyFont="1" applyBorder="1" applyAlignment="1">
      <alignment horizontal="right"/>
    </xf>
    <xf numFmtId="194" fontId="24" fillId="13" borderId="29" xfId="0" applyNumberFormat="1" applyFont="1" applyFill="1" applyBorder="1" applyAlignment="1">
      <alignment horizontal="right"/>
    </xf>
    <xf numFmtId="194" fontId="24" fillId="0" borderId="27" xfId="0" applyNumberFormat="1" applyFont="1" applyBorder="1" applyAlignment="1">
      <alignment horizontal="right"/>
    </xf>
    <xf numFmtId="0" fontId="7" fillId="0" borderId="26" xfId="0" applyFont="1" applyBorder="1" applyAlignment="1">
      <alignment horizontal="left"/>
    </xf>
    <xf numFmtId="186" fontId="7" fillId="0" borderId="27" xfId="0" applyNumberFormat="1" applyFont="1" applyBorder="1"/>
    <xf numFmtId="0" fontId="7" fillId="12" borderId="24" xfId="0" applyFont="1" applyFill="1" applyBorder="1"/>
    <xf numFmtId="0" fontId="7" fillId="13" borderId="24" xfId="0" applyFont="1" applyFill="1" applyBorder="1"/>
    <xf numFmtId="174" fontId="7" fillId="12" borderId="0" xfId="0" applyNumberFormat="1" applyFont="1" applyFill="1"/>
    <xf numFmtId="174" fontId="14" fillId="13" borderId="0" xfId="0" applyNumberFormat="1" applyFont="1" applyFill="1"/>
    <xf numFmtId="174" fontId="14" fillId="0" borderId="0" xfId="0" applyNumberFormat="1" applyFont="1"/>
    <xf numFmtId="188" fontId="16" fillId="12" borderId="0" xfId="0" applyNumberFormat="1" applyFont="1" applyFill="1"/>
    <xf numFmtId="188" fontId="7" fillId="0" borderId="16" xfId="0" applyNumberFormat="1" applyFont="1" applyBorder="1"/>
    <xf numFmtId="174" fontId="7" fillId="13" borderId="0" xfId="0" applyNumberFormat="1" applyFont="1" applyFill="1"/>
    <xf numFmtId="186" fontId="16" fillId="4" borderId="0" xfId="0" applyNumberFormat="1" applyFont="1" applyFill="1"/>
    <xf numFmtId="188" fontId="16" fillId="13" borderId="0" xfId="0" applyNumberFormat="1" applyFont="1" applyFill="1"/>
    <xf numFmtId="188" fontId="16" fillId="0" borderId="0" xfId="0" applyNumberFormat="1" applyFont="1"/>
    <xf numFmtId="188" fontId="16" fillId="12" borderId="16" xfId="0" applyNumberFormat="1" applyFont="1" applyFill="1" applyBorder="1"/>
    <xf numFmtId="188" fontId="16" fillId="13" borderId="16" xfId="0" applyNumberFormat="1" applyFont="1" applyFill="1" applyBorder="1"/>
    <xf numFmtId="188" fontId="16" fillId="0" borderId="16" xfId="0" applyNumberFormat="1" applyFont="1" applyBorder="1"/>
    <xf numFmtId="187" fontId="14" fillId="13" borderId="0" xfId="0" applyNumberFormat="1" applyFont="1" applyFill="1"/>
    <xf numFmtId="187" fontId="14" fillId="0" borderId="0" xfId="0" applyNumberFormat="1" applyFont="1"/>
    <xf numFmtId="0" fontId="24" fillId="12" borderId="0" xfId="0" applyFont="1" applyFill="1"/>
    <xf numFmtId="186" fontId="24" fillId="12" borderId="0" xfId="0" applyNumberFormat="1" applyFont="1" applyFill="1"/>
    <xf numFmtId="186" fontId="24" fillId="0" borderId="0" xfId="0" applyNumberFormat="1" applyFont="1"/>
    <xf numFmtId="186" fontId="24" fillId="13" borderId="0" xfId="0" applyNumberFormat="1" applyFont="1" applyFill="1"/>
    <xf numFmtId="195" fontId="7" fillId="12" borderId="0" xfId="0" applyNumberFormat="1" applyFont="1" applyFill="1"/>
    <xf numFmtId="190" fontId="7" fillId="12" borderId="0" xfId="0" applyNumberFormat="1" applyFont="1" applyFill="1"/>
    <xf numFmtId="190" fontId="7" fillId="0" borderId="0" xfId="0" applyNumberFormat="1" applyFont="1"/>
    <xf numFmtId="190" fontId="7" fillId="13" borderId="0" xfId="0" applyNumberFormat="1" applyFont="1" applyFill="1"/>
    <xf numFmtId="175" fontId="16" fillId="12" borderId="0" xfId="0" applyNumberFormat="1" applyFont="1" applyFill="1"/>
    <xf numFmtId="175" fontId="16" fillId="4" borderId="0" xfId="0" applyNumberFormat="1" applyFont="1" applyFill="1"/>
    <xf numFmtId="175" fontId="14" fillId="13" borderId="0" xfId="0" applyNumberFormat="1" applyFont="1" applyFill="1"/>
    <xf numFmtId="175" fontId="16" fillId="13" borderId="0" xfId="0" applyNumberFormat="1" applyFont="1" applyFill="1"/>
    <xf numFmtId="175" fontId="16" fillId="0" borderId="0" xfId="0" applyNumberFormat="1" applyFont="1"/>
    <xf numFmtId="172" fontId="7" fillId="4" borderId="0" xfId="0" applyNumberFormat="1" applyFont="1" applyFill="1"/>
    <xf numFmtId="172" fontId="16" fillId="4" borderId="0" xfId="0" applyNumberFormat="1" applyFont="1" applyFill="1"/>
    <xf numFmtId="196" fontId="7" fillId="12" borderId="0" xfId="0" applyNumberFormat="1" applyFont="1" applyFill="1"/>
    <xf numFmtId="175" fontId="7" fillId="4" borderId="0" xfId="0" applyNumberFormat="1" applyFont="1" applyFill="1"/>
    <xf numFmtId="0" fontId="7" fillId="4" borderId="0" xfId="0" applyFont="1" applyFill="1"/>
    <xf numFmtId="39" fontId="7" fillId="12" borderId="0" xfId="0" applyNumberFormat="1" applyFont="1" applyFill="1"/>
    <xf numFmtId="188" fontId="16" fillId="4" borderId="0" xfId="0" applyNumberFormat="1" applyFont="1" applyFill="1"/>
    <xf numFmtId="186" fontId="7" fillId="4" borderId="0" xfId="0" applyNumberFormat="1" applyFont="1" applyFill="1"/>
    <xf numFmtId="174" fontId="24" fillId="12" borderId="0" xfId="0" applyNumberFormat="1" applyFont="1" applyFill="1"/>
    <xf numFmtId="174" fontId="24" fillId="0" borderId="0" xfId="0" applyNumberFormat="1" applyFont="1"/>
    <xf numFmtId="174" fontId="24" fillId="4" borderId="0" xfId="0" applyNumberFormat="1" applyFont="1" applyFill="1"/>
    <xf numFmtId="174" fontId="41" fillId="13" borderId="0" xfId="0" applyNumberFormat="1" applyFont="1" applyFill="1"/>
    <xf numFmtId="174" fontId="41" fillId="0" borderId="0" xfId="0" applyNumberFormat="1" applyFont="1"/>
    <xf numFmtId="172" fontId="7" fillId="4" borderId="16" xfId="0" applyNumberFormat="1" applyFont="1" applyFill="1" applyBorder="1"/>
    <xf numFmtId="197" fontId="7" fillId="13" borderId="0" xfId="0" applyNumberFormat="1" applyFont="1" applyFill="1"/>
    <xf numFmtId="197" fontId="7" fillId="0" borderId="0" xfId="0" applyNumberFormat="1" applyFont="1"/>
    <xf numFmtId="191" fontId="7" fillId="0" borderId="0" xfId="0" applyNumberFormat="1" applyFont="1"/>
    <xf numFmtId="191" fontId="16" fillId="12" borderId="0" xfId="0" applyNumberFormat="1" applyFont="1" applyFill="1"/>
    <xf numFmtId="191" fontId="16" fillId="0" borderId="0" xfId="0" applyNumberFormat="1" applyFont="1"/>
    <xf numFmtId="191" fontId="16" fillId="12" borderId="16" xfId="0" applyNumberFormat="1" applyFont="1" applyFill="1" applyBorder="1"/>
    <xf numFmtId="191" fontId="16" fillId="0" borderId="16" xfId="0" applyNumberFormat="1" applyFont="1" applyBorder="1"/>
    <xf numFmtId="191" fontId="7" fillId="13" borderId="16" xfId="0" applyNumberFormat="1" applyFont="1" applyFill="1" applyBorder="1"/>
    <xf numFmtId="191" fontId="7" fillId="0" borderId="16" xfId="0" applyNumberFormat="1" applyFont="1" applyBorder="1"/>
    <xf numFmtId="188" fontId="14" fillId="13" borderId="0" xfId="0" applyNumberFormat="1" applyFont="1" applyFill="1"/>
    <xf numFmtId="0" fontId="14" fillId="0" borderId="0" xfId="0" applyFont="1"/>
    <xf numFmtId="188" fontId="14" fillId="0" borderId="0" xfId="0" applyNumberFormat="1" applyFont="1"/>
    <xf numFmtId="187" fontId="24" fillId="12" borderId="0" xfId="0" applyNumberFormat="1" applyFont="1" applyFill="1"/>
    <xf numFmtId="187" fontId="24" fillId="0" borderId="0" xfId="0" applyNumberFormat="1" applyFont="1"/>
    <xf numFmtId="187" fontId="24" fillId="13" borderId="0" xfId="0" applyNumberFormat="1" applyFont="1" applyFill="1"/>
    <xf numFmtId="198" fontId="41" fillId="13" borderId="0" xfId="0" applyNumberFormat="1" applyFont="1" applyFill="1"/>
    <xf numFmtId="198" fontId="41" fillId="0" borderId="0" xfId="0" applyNumberFormat="1" applyFont="1"/>
    <xf numFmtId="0" fontId="7" fillId="12" borderId="29" xfId="0" applyFont="1" applyFill="1" applyBorder="1"/>
    <xf numFmtId="172" fontId="16" fillId="12" borderId="0" xfId="0" applyNumberFormat="1" applyFont="1" applyFill="1" applyAlignment="1">
      <alignment horizontal="right"/>
    </xf>
    <xf numFmtId="172" fontId="7" fillId="0" borderId="0" xfId="0" applyNumberFormat="1" applyFont="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2" fontId="7" fillId="12" borderId="0" xfId="0" applyNumberFormat="1" applyFont="1" applyFill="1" applyAlignment="1">
      <alignment horizontal="right"/>
    </xf>
    <xf numFmtId="174" fontId="7" fillId="12" borderId="0" xfId="0" applyNumberFormat="1" applyFont="1" applyFill="1" applyAlignment="1">
      <alignment horizontal="right"/>
    </xf>
    <xf numFmtId="174" fontId="7" fillId="13" borderId="0" xfId="0" applyNumberFormat="1" applyFont="1" applyFill="1" applyAlignment="1">
      <alignment horizontal="right"/>
    </xf>
    <xf numFmtId="0" fontId="16" fillId="0" borderId="0" xfId="0" applyFont="1" applyAlignment="1">
      <alignment horizontal="left"/>
    </xf>
    <xf numFmtId="172" fontId="16" fillId="13" borderId="0" xfId="0" applyNumberFormat="1" applyFont="1" applyFill="1" applyAlignment="1">
      <alignment horizontal="right"/>
    </xf>
    <xf numFmtId="172" fontId="16" fillId="0" borderId="0" xfId="0" applyNumberFormat="1" applyFont="1" applyAlignment="1">
      <alignment horizontal="right"/>
    </xf>
    <xf numFmtId="174" fontId="7" fillId="0" borderId="0" xfId="0" applyNumberFormat="1" applyFont="1" applyAlignment="1">
      <alignment horizontal="right"/>
    </xf>
    <xf numFmtId="172" fontId="7" fillId="13" borderId="0" xfId="0" applyNumberFormat="1" applyFont="1" applyFill="1" applyAlignment="1">
      <alignment horizontal="right"/>
    </xf>
    <xf numFmtId="193" fontId="16" fillId="12" borderId="0" xfId="0" applyNumberFormat="1" applyFont="1" applyFill="1" applyAlignment="1">
      <alignment horizontal="right"/>
    </xf>
    <xf numFmtId="193" fontId="16" fillId="13" borderId="0" xfId="0" applyNumberFormat="1" applyFont="1" applyFill="1" applyAlignment="1">
      <alignment horizontal="right"/>
    </xf>
    <xf numFmtId="194" fontId="24" fillId="12" borderId="0" xfId="0" applyNumberFormat="1" applyFont="1" applyFill="1" applyAlignment="1">
      <alignment horizontal="right"/>
    </xf>
    <xf numFmtId="194" fontId="24" fillId="0" borderId="0" xfId="0" applyNumberFormat="1" applyFont="1" applyAlignment="1">
      <alignment horizontal="right"/>
    </xf>
    <xf numFmtId="194" fontId="24" fillId="13" borderId="0" xfId="0" applyNumberFormat="1" applyFont="1" applyFill="1" applyAlignment="1">
      <alignment horizontal="right"/>
    </xf>
    <xf numFmtId="186" fontId="14" fillId="13" borderId="0" xfId="0" applyNumberFormat="1" applyFont="1" applyFill="1" applyAlignment="1">
      <alignment horizontal="right"/>
    </xf>
    <xf numFmtId="172" fontId="4" fillId="0" borderId="0" xfId="0" applyNumberFormat="1" applyFont="1" applyAlignment="1">
      <alignment horizontal="right"/>
    </xf>
    <xf numFmtId="172" fontId="4" fillId="13" borderId="0" xfId="0" applyNumberFormat="1" applyFont="1" applyFill="1" applyAlignment="1">
      <alignment horizontal="right"/>
    </xf>
    <xf numFmtId="194" fontId="40" fillId="12" borderId="0" xfId="0" applyNumberFormat="1" applyFont="1" applyFill="1" applyAlignment="1">
      <alignment horizontal="right"/>
    </xf>
    <xf numFmtId="194" fontId="24" fillId="15" borderId="0" xfId="0" applyNumberFormat="1" applyFont="1" applyFill="1" applyAlignment="1">
      <alignment horizontal="right"/>
    </xf>
    <xf numFmtId="0" fontId="4" fillId="0" borderId="0" xfId="0" applyFont="1" applyAlignment="1">
      <alignment horizontal="left"/>
    </xf>
    <xf numFmtId="187" fontId="4" fillId="0" borderId="0" xfId="0" applyNumberFormat="1" applyFont="1" applyAlignment="1">
      <alignment horizontal="right"/>
    </xf>
    <xf numFmtId="193" fontId="7" fillId="12" borderId="0" xfId="0" applyNumberFormat="1" applyFont="1" applyFill="1" applyAlignment="1">
      <alignment horizontal="right"/>
    </xf>
    <xf numFmtId="186" fontId="7" fillId="15" borderId="0" xfId="0" applyNumberFormat="1" applyFont="1" applyFill="1" applyAlignment="1">
      <alignment horizontal="right"/>
    </xf>
    <xf numFmtId="193"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91" fontId="7" fillId="12" borderId="0" xfId="0" applyNumberFormat="1" applyFont="1" applyFill="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8" fontId="16" fillId="13" borderId="0" xfId="0" applyNumberFormat="1" applyFont="1" applyFill="1" applyAlignment="1">
      <alignment horizontal="right"/>
    </xf>
    <xf numFmtId="188"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7" fontId="14" fillId="12" borderId="0" xfId="0" applyNumberFormat="1" applyFont="1" applyFill="1" applyAlignment="1">
      <alignment horizontal="right"/>
    </xf>
    <xf numFmtId="188" fontId="41" fillId="13" borderId="0" xfId="0" applyNumberFormat="1" applyFont="1" applyFill="1" applyAlignment="1">
      <alignment horizontal="right"/>
    </xf>
    <xf numFmtId="188" fontId="41" fillId="0" borderId="0" xfId="0" applyNumberFormat="1" applyFont="1" applyAlignment="1">
      <alignment horizontal="right"/>
    </xf>
    <xf numFmtId="199" fontId="7" fillId="13" borderId="0" xfId="0" applyNumberFormat="1" applyFont="1" applyFill="1" applyAlignment="1">
      <alignment horizontal="right"/>
    </xf>
    <xf numFmtId="199" fontId="7" fillId="0" borderId="0" xfId="0" applyNumberFormat="1" applyFont="1" applyAlignment="1">
      <alignment horizontal="right"/>
    </xf>
    <xf numFmtId="199" fontId="41" fillId="13" borderId="0" xfId="0" applyNumberFormat="1" applyFont="1" applyFill="1" applyAlignment="1">
      <alignment horizontal="right"/>
    </xf>
    <xf numFmtId="199" fontId="41" fillId="0" borderId="0" xfId="0" applyNumberFormat="1" applyFont="1" applyAlignment="1">
      <alignment horizontal="right"/>
    </xf>
    <xf numFmtId="179" fontId="41" fillId="0" borderId="0" xfId="0" applyNumberFormat="1" applyFont="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7"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200" fontId="13" fillId="2" borderId="7" xfId="0" applyNumberFormat="1" applyFont="1" applyFill="1" applyBorder="1" applyAlignment="1">
      <alignment horizontal="center"/>
    </xf>
    <xf numFmtId="178" fontId="13" fillId="2" borderId="7" xfId="0" applyNumberFormat="1" applyFont="1" applyFill="1" applyBorder="1" applyAlignment="1">
      <alignment horizontal="center"/>
    </xf>
    <xf numFmtId="178" fontId="13" fillId="2" borderId="3" xfId="0" applyNumberFormat="1" applyFont="1" applyFill="1" applyBorder="1" applyAlignment="1">
      <alignment horizontal="center"/>
    </xf>
    <xf numFmtId="201" fontId="13" fillId="2" borderId="7" xfId="0" applyNumberFormat="1" applyFont="1" applyFill="1" applyBorder="1" applyAlignment="1">
      <alignment horizontal="center"/>
    </xf>
    <xf numFmtId="202" fontId="7" fillId="0" borderId="0" xfId="0" applyNumberFormat="1" applyFont="1" applyAlignment="1">
      <alignment horizontal="center"/>
    </xf>
    <xf numFmtId="201" fontId="7" fillId="0" borderId="0" xfId="0" applyNumberFormat="1" applyFont="1" applyAlignment="1">
      <alignment horizontal="center"/>
    </xf>
    <xf numFmtId="203" fontId="7" fillId="0" borderId="0" xfId="0" applyNumberFormat="1" applyFont="1" applyAlignment="1">
      <alignment horizontal="center"/>
    </xf>
    <xf numFmtId="37" fontId="7" fillId="0" borderId="0" xfId="0" applyNumberFormat="1" applyFont="1" applyAlignment="1">
      <alignment horizontal="center"/>
    </xf>
    <xf numFmtId="200" fontId="7" fillId="0" borderId="0" xfId="0" applyNumberFormat="1" applyFont="1" applyAlignment="1">
      <alignment horizontal="center"/>
    </xf>
    <xf numFmtId="178"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200" fontId="7" fillId="4" borderId="59" xfId="0" applyNumberFormat="1" applyFont="1" applyFill="1" applyBorder="1" applyAlignment="1">
      <alignment horizontal="center"/>
    </xf>
    <xf numFmtId="203" fontId="7" fillId="4" borderId="59" xfId="0" applyNumberFormat="1" applyFont="1" applyFill="1" applyBorder="1" applyAlignment="1">
      <alignment horizontal="center"/>
    </xf>
    <xf numFmtId="178" fontId="7" fillId="4" borderId="59" xfId="0" applyNumberFormat="1" applyFont="1" applyFill="1" applyBorder="1" applyAlignment="1">
      <alignment horizontal="center"/>
    </xf>
    <xf numFmtId="178" fontId="7" fillId="4" borderId="60" xfId="0" applyNumberFormat="1" applyFont="1" applyFill="1" applyBorder="1" applyAlignment="1">
      <alignment horizontal="center"/>
    </xf>
    <xf numFmtId="201"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200" fontId="7" fillId="4" borderId="0" xfId="0" applyNumberFormat="1" applyFont="1" applyFill="1" applyAlignment="1">
      <alignment horizontal="center"/>
    </xf>
    <xf numFmtId="203" fontId="7" fillId="4" borderId="0" xfId="0" applyNumberFormat="1" applyFont="1" applyFill="1" applyAlignment="1">
      <alignment horizontal="center"/>
    </xf>
    <xf numFmtId="178" fontId="7" fillId="4" borderId="0" xfId="0" applyNumberFormat="1" applyFont="1" applyFill="1" applyAlignment="1">
      <alignment horizontal="center"/>
    </xf>
    <xf numFmtId="178" fontId="7" fillId="4" borderId="32" xfId="0" applyNumberFormat="1" applyFont="1" applyFill="1" applyBorder="1" applyAlignment="1">
      <alignment horizontal="center"/>
    </xf>
    <xf numFmtId="201"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200" fontId="7" fillId="4" borderId="1" xfId="0" applyNumberFormat="1" applyFont="1" applyFill="1" applyBorder="1" applyAlignment="1">
      <alignment horizontal="center"/>
    </xf>
    <xf numFmtId="203" fontId="7" fillId="4" borderId="1" xfId="0" applyNumberFormat="1" applyFont="1" applyFill="1" applyBorder="1" applyAlignment="1">
      <alignment horizontal="center"/>
    </xf>
    <xf numFmtId="178" fontId="7" fillId="4" borderId="1" xfId="0" applyNumberFormat="1" applyFont="1" applyFill="1" applyBorder="1" applyAlignment="1">
      <alignment horizontal="center"/>
    </xf>
    <xf numFmtId="178" fontId="7" fillId="4" borderId="63" xfId="0" applyNumberFormat="1" applyFont="1" applyFill="1" applyBorder="1" applyAlignment="1">
      <alignment horizontal="center"/>
    </xf>
    <xf numFmtId="201" fontId="7" fillId="4" borderId="1" xfId="0" applyNumberFormat="1" applyFont="1" applyFill="1" applyBorder="1" applyAlignment="1">
      <alignment horizontal="center"/>
    </xf>
    <xf numFmtId="0" fontId="47" fillId="0" borderId="0" xfId="0" applyFont="1" applyAlignment="1">
      <alignment horizontal="center"/>
    </xf>
    <xf numFmtId="204" fontId="13" fillId="2" borderId="7" xfId="0" applyNumberFormat="1" applyFont="1" applyFill="1" applyBorder="1" applyAlignment="1">
      <alignment horizontal="center"/>
    </xf>
    <xf numFmtId="205" fontId="7" fillId="0" borderId="0" xfId="0" applyNumberFormat="1" applyFont="1" applyAlignment="1">
      <alignment horizontal="center"/>
    </xf>
    <xf numFmtId="204" fontId="7" fillId="0" borderId="0" xfId="0" applyNumberFormat="1" applyFont="1" applyAlignment="1">
      <alignment horizontal="center"/>
    </xf>
    <xf numFmtId="171"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6" fontId="7" fillId="0" borderId="1" xfId="0" applyNumberFormat="1" applyFont="1" applyBorder="1" applyAlignment="1">
      <alignment horizontal="center"/>
    </xf>
    <xf numFmtId="0" fontId="7" fillId="0" borderId="1" xfId="0" applyFont="1" applyBorder="1" applyAlignment="1">
      <alignment horizontal="center"/>
    </xf>
    <xf numFmtId="178" fontId="7" fillId="0" borderId="1" xfId="0" applyNumberFormat="1" applyFont="1" applyBorder="1" applyAlignment="1">
      <alignment horizontal="center"/>
    </xf>
    <xf numFmtId="203" fontId="7" fillId="0" borderId="1" xfId="0" applyNumberFormat="1" applyFont="1" applyBorder="1" applyAlignment="1">
      <alignment horizontal="center"/>
    </xf>
    <xf numFmtId="206"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201" fontId="7" fillId="16" borderId="7" xfId="0" applyNumberFormat="1" applyFont="1" applyFill="1" applyBorder="1" applyAlignment="1">
      <alignment horizontal="center"/>
    </xf>
    <xf numFmtId="178" fontId="7" fillId="16" borderId="7" xfId="0" applyNumberFormat="1" applyFont="1" applyFill="1" applyBorder="1" applyAlignment="1">
      <alignment horizontal="center"/>
    </xf>
    <xf numFmtId="178" fontId="7" fillId="16" borderId="3" xfId="0" applyNumberFormat="1" applyFont="1" applyFill="1" applyBorder="1" applyAlignment="1">
      <alignment horizontal="center"/>
    </xf>
    <xf numFmtId="174"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203" fontId="13" fillId="2" borderId="65" xfId="0" applyNumberFormat="1" applyFont="1" applyFill="1" applyBorder="1" applyAlignment="1">
      <alignment horizontal="center"/>
    </xf>
    <xf numFmtId="178" fontId="13" fillId="2" borderId="65" xfId="0" applyNumberFormat="1" applyFont="1" applyFill="1" applyBorder="1" applyAlignment="1">
      <alignment horizontal="center"/>
    </xf>
    <xf numFmtId="178"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201" fontId="13" fillId="2" borderId="29" xfId="0" applyNumberFormat="1" applyFont="1" applyFill="1" applyBorder="1" applyAlignment="1">
      <alignment horizontal="center"/>
    </xf>
    <xf numFmtId="207"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178"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201" fontId="13" fillId="2" borderId="70" xfId="0" applyNumberFormat="1" applyFont="1" applyFill="1" applyBorder="1" applyAlignment="1">
      <alignment horizontal="center"/>
    </xf>
    <xf numFmtId="207"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178" fontId="13" fillId="2" borderId="71" xfId="0" applyNumberFormat="1" applyFont="1" applyFill="1" applyBorder="1" applyAlignment="1">
      <alignment horizontal="center"/>
    </xf>
    <xf numFmtId="204" fontId="7" fillId="16" borderId="7" xfId="0" applyNumberFormat="1" applyFont="1" applyFill="1" applyBorder="1" applyAlignment="1">
      <alignment horizontal="center"/>
    </xf>
    <xf numFmtId="0" fontId="7" fillId="16" borderId="3" xfId="0" applyFont="1" applyFill="1" applyBorder="1" applyAlignment="1">
      <alignment horizontal="center"/>
    </xf>
    <xf numFmtId="183"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80"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80"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8"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9"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10" fontId="7" fillId="0" borderId="21" xfId="0" applyNumberFormat="1" applyFont="1" applyBorder="1" applyAlignment="1">
      <alignment horizontal="center"/>
    </xf>
    <xf numFmtId="167" fontId="7" fillId="0" borderId="21" xfId="0" applyNumberFormat="1" applyFont="1" applyBorder="1" applyAlignment="1">
      <alignment horizontal="center"/>
    </xf>
    <xf numFmtId="171" fontId="16" fillId="0" borderId="0" xfId="0" applyNumberFormat="1" applyFont="1"/>
    <xf numFmtId="0" fontId="7" fillId="0" borderId="2" xfId="0" applyFont="1" applyBorder="1"/>
    <xf numFmtId="0" fontId="7" fillId="0" borderId="7" xfId="0" applyFont="1" applyBorder="1"/>
    <xf numFmtId="209" fontId="7" fillId="0" borderId="3" xfId="0" applyNumberFormat="1" applyFont="1" applyBorder="1" applyAlignment="1">
      <alignment horizontal="center"/>
    </xf>
    <xf numFmtId="209" fontId="7" fillId="0" borderId="21" xfId="0" applyNumberFormat="1" applyFont="1" applyBorder="1"/>
    <xf numFmtId="185" fontId="24" fillId="0" borderId="0" xfId="0" applyNumberFormat="1" applyFont="1" applyAlignment="1">
      <alignment horizontal="center"/>
    </xf>
    <xf numFmtId="0" fontId="6" fillId="0" borderId="1" xfId="0" applyFont="1" applyBorder="1"/>
    <xf numFmtId="182"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9" fontId="7" fillId="0" borderId="47" xfId="0" applyNumberFormat="1" applyFont="1" applyBorder="1" applyAlignment="1">
      <alignment horizontal="center"/>
    </xf>
    <xf numFmtId="209" fontId="7" fillId="0" borderId="21" xfId="0" applyNumberFormat="1" applyFont="1" applyBorder="1" applyAlignment="1">
      <alignment horizontal="center"/>
    </xf>
    <xf numFmtId="209" fontId="7" fillId="0" borderId="45" xfId="0" applyNumberFormat="1" applyFont="1" applyBorder="1" applyAlignment="1">
      <alignment horizontal="center"/>
    </xf>
    <xf numFmtId="0" fontId="6" fillId="0" borderId="73" xfId="0" applyFont="1" applyBorder="1"/>
    <xf numFmtId="209" fontId="7" fillId="0" borderId="8" xfId="0" applyNumberFormat="1" applyFont="1" applyBorder="1" applyAlignment="1">
      <alignment horizontal="center"/>
    </xf>
    <xf numFmtId="209" fontId="13" fillId="2" borderId="0" xfId="0" applyNumberFormat="1" applyFont="1" applyFill="1" applyAlignment="1">
      <alignment horizontal="center"/>
    </xf>
    <xf numFmtId="209"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9" fontId="7" fillId="0" borderId="15" xfId="0" applyNumberFormat="1" applyFont="1" applyBorder="1" applyAlignment="1">
      <alignment horizontal="center"/>
    </xf>
    <xf numFmtId="209" fontId="7" fillId="0" borderId="16" xfId="0" applyNumberFormat="1" applyFont="1" applyBorder="1" applyAlignment="1">
      <alignment horizontal="center"/>
    </xf>
    <xf numFmtId="209" fontId="7" fillId="0" borderId="17" xfId="0" applyNumberFormat="1" applyFont="1" applyBorder="1" applyAlignment="1">
      <alignment horizontal="center"/>
    </xf>
    <xf numFmtId="171" fontId="14" fillId="0" borderId="0" xfId="0" applyNumberFormat="1" applyFont="1"/>
    <xf numFmtId="39" fontId="7" fillId="0" borderId="0" xfId="0" applyNumberFormat="1" applyFont="1"/>
    <xf numFmtId="39" fontId="14" fillId="0" borderId="0" xfId="0" applyNumberFormat="1" applyFont="1" applyAlignment="1">
      <alignment horizontal="center"/>
    </xf>
    <xf numFmtId="203"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9"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3" fontId="14" fillId="0" borderId="16" xfId="0" applyNumberFormat="1" applyFont="1" applyBorder="1" applyAlignment="1">
      <alignment horizontal="center"/>
    </xf>
    <xf numFmtId="171"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3"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11"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7" fontId="14" fillId="0" borderId="0" xfId="0" applyNumberFormat="1" applyFont="1" applyAlignment="1">
      <alignment horizontal="center"/>
    </xf>
    <xf numFmtId="197"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90" fontId="7" fillId="13" borderId="47" xfId="0" applyNumberFormat="1" applyFont="1" applyFill="1" applyBorder="1" applyAlignment="1">
      <alignment horizontal="center"/>
    </xf>
    <xf numFmtId="190" fontId="7" fillId="13" borderId="45" xfId="0" applyNumberFormat="1" applyFont="1" applyFill="1" applyBorder="1" applyAlignment="1">
      <alignment horizontal="center"/>
    </xf>
    <xf numFmtId="190" fontId="7" fillId="0" borderId="0" xfId="0" applyNumberFormat="1" applyFont="1" applyAlignment="1">
      <alignment horizontal="center"/>
    </xf>
    <xf numFmtId="190" fontId="7" fillId="13" borderId="15" xfId="0" applyNumberFormat="1" applyFont="1" applyFill="1" applyBorder="1" applyAlignment="1">
      <alignment horizontal="center"/>
    </xf>
    <xf numFmtId="190"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8" fontId="7" fillId="15" borderId="76" xfId="0" applyNumberFormat="1" applyFont="1" applyFill="1" applyBorder="1"/>
    <xf numFmtId="188" fontId="7" fillId="15" borderId="0" xfId="0" applyNumberFormat="1" applyFont="1" applyFill="1"/>
    <xf numFmtId="188" fontId="7" fillId="15" borderId="33" xfId="0" applyNumberFormat="1" applyFont="1" applyFill="1" applyBorder="1"/>
    <xf numFmtId="188" fontId="7" fillId="15" borderId="77" xfId="0" applyNumberFormat="1" applyFont="1" applyFill="1" applyBorder="1"/>
    <xf numFmtId="188" fontId="7" fillId="15" borderId="16" xfId="0" applyNumberFormat="1" applyFont="1" applyFill="1" applyBorder="1"/>
    <xf numFmtId="188" fontId="7" fillId="15" borderId="78" xfId="0" applyNumberFormat="1" applyFont="1" applyFill="1" applyBorder="1"/>
    <xf numFmtId="187" fontId="7" fillId="15" borderId="76" xfId="0" applyNumberFormat="1" applyFont="1" applyFill="1" applyBorder="1"/>
    <xf numFmtId="187" fontId="7" fillId="15" borderId="0" xfId="0" applyNumberFormat="1" applyFont="1" applyFill="1"/>
    <xf numFmtId="187" fontId="7" fillId="15" borderId="33" xfId="0" applyNumberFormat="1" applyFont="1" applyFill="1" applyBorder="1"/>
    <xf numFmtId="186" fontId="7" fillId="15" borderId="79" xfId="0" applyNumberFormat="1" applyFont="1" applyFill="1" applyBorder="1"/>
    <xf numFmtId="186" fontId="7" fillId="15" borderId="29" xfId="0" applyNumberFormat="1" applyFont="1" applyFill="1" applyBorder="1"/>
    <xf numFmtId="186" fontId="7" fillId="15" borderId="80" xfId="0" applyNumberFormat="1" applyFont="1" applyFill="1" applyBorder="1"/>
    <xf numFmtId="4" fontId="24" fillId="0" borderId="0" xfId="0" applyNumberFormat="1" applyFont="1" applyAlignment="1">
      <alignment horizontal="right"/>
    </xf>
    <xf numFmtId="186" fontId="7" fillId="0" borderId="9" xfId="0" applyNumberFormat="1" applyFont="1" applyBorder="1"/>
    <xf numFmtId="168" fontId="7" fillId="0" borderId="9" xfId="0" applyNumberFormat="1" applyFont="1" applyBorder="1"/>
    <xf numFmtId="212" fontId="7" fillId="0" borderId="6" xfId="0" applyNumberFormat="1" applyFont="1" applyBorder="1"/>
    <xf numFmtId="213"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2" fontId="14" fillId="0" borderId="9" xfId="0" applyNumberFormat="1" applyFont="1" applyBorder="1"/>
    <xf numFmtId="172" fontId="7" fillId="0" borderId="9" xfId="0" applyNumberFormat="1" applyFont="1" applyBorder="1"/>
    <xf numFmtId="175"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2" fontId="7" fillId="5" borderId="6" xfId="0" applyNumberFormat="1" applyFont="1" applyFill="1" applyBorder="1" applyAlignment="1">
      <alignment horizontal="center"/>
    </xf>
    <xf numFmtId="213"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90" fontId="16" fillId="0" borderId="0" xfId="0" applyNumberFormat="1" applyFont="1" applyAlignment="1">
      <alignment horizontal="center"/>
    </xf>
    <xf numFmtId="174" fontId="14" fillId="0" borderId="0" xfId="0" applyNumberFormat="1" applyFont="1" applyAlignment="1">
      <alignment horizontal="center"/>
    </xf>
    <xf numFmtId="10" fontId="16" fillId="0" borderId="0" xfId="0" applyNumberFormat="1" applyFont="1" applyAlignment="1">
      <alignment horizontal="center"/>
    </xf>
    <xf numFmtId="171" fontId="7" fillId="5" borderId="6" xfId="0" applyNumberFormat="1" applyFont="1" applyFill="1" applyBorder="1" applyAlignment="1">
      <alignment horizontal="center"/>
    </xf>
    <xf numFmtId="212" fontId="16" fillId="5" borderId="6" xfId="0" applyNumberFormat="1" applyFont="1" applyFill="1" applyBorder="1" applyAlignment="1">
      <alignment horizontal="center"/>
    </xf>
    <xf numFmtId="171" fontId="16" fillId="5" borderId="6" xfId="0" applyNumberFormat="1" applyFont="1" applyFill="1" applyBorder="1" applyAlignment="1">
      <alignment horizontal="center"/>
    </xf>
    <xf numFmtId="214" fontId="16" fillId="0" borderId="0" xfId="0" applyNumberFormat="1" applyFont="1"/>
    <xf numFmtId="175" fontId="13" fillId="0" borderId="0" xfId="0" applyNumberFormat="1" applyFont="1"/>
    <xf numFmtId="203" fontId="7" fillId="0" borderId="16" xfId="0" applyNumberFormat="1" applyFont="1" applyBorder="1" applyAlignment="1">
      <alignment horizontal="center"/>
    </xf>
    <xf numFmtId="203"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7" fontId="7" fillId="0" borderId="47" xfId="0" applyNumberFormat="1" applyFont="1" applyBorder="1" applyAlignment="1">
      <alignment horizontal="center"/>
    </xf>
    <xf numFmtId="197" fontId="7" fillId="0" borderId="21" xfId="0" applyNumberFormat="1" applyFont="1" applyBorder="1" applyAlignment="1">
      <alignment horizontal="center"/>
    </xf>
    <xf numFmtId="197"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7" fontId="7" fillId="0" borderId="8" xfId="0" applyNumberFormat="1" applyFont="1" applyBorder="1" applyAlignment="1">
      <alignment horizontal="center"/>
    </xf>
    <xf numFmtId="197" fontId="13" fillId="2" borderId="0" xfId="0" applyNumberFormat="1" applyFont="1" applyFill="1" applyAlignment="1">
      <alignment horizontal="center"/>
    </xf>
    <xf numFmtId="197"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7" fontId="7" fillId="0" borderId="0" xfId="0" applyNumberFormat="1" applyFont="1" applyAlignment="1">
      <alignment horizontal="center"/>
    </xf>
    <xf numFmtId="197" fontId="7" fillId="0" borderId="15" xfId="0" applyNumberFormat="1" applyFont="1" applyBorder="1" applyAlignment="1">
      <alignment horizontal="center"/>
    </xf>
    <xf numFmtId="197" fontId="7" fillId="0" borderId="16" xfId="0" applyNumberFormat="1" applyFont="1" applyBorder="1" applyAlignment="1">
      <alignment horizontal="center"/>
    </xf>
    <xf numFmtId="197"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90"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7"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7" fontId="7" fillId="0" borderId="45" xfId="0" applyNumberFormat="1" applyFont="1" applyBorder="1"/>
    <xf numFmtId="197" fontId="7" fillId="0" borderId="17" xfId="0" applyNumberFormat="1" applyFont="1" applyBorder="1"/>
    <xf numFmtId="37" fontId="7" fillId="0" borderId="17" xfId="0" applyNumberFormat="1" applyFont="1" applyBorder="1"/>
    <xf numFmtId="175" fontId="4" fillId="5" borderId="6" xfId="0" applyNumberFormat="1" applyFont="1" applyFill="1" applyBorder="1" applyAlignment="1">
      <alignment horizontal="center"/>
    </xf>
    <xf numFmtId="185" fontId="37" fillId="0" borderId="0" xfId="0" applyNumberFormat="1" applyFont="1" applyAlignment="1">
      <alignment horizontal="center"/>
    </xf>
    <xf numFmtId="185"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1" fontId="16" fillId="0" borderId="0" xfId="0" applyNumberFormat="1" applyFont="1" applyAlignment="1">
      <alignment horizontal="center"/>
    </xf>
    <xf numFmtId="175" fontId="7" fillId="0" borderId="9" xfId="0" applyNumberFormat="1" applyFont="1" applyBorder="1"/>
    <xf numFmtId="175" fontId="16" fillId="0" borderId="9" xfId="0" applyNumberFormat="1" applyFont="1" applyBorder="1"/>
    <xf numFmtId="168" fontId="16" fillId="0" borderId="9" xfId="0" applyNumberFormat="1" applyFont="1" applyBorder="1"/>
    <xf numFmtId="188" fontId="14" fillId="0" borderId="9" xfId="0" applyNumberFormat="1" applyFont="1" applyBorder="1"/>
    <xf numFmtId="188"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3"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90" fontId="16" fillId="0" borderId="8" xfId="0" applyNumberFormat="1" applyFont="1" applyBorder="1" applyAlignment="1">
      <alignment horizontal="center"/>
    </xf>
    <xf numFmtId="190"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7" fontId="7" fillId="0" borderId="0" xfId="0" applyNumberFormat="1" applyFont="1"/>
    <xf numFmtId="0" fontId="7" fillId="0" borderId="34" xfId="0" applyFont="1" applyBorder="1"/>
    <xf numFmtId="167" fontId="40" fillId="0" borderId="0" xfId="0" applyNumberFormat="1" applyFont="1"/>
    <xf numFmtId="215" fontId="16" fillId="0" borderId="0" xfId="0" applyNumberFormat="1" applyFont="1"/>
    <xf numFmtId="0" fontId="7" fillId="0" borderId="38" xfId="0" applyFont="1" applyBorder="1"/>
    <xf numFmtId="216" fontId="40" fillId="0" borderId="0" xfId="0" applyNumberFormat="1" applyFont="1"/>
    <xf numFmtId="0" fontId="14" fillId="0" borderId="34" xfId="0" applyFont="1" applyBorder="1"/>
    <xf numFmtId="216" fontId="41" fillId="0" borderId="0" xfId="0" applyNumberFormat="1" applyFont="1"/>
    <xf numFmtId="216" fontId="24" fillId="0" borderId="0" xfId="0" applyNumberFormat="1" applyFont="1"/>
    <xf numFmtId="175"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4" fontId="24" fillId="0" borderId="6" xfId="0" applyNumberFormat="1" applyFont="1" applyBorder="1"/>
    <xf numFmtId="217"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8" fontId="16" fillId="0" borderId="7" xfId="0" applyNumberFormat="1" applyFont="1" applyBorder="1" applyAlignment="1">
      <alignment horizontal="center" vertical="center" wrapText="1"/>
    </xf>
    <xf numFmtId="218" fontId="7" fillId="0" borderId="7" xfId="0" applyNumberFormat="1" applyFont="1" applyBorder="1" applyAlignment="1">
      <alignment horizontal="center" vertical="center" wrapText="1"/>
    </xf>
    <xf numFmtId="218" fontId="7" fillId="0" borderId="3" xfId="0" applyNumberFormat="1" applyFont="1" applyBorder="1" applyAlignment="1">
      <alignment horizontal="center" vertical="center" wrapText="1"/>
    </xf>
    <xf numFmtId="14" fontId="16" fillId="0" borderId="0" xfId="0" applyNumberFormat="1" applyFont="1"/>
    <xf numFmtId="173" fontId="16" fillId="0" borderId="0" xfId="0" applyNumberFormat="1" applyFont="1"/>
    <xf numFmtId="176" fontId="7" fillId="0" borderId="45" xfId="0" applyNumberFormat="1" applyFont="1" applyBorder="1" applyAlignment="1">
      <alignment horizontal="center"/>
    </xf>
    <xf numFmtId="177" fontId="7" fillId="0" borderId="9" xfId="0" applyNumberFormat="1" applyFont="1" applyBorder="1" applyAlignment="1">
      <alignment horizontal="center"/>
    </xf>
    <xf numFmtId="177"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6" fontId="14" fillId="0" borderId="0" xfId="0" applyNumberFormat="1" applyFont="1"/>
    <xf numFmtId="216" fontId="56" fillId="0" borderId="0" xfId="0" applyNumberFormat="1" applyFont="1"/>
    <xf numFmtId="216" fontId="7" fillId="0" borderId="0" xfId="0" applyNumberFormat="1" applyFont="1"/>
    <xf numFmtId="216" fontId="51" fillId="0" borderId="0" xfId="0" applyNumberFormat="1" applyFont="1"/>
    <xf numFmtId="0" fontId="51" fillId="0" borderId="0" xfId="0" applyFont="1" applyAlignment="1">
      <alignment horizontal="right"/>
    </xf>
    <xf numFmtId="219" fontId="14" fillId="0" borderId="0" xfId="0" applyNumberFormat="1" applyFont="1"/>
    <xf numFmtId="219" fontId="56" fillId="0" borderId="0" xfId="0" applyNumberFormat="1" applyFont="1"/>
    <xf numFmtId="219" fontId="7" fillId="0" borderId="0" xfId="0" applyNumberFormat="1" applyFont="1"/>
    <xf numFmtId="219" fontId="51" fillId="0" borderId="0" xfId="0" applyNumberFormat="1" applyFont="1"/>
    <xf numFmtId="174"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6" fontId="14" fillId="0" borderId="0" xfId="0" applyNumberFormat="1" applyFont="1" applyAlignment="1">
      <alignment horizontal="center"/>
    </xf>
    <xf numFmtId="186" fontId="16" fillId="0" borderId="0" xfId="0" applyNumberFormat="1" applyFont="1" applyAlignment="1">
      <alignment horizontal="center"/>
    </xf>
    <xf numFmtId="206" fontId="7" fillId="0" borderId="61" xfId="0" applyNumberFormat="1" applyFont="1" applyBorder="1" applyAlignment="1">
      <alignment horizontal="center"/>
    </xf>
    <xf numFmtId="172" fontId="14" fillId="0" borderId="0" xfId="0" applyNumberFormat="1" applyFont="1" applyAlignment="1">
      <alignment horizontal="center"/>
    </xf>
    <xf numFmtId="172" fontId="16" fillId="0" borderId="0" xfId="0" applyNumberFormat="1" applyFont="1" applyAlignment="1">
      <alignment horizontal="center"/>
    </xf>
    <xf numFmtId="174" fontId="40" fillId="0" borderId="0" xfId="0" applyNumberFormat="1" applyFont="1" applyAlignment="1">
      <alignment horizontal="center"/>
    </xf>
    <xf numFmtId="174" fontId="41" fillId="0" borderId="0" xfId="0" applyNumberFormat="1" applyFont="1" applyAlignment="1">
      <alignment horizontal="center"/>
    </xf>
    <xf numFmtId="206" fontId="24" fillId="0" borderId="61" xfId="0" applyNumberFormat="1" applyFont="1" applyBorder="1" applyAlignment="1">
      <alignment horizontal="center"/>
    </xf>
    <xf numFmtId="206" fontId="24" fillId="0" borderId="0" xfId="0" applyNumberFormat="1" applyFont="1" applyAlignment="1">
      <alignment horizontal="center"/>
    </xf>
    <xf numFmtId="174" fontId="24" fillId="0" borderId="0" xfId="0" applyNumberFormat="1" applyFont="1" applyAlignment="1">
      <alignment horizontal="center"/>
    </xf>
    <xf numFmtId="175" fontId="14" fillId="0" borderId="0" xfId="0" applyNumberFormat="1" applyFont="1" applyAlignment="1">
      <alignment horizontal="center"/>
    </xf>
    <xf numFmtId="175" fontId="16" fillId="0" borderId="0" xfId="0" applyNumberFormat="1" applyFont="1" applyAlignment="1">
      <alignment horizontal="center"/>
    </xf>
    <xf numFmtId="172" fontId="14" fillId="0" borderId="1" xfId="0" applyNumberFormat="1" applyFont="1" applyBorder="1" applyAlignment="1">
      <alignment horizontal="center"/>
    </xf>
    <xf numFmtId="172" fontId="16" fillId="0" borderId="1" xfId="0" applyNumberFormat="1" applyFont="1" applyBorder="1" applyAlignment="1">
      <alignment horizontal="center"/>
    </xf>
    <xf numFmtId="206" fontId="7" fillId="0" borderId="62" xfId="0" applyNumberFormat="1" applyFont="1" applyBorder="1" applyAlignment="1">
      <alignment horizontal="center"/>
    </xf>
    <xf numFmtId="188" fontId="14" fillId="0" borderId="1" xfId="0" applyNumberFormat="1" applyFont="1" applyBorder="1" applyAlignment="1">
      <alignment horizontal="center"/>
    </xf>
    <xf numFmtId="188" fontId="16" fillId="0" borderId="1" xfId="0" applyNumberFormat="1" applyFont="1" applyBorder="1" applyAlignment="1">
      <alignment horizontal="center"/>
    </xf>
    <xf numFmtId="0" fontId="57" fillId="0" borderId="0" xfId="0" applyFont="1" applyAlignment="1">
      <alignment horizontal="center"/>
    </xf>
    <xf numFmtId="206" fontId="7" fillId="0" borderId="39" xfId="0" applyNumberFormat="1" applyFont="1" applyBorder="1" applyAlignment="1">
      <alignment horizontal="center"/>
    </xf>
    <xf numFmtId="206"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 ca="1">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 ca="1">Valuation!K65</f>
        <v>-86231.84266490294</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 ca="1">Valuation!K72</f>
        <v>-103287.84266490294</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 ca="1">Valuation!N137</f>
        <v>-24.124469589816126</v>
      </c>
      <c r="Q11" s="32">
        <f ca="1">Valuation!N138</f>
        <v>1e-12</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 ca="1">Valuation!K76</f>
        <v>-146.09312965332808</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 ca="1">Valuation!K77</f>
        <v>1e-12</v>
      </c>
      <c r="M13" s="16"/>
      <c r="N13" s="39" t="s">
        <v>19</v>
      </c>
      <c r="O13" s="37"/>
      <c r="P13" s="40">
        <f ca="1">Valuation!N215</f>
        <v>-24.124469589816126</v>
      </c>
      <c r="Q13" s="38">
        <f ca="1">Valuation!N216</f>
        <v>1e-12</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 ca="1">Valuation!R65</f>
        <v>-24699.491536901754</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 ca="1">Valuation!R72</f>
        <v>-41755.491536901754</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 ca="1">Valuation!F126</f>
        <v>1e-12</v>
      </c>
      <c r="Q18" s="32">
        <f ca="1">Valuation!F127</f>
        <v>1e-12</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 ca="1">Valuation!R76</f>
        <v>-59.06010118373657</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 ca="1">Valuation!R77</f>
        <v>1e-12</v>
      </c>
      <c r="M20" s="16"/>
      <c r="N20" s="39" t="s">
        <v>27</v>
      </c>
      <c r="O20" s="37"/>
      <c r="P20" s="40">
        <f ca="1">Valuation!F204</f>
        <v>1e-12</v>
      </c>
      <c r="Q20" s="38">
        <f ca="1">Valuation!F205</f>
        <v>1e-12</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 ca="1">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376.43</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404.47</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163.33</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 ca="1">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 ca="1">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 ca="1">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 ca="1">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 ca="1">Model!J24</f>
        <v>2023</v>
      </c>
      <c r="U4" s="109">
        <f ca="1">Model!O24</f>
        <v>2024</v>
      </c>
      <c r="V4" s="109">
        <f ca="1">Model!T24</f>
        <v>2025</v>
      </c>
      <c r="W4" s="109">
        <f ca="1">Model!Y24</f>
        <v>2026</v>
      </c>
      <c r="X4" s="109">
        <f ca="1">Model!AD24</f>
        <v>2027</v>
      </c>
      <c r="Y4" s="109">
        <f ca="1">Model!AE24</f>
        <v>2028</v>
      </c>
      <c r="Z4" s="109">
        <f ca="1">Model!AF24</f>
        <v>2029</v>
      </c>
      <c r="AA4" s="45">
        <f ca="1">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 ca="1">"Consolidated "&amp;Model!C25</f>
        <v>Consolidated Income Statement</v>
      </c>
      <c r="D6" s="110"/>
      <c r="E6" s="110"/>
      <c r="F6" s="110"/>
      <c r="G6" s="111" t="str">
        <f ca="1">Model!P25</f>
        <v>1Q25</v>
      </c>
      <c r="H6" s="111" t="str">
        <f ca="1">Model!Q25</f>
        <v>2Q25</v>
      </c>
      <c r="I6" s="111" t="str">
        <f ca="1">Model!R25</f>
        <v>3Q25</v>
      </c>
      <c r="J6" s="111" t="str">
        <f ca="1">Model!S25</f>
        <v>4Q25</v>
      </c>
      <c r="K6" s="111" t="str">
        <f ca="1">Model!U25</f>
        <v>1Q26</v>
      </c>
      <c r="L6" s="111" t="str">
        <f ca="1">Model!V25</f>
        <v>2Q26</v>
      </c>
      <c r="M6" s="111" t="str">
        <f ca="1">Model!W25</f>
        <v>3Q26e</v>
      </c>
      <c r="N6" s="111" t="str">
        <f ca="1">Model!X25</f>
        <v>4Q26e</v>
      </c>
      <c r="O6" s="111" t="str">
        <f ca="1">Model!Z25</f>
        <v>1Q27e</v>
      </c>
      <c r="P6" s="111" t="str">
        <f ca="1">Model!AA25</f>
        <v>2Q27e</v>
      </c>
      <c r="Q6" s="111" t="str">
        <f ca="1">Model!AB25</f>
        <v>3Q27e</v>
      </c>
      <c r="R6" s="111" t="str">
        <f ca="1">Model!AC25</f>
        <v>4Q27e</v>
      </c>
      <c r="S6" s="111"/>
      <c r="T6" s="111">
        <f ca="1">Model!J25</f>
        <v>2023</v>
      </c>
      <c r="U6" s="111">
        <f ca="1">Model!O25</f>
        <v>2024</v>
      </c>
      <c r="V6" s="111">
        <f ca="1">Model!T25</f>
        <v>2025</v>
      </c>
      <c r="W6" s="111" t="str">
        <f ca="1">Model!Y25</f>
        <v>2026e</v>
      </c>
      <c r="X6" s="111" t="str">
        <f ca="1">Model!AD25</f>
        <v>2027e</v>
      </c>
      <c r="Y6" s="111" t="str">
        <f ca="1">Model!AE25</f>
        <v>2028e</v>
      </c>
      <c r="Z6" s="111" t="str">
        <f ca="1">Model!AF25</f>
        <v>2029e</v>
      </c>
      <c r="AA6" s="111" t="str">
        <f ca="1">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 ca="1">Model!C28</f>
        <v>Revenue</v>
      </c>
      <c r="D8" s="16"/>
      <c r="E8" s="16"/>
      <c r="F8" s="16"/>
      <c r="G8" s="116">
        <f ca="1">Model!P28</f>
        <v>19675</v>
      </c>
      <c r="H8" s="116">
        <f ca="1">Model!Q28</f>
        <v>27302</v>
      </c>
      <c r="I8" s="116">
        <f ca="1">Model!R28</f>
        <v>22309</v>
      </c>
      <c r="J8" s="117">
        <f ca="1">Model!S28</f>
        <v>20311</v>
      </c>
      <c r="K8" s="116">
        <f ca="1">Model!U28</f>
        <v>24422</v>
      </c>
      <c r="L8" s="116">
        <f ca="1">Model!V28</f>
        <v>27570</v>
      </c>
      <c r="M8" s="116">
        <f ca="1">Model!W28</f>
        <v>22918</v>
      </c>
      <c r="N8" s="118">
        <f ca="1">Model!X28</f>
        <v>21772.1</v>
      </c>
      <c r="O8" s="116">
        <f ca="1">Model!Z28</f>
        <v>25691.077999999998</v>
      </c>
      <c r="P8" s="116">
        <f ca="1">Model!AA28</f>
        <v>29287.82892</v>
      </c>
      <c r="Q8" s="116">
        <f ca="1">Model!AB28</f>
        <v>25773.2894496</v>
      </c>
      <c r="R8" s="116">
        <f ca="1">Model!AC28</f>
        <v>24484.62497712</v>
      </c>
      <c r="S8" s="16"/>
      <c r="T8" s="116">
        <f ca="1">Model!J28</f>
        <v>71309</v>
      </c>
      <c r="U8" s="116">
        <f ca="1">Model!O28</f>
        <v>72148</v>
      </c>
      <c r="V8" s="117">
        <f ca="1">Model!T28</f>
        <v>89597</v>
      </c>
      <c r="W8" s="116">
        <f ca="1">Model!Y28</f>
        <v>96682.1</v>
      </c>
      <c r="X8" s="116">
        <f ca="1">Model!AD28</f>
        <v>105236.82134671998</v>
      </c>
      <c r="Y8" s="116">
        <f ca="1">Model!AE28</f>
        <v>107341.55777365438</v>
      </c>
      <c r="Z8" s="116">
        <f ca="1">Model!AF28</f>
        <v>109488.38892912747</v>
      </c>
      <c r="AA8" s="116">
        <f ca="1">Model!AG28</f>
        <v>111678.15670771002</v>
      </c>
      <c r="AB8" s="16"/>
      <c r="AC8" s="119">
        <f ca="1">IFERROR((V8/T8)^(1/(V$4-T$4))-1,"N/A")</f>
        <v>0.12091985272961936</v>
      </c>
      <c r="AD8" s="84"/>
      <c r="AE8" s="119">
        <f ca="1">IFERROR((AA8/V8)^(1/(AA$4-V$4))-1,"N/A")</f>
        <v>0.04504490866789568</v>
      </c>
    </row>
    <row r="9" ht="13.5" customHeight="1" spans="1:31" x14ac:dyDescent="0.25">
      <c r="A9" s="17"/>
      <c r="B9" s="16"/>
      <c r="C9" s="120" t="s">
        <v>107</v>
      </c>
      <c r="D9" s="16"/>
      <c r="E9" s="16"/>
      <c r="F9" s="16"/>
      <c r="G9" s="16"/>
      <c r="H9" s="121"/>
      <c r="I9" s="121"/>
      <c r="J9" s="122"/>
      <c r="K9" s="121">
        <f t="shared" ref="K9:R9" si="0" ca="1">K8/G8-1</f>
        <v>0.24127064803049558</v>
      </c>
      <c r="L9" s="121">
        <f ca="1">L8/H8-1</f>
        <v>0.00981613068639664</v>
      </c>
      <c r="M9" s="121">
        <f ca="1">M8/I8-1</f>
        <v>0.027298399748980184</v>
      </c>
      <c r="N9" s="123">
        <f ca="1">N8/J8-1</f>
        <v>0.07193638914873701</v>
      </c>
      <c r="O9" s="121">
        <f ca="1">O8/K8-1</f>
        <v>0.051964540168700335</v>
      </c>
      <c r="P9" s="121">
        <f ca="1">P8/L8-1</f>
        <v>0.062307904243743106</v>
      </c>
      <c r="Q9" s="121">
        <f ca="1">Q8/M8-1</f>
        <v>0.12458720000000012</v>
      </c>
      <c r="R9" s="121">
        <f ca="1">R8/N8-1</f>
        <v>0.1245871999999999</v>
      </c>
      <c r="S9" s="16"/>
      <c r="T9" s="121"/>
      <c r="U9" s="121">
        <f t="shared" ref="U9:AA9" si="1" ca="1">IF(ISERROR(U8/T8-1),"NA",(U8/T8-1))</f>
        <v>0.01176569577472697</v>
      </c>
      <c r="V9" s="122">
        <f ca="1">IF(ISERROR(V8/U8-1),"NA",(V8/U8-1))</f>
        <v>0.2418500859344681</v>
      </c>
      <c r="W9" s="121">
        <f ca="1">IF(ISERROR(W8/V8-1),"NA",(W8/V8-1))</f>
        <v>0.07907742446733712</v>
      </c>
      <c r="X9" s="121">
        <f ca="1">IF(ISERROR(X8/W8-1),"NA",(X8/W8-1))</f>
        <v>0.08848299061273979</v>
      </c>
      <c r="Y9" s="121">
        <f ca="1">IF(ISERROR(Y8/X8-1),"NA",(Y8/X8-1))</f>
        <v>0.020000000000000018</v>
      </c>
      <c r="Z9" s="121">
        <f ca="1">IF(ISERROR(Z8/Y8-1),"NA",(Z8/Y8-1))</f>
        <v>0.020000000000000018</v>
      </c>
      <c r="AA9" s="121">
        <f ca="1">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 ca="1">Model!C30</f>
        <v>Gross Profit</v>
      </c>
      <c r="D11" s="16"/>
      <c r="E11" s="16"/>
      <c r="F11" s="16"/>
      <c r="G11" s="116">
        <f ca="1">Model!P30</f>
        <v>6513</v>
      </c>
      <c r="H11" s="116">
        <f ca="1">Model!Q30</f>
        <v>9304</v>
      </c>
      <c r="I11" s="116">
        <f ca="1">Model!R30</f>
        <v>7300</v>
      </c>
      <c r="J11" s="117">
        <f ca="1">Model!S30</f>
        <v>6466</v>
      </c>
      <c r="K11" s="116">
        <f ca="1">Model!U30</f>
        <v>8130</v>
      </c>
      <c r="L11" s="116">
        <f ca="1">Model!V30</f>
        <v>9312</v>
      </c>
      <c r="M11" s="116">
        <f ca="1">Model!W30</f>
        <v>7587</v>
      </c>
      <c r="N11" s="118">
        <f ca="1">Model!X30</f>
        <v>2830.3729999999996</v>
      </c>
      <c r="O11" s="116">
        <f ca="1">Model!Z30</f>
        <v>3596.7509199999986</v>
      </c>
      <c r="P11" s="116">
        <f ca="1">Model!AA30</f>
        <v>4246.7351934</v>
      </c>
      <c r="Q11" s="116">
        <f ca="1">Model!AB30</f>
        <v>3092.7947339519997</v>
      </c>
      <c r="R11" s="116">
        <f ca="1">Model!AC30</f>
        <v>3305.4243719111983</v>
      </c>
      <c r="S11" s="16"/>
      <c r="T11" s="116">
        <f ca="1">Model!J30</f>
        <v>22908</v>
      </c>
      <c r="U11" s="116">
        <f ca="1">Model!O30</f>
        <v>22943</v>
      </c>
      <c r="V11" s="117">
        <f ca="1">Model!T30</f>
        <v>29583</v>
      </c>
      <c r="W11" s="116">
        <f ca="1">Model!Y30</f>
        <v>27859.373</v>
      </c>
      <c r="X11" s="116">
        <f ca="1">Model!AD30</f>
        <v>14241.705219263196</v>
      </c>
      <c r="Y11" s="116">
        <f ca="1">Model!AE30</f>
        <v>14920.476530537955</v>
      </c>
      <c r="Z11" s="116">
        <f ca="1">Model!AF30</f>
        <v>15328.374450077841</v>
      </c>
      <c r="AA11" s="116">
        <f ca="1">Model!AG30</f>
        <v>15858.298252494831</v>
      </c>
      <c r="AB11" s="16"/>
      <c r="AC11" s="119">
        <f ca="1">IFERROR((V11/T11)^(1/(V$4-T$4))-1,"N/A")</f>
        <v>0.13639030398729335</v>
      </c>
      <c r="AD11" s="84"/>
      <c r="AE11" s="119">
        <f ca="1">IFERROR((AA11/V11)^(1/(AA$4-V$4))-1,"N/A")</f>
        <v>-0.1172395373691637</v>
      </c>
    </row>
    <row r="12" ht="13.5" customHeight="1" spans="1:31" x14ac:dyDescent="0.25">
      <c r="A12" s="17"/>
      <c r="B12" s="16"/>
      <c r="C12" s="120" t="s">
        <v>108</v>
      </c>
      <c r="D12" s="16"/>
      <c r="E12" s="16"/>
      <c r="F12" s="16"/>
      <c r="G12" s="121">
        <f t="shared" ref="G12:R12" si="2" ca="1">G11/G$8</f>
        <v>0.3310292249047014</v>
      </c>
      <c r="H12" s="121">
        <f ca="1">H11/H$8</f>
        <v>0.3407808951725148</v>
      </c>
      <c r="I12" s="121">
        <f ca="1">I11/I$8</f>
        <v>0.3272221973194675</v>
      </c>
      <c r="J12" s="122">
        <f ca="1">J11/J$8</f>
        <v>0.31834966274432575</v>
      </c>
      <c r="K12" s="121">
        <f ca="1">K11/K$8</f>
        <v>0.3328965686675948</v>
      </c>
      <c r="L12" s="121">
        <f ca="1">L11/L$8</f>
        <v>0.33775843307943415</v>
      </c>
      <c r="M12" s="121">
        <f ca="1">M11/M$8</f>
        <v>0.33104982982808273</v>
      </c>
      <c r="N12" s="123">
        <f ca="1">N11/N$8</f>
        <v>0.12999999999999998</v>
      </c>
      <c r="O12" s="121">
        <f ca="1">O11/O$8</f>
        <v>0.13999999999999996</v>
      </c>
      <c r="P12" s="121">
        <f ca="1">P11/P$8</f>
        <v>0.145</v>
      </c>
      <c r="Q12" s="121">
        <f ca="1">Q11/Q$8</f>
        <v>0.11999999999999998</v>
      </c>
      <c r="R12" s="121">
        <f ca="1">R11/R$8</f>
        <v>0.13499999999999993</v>
      </c>
      <c r="S12" s="16"/>
      <c r="T12" s="121">
        <f t="shared" ref="T12:AA12" si="3" ca="1">T11/T$8</f>
        <v>0.3212497721185264</v>
      </c>
      <c r="U12" s="121">
        <f ca="1">U11/U$8</f>
        <v>0.3179991129345235</v>
      </c>
      <c r="V12" s="122">
        <f ca="1">V11/V$8</f>
        <v>0.3301784657968459</v>
      </c>
      <c r="W12" s="121">
        <f ca="1">W11/W$8</f>
        <v>0.28815440500361494</v>
      </c>
      <c r="X12" s="121">
        <f ca="1">X11/X$8</f>
        <v>0.13533005878561802</v>
      </c>
      <c r="Y12" s="121">
        <f ca="1">Y11/Y$8</f>
        <v>0.13899999999999996</v>
      </c>
      <c r="Z12" s="121">
        <f ca="1">Z11/Z$8</f>
        <v>0.13999999999999996</v>
      </c>
      <c r="AA12" s="121">
        <f ca="1">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 ca="1">K11/G11-1</f>
        <v>0.24827268539843383</v>
      </c>
      <c r="L13" s="121">
        <f ca="1">L11/H11-1</f>
        <v>0.0008598452278589797</v>
      </c>
      <c r="M13" s="121">
        <f ca="1">M11/I11-1</f>
        <v>0.039315068493150696</v>
      </c>
      <c r="N13" s="123">
        <f ca="1">N11/J11-1</f>
        <v>-0.5622683266316115</v>
      </c>
      <c r="O13" s="121">
        <f ca="1">O11/K11-1</f>
        <v>-0.5575952127921281</v>
      </c>
      <c r="P13" s="121">
        <f ca="1">P11/L11-1</f>
        <v>-0.5439502584407216</v>
      </c>
      <c r="Q13" s="121">
        <f ca="1">Q11/M11-1</f>
        <v>-0.592356038756821</v>
      </c>
      <c r="R13" s="121">
        <f ca="1">R11/N11-1</f>
        <v>0.16784055384615337</v>
      </c>
      <c r="S13" s="16"/>
      <c r="T13" s="121"/>
      <c r="U13" s="121">
        <f t="shared" ref="U13:AA13" si="5" ca="1">U11/T11-1</f>
        <v>0.0015278505325651004</v>
      </c>
      <c r="V13" s="122">
        <f ca="1">V11/U11-1</f>
        <v>0.28941289282133975</v>
      </c>
      <c r="W13" s="121">
        <f ca="1">W11/V11-1</f>
        <v>-0.05826410438427476</v>
      </c>
      <c r="X13" s="121">
        <f ca="1">X11/W11-1</f>
        <v>-0.4888002246402603</v>
      </c>
      <c r="Y13" s="121">
        <f ca="1">Y11/X11-1</f>
        <v>0.047660817354698404</v>
      </c>
      <c r="Z13" s="121">
        <f ca="1">Z11/Y11-1</f>
        <v>0.027338129496402797</v>
      </c>
      <c r="AA13" s="121">
        <f ca="1">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 ca="1">Model!C36</f>
        <v>EBIT</v>
      </c>
      <c r="D15" s="16"/>
      <c r="E15" s="16"/>
      <c r="F15" s="16"/>
      <c r="G15" s="116">
        <f ca="1">Model!P36</f>
        <v>1991</v>
      </c>
      <c r="H15" s="116">
        <f ca="1">Model!Q36</f>
        <v>3957</v>
      </c>
      <c r="I15" s="116">
        <f ca="1">Model!R36</f>
        <v>2175</v>
      </c>
      <c r="J15" s="117">
        <f ca="1">Model!S36</f>
        <v>2769</v>
      </c>
      <c r="K15" s="116">
        <f ca="1">Model!U36</f>
        <v>3245</v>
      </c>
      <c r="L15" s="116">
        <f ca="1">Model!V36</f>
        <v>4210</v>
      </c>
      <c r="M15" s="116">
        <f ca="1">Model!W36</f>
        <v>2789</v>
      </c>
      <c r="N15" s="118">
        <f ca="1">Model!X36</f>
        <v>-2290.6765000000005</v>
      </c>
      <c r="O15" s="116">
        <f ca="1">Model!Z36</f>
        <v>-2515.6105485000016</v>
      </c>
      <c r="P15" s="116">
        <f ca="1">Model!AA36</f>
        <v>-2679.87777878625</v>
      </c>
      <c r="Q15" s="116">
        <f ca="1">Model!AB36</f>
        <v>-2919.561323639691</v>
      </c>
      <c r="R15" s="116">
        <f ca="1">Model!AC36</f>
        <v>-2425.1039887192537</v>
      </c>
      <c r="S15" s="16"/>
      <c r="T15" s="116">
        <f ca="1">Model!J36</f>
        <v>4018</v>
      </c>
      <c r="U15" s="116">
        <f ca="1">Model!O36</f>
        <v>6314</v>
      </c>
      <c r="V15" s="117">
        <f ca="1">Model!T36</f>
        <v>10892</v>
      </c>
      <c r="W15" s="116">
        <f ca="1">Model!Y36</f>
        <v>7953.3234999999995</v>
      </c>
      <c r="X15" s="116">
        <f ca="1">Model!AD36</f>
        <v>-10540.153639645196</v>
      </c>
      <c r="Y15" s="116">
        <f ca="1">Model!AE36</f>
        <v>-9578.113551031161</v>
      </c>
      <c r="Z15" s="116">
        <f ca="1">Model!AF36</f>
        <v>-9246.151445858737</v>
      </c>
      <c r="AA15" s="116">
        <f ca="1">Model!AG36</f>
        <v>-8671.522881345929</v>
      </c>
      <c r="AB15" s="16"/>
      <c r="AC15" s="119">
        <f ca="1">IFERROR((V15/T15)^(1/(V$4-T$4))-1,"N/A")</f>
        <v>0.6464511513337476</v>
      </c>
      <c r="AD15" s="84"/>
      <c r="AE15" s="119">
        <f ca="1">IFERROR((AA15/V15)^(1/(AA$4-V$4))-1,"N/A")</f>
        <v>-1.9554270841029506</v>
      </c>
    </row>
    <row r="16" ht="13.5" customHeight="1" spans="1:31" x14ac:dyDescent="0.25">
      <c r="A16" s="17"/>
      <c r="B16" s="16"/>
      <c r="C16" s="120" t="s">
        <v>109</v>
      </c>
      <c r="D16" s="16"/>
      <c r="E16" s="16"/>
      <c r="F16" s="16"/>
      <c r="G16" s="121">
        <f t="shared" ref="G16:R16" si="6" ca="1">G15/G$8</f>
        <v>0.10119440914866581</v>
      </c>
      <c r="H16" s="121">
        <f ca="1">H15/H$8</f>
        <v>0.14493443703757966</v>
      </c>
      <c r="I16" s="121">
        <f ca="1">I15/I$8</f>
        <v>0.09749428481778655</v>
      </c>
      <c r="J16" s="122">
        <f ca="1">J15/J$8</f>
        <v>0.13633006745113485</v>
      </c>
      <c r="K16" s="121">
        <f ca="1">K15/K$8</f>
        <v>0.132872000655147</v>
      </c>
      <c r="L16" s="121">
        <f ca="1">L15/L$8</f>
        <v>0.15270221254987304</v>
      </c>
      <c r="M16" s="121">
        <f ca="1">M15/M$8</f>
        <v>0.1216947377607121</v>
      </c>
      <c r="N16" s="123">
        <f ca="1">N15/N$8</f>
        <v>-0.10521155515545128</v>
      </c>
      <c r="O16" s="121">
        <f ca="1">O15/O$8</f>
        <v>-0.09791767198324655</v>
      </c>
      <c r="P16" s="121">
        <f ca="1">P15/P$8</f>
        <v>-0.09150141466977164</v>
      </c>
      <c r="Q16" s="121">
        <f ca="1">Q15/Q$8</f>
        <v>-0.11327856808301211</v>
      </c>
      <c r="R16" s="121">
        <f ca="1">R15/R$8</f>
        <v>-0.09904599278058888</v>
      </c>
      <c r="S16" s="16"/>
      <c r="T16" s="121">
        <f t="shared" ref="T16:AA16" si="7" ca="1">T15/T$8</f>
        <v>0.05634632374595072</v>
      </c>
      <c r="U16" s="121">
        <f ca="1">U15/U$8</f>
        <v>0.08751455341797416</v>
      </c>
      <c r="V16" s="122">
        <f ca="1">V15/V$8</f>
        <v>0.12156657030927374</v>
      </c>
      <c r="W16" s="121">
        <f ca="1">W15/W$8</f>
        <v>0.08226262669098001</v>
      </c>
      <c r="X16" s="121">
        <f ca="1">X15/X$8</f>
        <v>-0.10015651845772622</v>
      </c>
      <c r="Y16" s="121">
        <f ca="1">Y15/Y$8</f>
        <v>-0.08923024548635708</v>
      </c>
      <c r="Z16" s="121">
        <f ca="1">Z15/Z$8</f>
        <v>-0.08444869393268568</v>
      </c>
      <c r="AA16" s="121">
        <f ca="1">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 ca="1">K15/G15-1</f>
        <v>0.6298342541436464</v>
      </c>
      <c r="L17" s="121">
        <f ca="1">L15/H15-1</f>
        <v>0.06393732625726556</v>
      </c>
      <c r="M17" s="121">
        <f ca="1">M15/I15-1</f>
        <v>0.2822988505747126</v>
      </c>
      <c r="N17" s="123">
        <f ca="1">N15/J15-1</f>
        <v>-1.8272576742506321</v>
      </c>
      <c r="O17" s="121">
        <f ca="1">O15/K15-1</f>
        <v>-1.7752266713405245</v>
      </c>
      <c r="P17" s="121">
        <f ca="1">P15/L15-1</f>
        <v>-1.6365505412793944</v>
      </c>
      <c r="Q17" s="121">
        <f ca="1">Q15/M15-1</f>
        <v>-2.0468129521834677</v>
      </c>
      <c r="R17" s="121">
        <f ca="1">R15/N15-1</f>
        <v>0.05868462383023232</v>
      </c>
      <c r="S17" s="16"/>
      <c r="T17" s="121"/>
      <c r="U17" s="121">
        <f t="shared" ref="U17:AA17" si="9" ca="1">U15/T15-1</f>
        <v>0.5714285714285714</v>
      </c>
      <c r="V17" s="122">
        <f ca="1">V15/U15-1</f>
        <v>0.7250554323725056</v>
      </c>
      <c r="W17" s="121">
        <f ca="1">W15/V15-1</f>
        <v>-0.26980136797649656</v>
      </c>
      <c r="X17" s="121">
        <f ca="1">X15/W15-1</f>
        <v>-2.3252514674708245</v>
      </c>
      <c r="Y17" s="121">
        <f ca="1">Y15/X15-1</f>
        <v>-0.09127382024067143</v>
      </c>
      <c r="Z17" s="121">
        <f ca="1">Z15/Y15-1</f>
        <v>-0.03465840151129618</v>
      </c>
      <c r="AA17" s="121">
        <f ca="1">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 ca="1">Model!C45</f>
        <v>Net Income (Loss)</v>
      </c>
      <c r="D19" s="16"/>
      <c r="E19" s="16"/>
      <c r="F19" s="16"/>
      <c r="G19" s="116">
        <f ca="1">Model!P45</f>
        <v>1337</v>
      </c>
      <c r="H19" s="116">
        <f ca="1">Model!Q45</f>
        <v>2828</v>
      </c>
      <c r="I19" s="116">
        <f ca="1">Model!R45</f>
        <v>692</v>
      </c>
      <c r="J19" s="117">
        <f ca="1">Model!S45</f>
        <v>978</v>
      </c>
      <c r="K19" s="116">
        <f ca="1">Model!U45</f>
        <v>2321</v>
      </c>
      <c r="L19" s="116">
        <f ca="1">Model!V45</f>
        <v>3018</v>
      </c>
      <c r="M19" s="116">
        <f ca="1">Model!W45</f>
        <v>1896</v>
      </c>
      <c r="N19" s="118">
        <f ca="1">Model!X45</f>
        <v>-1906.5764130000002</v>
      </c>
      <c r="O19" s="116">
        <f ca="1">Model!Z45</f>
        <v>-2088.1510786813706</v>
      </c>
      <c r="P19" s="116">
        <f ca="1">Model!AA45</f>
        <v>-2223.6189625202887</v>
      </c>
      <c r="Q19" s="116">
        <f ca="1">Model!AB45</f>
        <v>-2402.4629566089043</v>
      </c>
      <c r="R19" s="116">
        <f ca="1">Model!AC45</f>
        <v>-2041.8326860988805</v>
      </c>
      <c r="S19" s="16"/>
      <c r="T19" s="116">
        <f ca="1">Model!J45</f>
        <v>2314</v>
      </c>
      <c r="U19" s="116">
        <f ca="1">Model!O45</f>
        <v>4281</v>
      </c>
      <c r="V19" s="117">
        <f ca="1">Model!T45</f>
        <v>5835</v>
      </c>
      <c r="W19" s="116">
        <f ca="1">Model!Y45</f>
        <v>-71880.576413</v>
      </c>
      <c r="X19" s="116">
        <f ca="1">Model!AD45</f>
        <v>-8756.065683909444</v>
      </c>
      <c r="Y19" s="116">
        <f ca="1">Model!AE45</f>
        <v>-8305.787296170085</v>
      </c>
      <c r="Z19" s="116">
        <f ca="1">Model!AF45</f>
        <v>-8407.308803021499</v>
      </c>
      <c r="AA19" s="116">
        <f ca="1">Model!AG45</f>
        <v>-8362.863947747299</v>
      </c>
      <c r="AB19" s="16"/>
      <c r="AC19" s="119">
        <f ca="1">IFERROR((V19/T19)^(1/(V$4-T$4))-1,"N/A")</f>
        <v>0.5879570541665378</v>
      </c>
      <c r="AD19" s="84"/>
      <c r="AE19" s="119" t="str">
        <f ca="1">IFERROR((AA19/V19)^(1/(AA$4-V$4))-1,"N/A")</f>
        <v>N/A</v>
      </c>
    </row>
    <row r="20" ht="13.5" customHeight="1" spans="1:31" x14ac:dyDescent="0.25">
      <c r="A20" s="17"/>
      <c r="B20" s="16"/>
      <c r="C20" s="120" t="s">
        <v>109</v>
      </c>
      <c r="D20" s="16"/>
      <c r="E20" s="16"/>
      <c r="F20" s="16"/>
      <c r="G20" s="121">
        <f t="shared" ref="G20:R20" si="10" ca="1">G19/G$8</f>
        <v>0.06795425667090216</v>
      </c>
      <c r="H20" s="121">
        <f ca="1">H19/H$8</f>
        <v>0.10358215515346861</v>
      </c>
      <c r="I20" s="121">
        <f ca="1">I19/I$8</f>
        <v>0.03101887130754404</v>
      </c>
      <c r="J20" s="122">
        <f ca="1">J19/J$8</f>
        <v>0.04815124809216681</v>
      </c>
      <c r="K20" s="121">
        <f ca="1">K19/K$8</f>
        <v>0.09503726148554582</v>
      </c>
      <c r="L20" s="121">
        <f ca="1">L19/L$8</f>
        <v>0.10946681175190424</v>
      </c>
      <c r="M20" s="121">
        <f ca="1">M19/M$8</f>
        <v>0.08272973208831486</v>
      </c>
      <c r="N20" s="123">
        <f ca="1">N19/N$8</f>
        <v>-0.08756970678069641</v>
      </c>
      <c r="O20" s="121">
        <f ca="1">O19/O$8</f>
        <v>-0.08127923159477274</v>
      </c>
      <c r="P20" s="121">
        <f ca="1">P19/P$8</f>
        <v>-0.07592297020698005</v>
      </c>
      <c r="Q20" s="121">
        <f ca="1">Q19/Q$8</f>
        <v>-0.09321522428508598</v>
      </c>
      <c r="R20" s="121">
        <f ca="1">R19/R$8</f>
        <v>-0.08339244272709505</v>
      </c>
      <c r="S20" s="16"/>
      <c r="T20" s="121">
        <f t="shared" ref="T20:AA20" si="11" ca="1">T19/T$8</f>
        <v>0.03245032183875808</v>
      </c>
      <c r="U20" s="121">
        <f ca="1">U19/U$8</f>
        <v>0.059336364140378114</v>
      </c>
      <c r="V20" s="122">
        <f ca="1">V19/V$8</f>
        <v>0.06512494837996807</v>
      </c>
      <c r="W20" s="121">
        <f ca="1">W19/W$8</f>
        <v>-1.6084228142922035</v>
      </c>
      <c r="X20" s="121">
        <f ca="1">X19/X$8</f>
        <v>-0.08320344126568731</v>
      </c>
      <c r="Y20" s="121">
        <f ca="1">Y19/Y$8</f>
        <v>-0.07737718241134596</v>
      </c>
      <c r="Z20" s="121">
        <f ca="1">Z19/Z$8</f>
        <v>-0.07678721812651389</v>
      </c>
      <c r="AA20" s="121">
        <f ca="1">AA19/AA$8</f>
        <v>-0.07488361371897487</v>
      </c>
      <c r="AB20" s="16"/>
      <c r="AC20" s="126"/>
      <c r="AD20" s="84"/>
      <c r="AE20" s="126"/>
    </row>
    <row r="21" ht="13.5" customHeight="1" spans="1:31" x14ac:dyDescent="0.25">
      <c r="A21" s="17"/>
      <c r="B21" s="16"/>
      <c r="C21" s="120" t="s">
        <v>107</v>
      </c>
      <c r="D21" s="16"/>
      <c r="E21" s="16"/>
      <c r="F21" s="16"/>
      <c r="G21" s="16"/>
      <c r="H21" s="121"/>
      <c r="I21" s="121"/>
      <c r="J21" s="122"/>
      <c r="K21" s="121">
        <f t="shared" ref="K21:R21" si="12" ca="1">K19/G19-1</f>
        <v>0.7359760658189978</v>
      </c>
      <c r="L21" s="121">
        <f ca="1">L19/H19-1</f>
        <v>0.06718528995756712</v>
      </c>
      <c r="M21" s="121">
        <f ca="1">M19/I19-1</f>
        <v>1.739884393063584</v>
      </c>
      <c r="N21" s="123">
        <f ca="1">N19/J19-1</f>
        <v>-0.9759798370625141</v>
      </c>
      <c r="O21" s="121">
        <f ca="1">O19/K19-1</f>
        <v>-0.9558698364537518</v>
      </c>
      <c r="P21" s="121">
        <f ca="1">P19/L19-1</f>
        <v>-0.9094322677370361</v>
      </c>
      <c r="Q21" s="121">
        <f ca="1">Q19/M19-1</f>
        <v>-2.267121812557439</v>
      </c>
      <c r="R21" s="121">
        <f ca="1">R19/N19-1</f>
        <v>0.07094196286948407</v>
      </c>
      <c r="S21" s="16"/>
      <c r="T21" s="121"/>
      <c r="U21" s="121">
        <f t="shared" ref="U21:AA21" si="13" ca="1">U19/T19-1</f>
        <v>0.8500432152117545</v>
      </c>
      <c r="V21" s="122">
        <f ca="1">V19/U19-1</f>
        <v>0.362999299229152</v>
      </c>
      <c r="W21" s="121">
        <f ca="1">W19/V19-1</f>
        <v>-0.7344316949868288</v>
      </c>
      <c r="X21" s="121">
        <f ca="1">X19/W19-1</f>
        <v>-0.8781859283709659</v>
      </c>
      <c r="Y21" s="121">
        <f ca="1">Y19/X19-1</f>
        <v>-0.051424738460654984</v>
      </c>
      <c r="Z21" s="121">
        <f ca="1">Z19/Y19-1</f>
        <v>0.012222984195396691</v>
      </c>
      <c r="AA21" s="121">
        <f ca="1">AA19/Z19-1</f>
        <v>-0.005286454478539704</v>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 ca="1">Model!C57</f>
        <v>Adj. EPS (Diluted)</v>
      </c>
      <c r="D23" s="16"/>
      <c r="E23" s="16"/>
      <c r="F23" s="16"/>
      <c r="G23" s="127">
        <f ca="1">Model!P57</f>
        <v>1.7785185185185184</v>
      </c>
      <c r="H23" s="127">
        <f ca="1">Model!Q57</f>
        <v>3.7656440903054453</v>
      </c>
      <c r="I23" s="127">
        <f ca="1">Model!R57</f>
        <v>1.987771883289125</v>
      </c>
      <c r="J23" s="128">
        <f ca="1">Model!S57</f>
        <v>1.304</v>
      </c>
      <c r="K23" s="127">
        <f ca="1">Model!U57</f>
        <v>3.223611111111111</v>
      </c>
      <c r="L23" s="127">
        <f ca="1">Model!V57</f>
        <v>4.2687411598302685</v>
      </c>
      <c r="M23" s="127">
        <f ca="1">Model!W57</f>
        <v>2.729768786127168</v>
      </c>
      <c r="N23" s="129">
        <f ca="1">Model!X57</f>
        <v>-2.8259180421336656</v>
      </c>
      <c r="O23" s="127">
        <f ca="1">Model!Z57</f>
        <v>-3.104915211037884</v>
      </c>
      <c r="P23" s="127">
        <f ca="1">Model!AA57</f>
        <v>-3.316920738766063</v>
      </c>
      <c r="Q23" s="127">
        <f ca="1">Model!AB57</f>
        <v>-3.59519759603321</v>
      </c>
      <c r="R23" s="127">
        <f ca="1">Model!AC57</f>
        <v>-3.0653638260786638</v>
      </c>
      <c r="S23" s="127"/>
      <c r="T23" s="127">
        <f ca="1">Model!J57</f>
        <v>5.194244694132335</v>
      </c>
      <c r="U23" s="127">
        <f ca="1">Model!O57</f>
        <v>5.579900124843945</v>
      </c>
      <c r="V23" s="128">
        <f ca="1">Model!T57</f>
        <v>8.875826666666669</v>
      </c>
      <c r="W23" s="127">
        <f ca="1">Model!Y57</f>
        <v>-102.92904503921115</v>
      </c>
      <c r="X23" s="127">
        <f ca="1">Model!AD57</f>
        <v>-13.082141682231297</v>
      </c>
      <c r="Y23" s="127">
        <f ca="1">Model!AE57</f>
        <v>-12.611410309994877</v>
      </c>
      <c r="Z23" s="127">
        <f ca="1">Model!AF57</f>
        <v>-13.019902824371156</v>
      </c>
      <c r="AA23" s="127">
        <f ca="1">Model!AG57</f>
        <v>-13.21435911805129</v>
      </c>
      <c r="AB23" s="16"/>
      <c r="AC23" s="119">
        <f ca="1">IFERROR((V23/T23)^(1/(V$4-T$4))-1,"N/A")</f>
        <v>0.30720350543331</v>
      </c>
      <c r="AD23" s="84"/>
      <c r="AE23" s="119" t="str">
        <f ca="1">IFERROR((AA23/V23)^(1/(AA$4-V$4))-1,"N/A")</f>
        <v>N/A</v>
      </c>
    </row>
    <row r="24" ht="13.5" customHeight="1" spans="1:31" x14ac:dyDescent="0.25">
      <c r="A24" s="17"/>
      <c r="B24" s="16"/>
      <c r="C24" s="120" t="s">
        <v>107</v>
      </c>
      <c r="D24" s="16"/>
      <c r="E24" s="16"/>
      <c r="F24" s="16"/>
      <c r="G24" s="16"/>
      <c r="H24" s="121"/>
      <c r="I24" s="121"/>
      <c r="J24" s="122"/>
      <c r="K24" s="121">
        <f t="shared" ref="K24:R24" si="14" ca="1">K23/G23-1</f>
        <v>0.8125260308204916</v>
      </c>
      <c r="L24" s="121">
        <f ca="1">L23/H23-1</f>
        <v>0.133601863973293</v>
      </c>
      <c r="M24" s="121">
        <f ca="1">M23/I23-1</f>
        <v>0.3732807114719201</v>
      </c>
      <c r="N24" s="123">
        <f ca="1">N23/J23-1</f>
        <v>-0.9732980757981171</v>
      </c>
      <c r="O24" s="121">
        <f ca="1">O23/K23-1</f>
        <v>-0.9527549991135028</v>
      </c>
      <c r="P24" s="121">
        <f ca="1">P23/L23-1</f>
        <v>-0.9044858682670411</v>
      </c>
      <c r="Q24" s="121">
        <f ca="1">Q23/M23-1</f>
        <v>-2.3170337408443524</v>
      </c>
      <c r="R24" s="121">
        <f ca="1">R23/N23-1</f>
        <v>0.08473203411242891</v>
      </c>
      <c r="S24" s="16"/>
      <c r="T24" s="121"/>
      <c r="U24" s="121">
        <f t="shared" ref="U24:AA24" si="15" ca="1">IF(ISERROR(U23/T23-1),"NA",(U23/T23-1))</f>
        <v>0.07424668136009549</v>
      </c>
      <c r="V24" s="122">
        <f ca="1">IF(ISERROR(V23/U23-1),"NA",(V23/U23-1))</f>
        <v>0.5906784114554204</v>
      </c>
      <c r="W24" s="121" t="str">
        <f ca="1">IF(ISERROR(W23/V23-1),"NA",(W23/V23-1))</f>
        <v>NA</v>
      </c>
      <c r="X24" s="121" t="str">
        <f ca="1">IF(ISERROR(X23/W23-1),"NA",(X23/W23-1))</f>
        <v>NA</v>
      </c>
      <c r="Y24" s="121" t="str">
        <f ca="1">IF(ISERROR(Y23/X23-1),"NA",(Y23/X23-1))</f>
        <v>NA</v>
      </c>
      <c r="Z24" s="121" t="str">
        <f ca="1">IF(ISERROR(Z23/Y23-1),"NA",(Z23/Y23-1))</f>
        <v>NA</v>
      </c>
      <c r="AA24" s="121" t="str">
        <f ca="1">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 ca="1">Model!C61</f>
        <v>EBITDA</v>
      </c>
      <c r="D27" s="16"/>
      <c r="E27" s="16"/>
      <c r="F27" s="16"/>
      <c r="G27" s="116">
        <f ca="1">Model!P61</f>
        <v>2324.56</v>
      </c>
      <c r="H27" s="116">
        <f ca="1">Model!Q61</f>
        <v>4291.530000000001</v>
      </c>
      <c r="I27" s="116">
        <f ca="1">Model!R61</f>
        <v>3336.78</v>
      </c>
      <c r="J27" s="117">
        <f ca="1">Model!S61</f>
        <v>3159</v>
      </c>
      <c r="K27" s="116">
        <f ca="1">Model!U61</f>
        <v>3636</v>
      </c>
      <c r="L27" s="116">
        <f ca="1">Model!V61</f>
        <v>4619</v>
      </c>
      <c r="M27" s="116">
        <f ca="1">Model!W61</f>
        <v>3207</v>
      </c>
      <c r="N27" s="118">
        <f ca="1">Model!X61</f>
        <v>-1959.4890000000005</v>
      </c>
      <c r="O27" s="116">
        <f ca="1">Model!Z61</f>
        <v>-2183.7416300000014</v>
      </c>
      <c r="P27" s="116">
        <f ca="1">Model!AA61</f>
        <v>-2343.0263136</v>
      </c>
      <c r="Q27" s="116">
        <f ca="1">Model!AB61</f>
        <v>-2577.3289449600006</v>
      </c>
      <c r="R27" s="116">
        <f ca="1">Model!AC61</f>
        <v>-2081.193123055202</v>
      </c>
      <c r="S27" s="16"/>
      <c r="T27" s="116">
        <f ca="1">Model!J61</f>
        <v>7341.59</v>
      </c>
      <c r="U27" s="116">
        <f ca="1">Model!O61</f>
        <v>7764.5</v>
      </c>
      <c r="V27" s="117">
        <f ca="1">Model!T61</f>
        <v>13111.87</v>
      </c>
      <c r="W27" s="116">
        <f ca="1">Model!Y61</f>
        <v>-91903.489</v>
      </c>
      <c r="X27" s="116">
        <f ca="1">Model!AD61</f>
        <v>-9185.290011615205</v>
      </c>
      <c r="Y27" s="116">
        <f ca="1">Model!AE61</f>
        <v>-8157.958390797736</v>
      </c>
      <c r="Z27" s="116">
        <f ca="1">Model!AF61</f>
        <v>-7773.6756139680565</v>
      </c>
      <c r="AA27" s="116">
        <f ca="1">Model!AG61</f>
        <v>-7147.402029293433</v>
      </c>
      <c r="AB27" s="16"/>
      <c r="AC27" s="119">
        <f ca="1">IFERROR((V27/T27)^(1/(V$4-T$4))-1,"N/A")</f>
        <v>0.3364024211504246</v>
      </c>
      <c r="AD27" s="84"/>
      <c r="AE27" s="119" t="str">
        <f ca="1">IFERROR((AA27/V27)^(1/(AA$4-V$4))-1,"N/A")</f>
        <v>N/A</v>
      </c>
    </row>
    <row r="28" ht="13.5" customHeight="1" spans="1:31" x14ac:dyDescent="0.25">
      <c r="A28" s="17"/>
      <c r="B28" s="16"/>
      <c r="C28" s="120" t="s">
        <v>109</v>
      </c>
      <c r="D28" s="16"/>
      <c r="E28" s="16"/>
      <c r="F28" s="16"/>
      <c r="G28" s="121">
        <f t="shared" ref="G28:R28" si="16" ca="1">G27/G$8</f>
        <v>0.11814790343074968</v>
      </c>
      <c r="H28" s="121">
        <f ca="1">H27/H$8</f>
        <v>0.15718738553952094</v>
      </c>
      <c r="I28" s="121">
        <f ca="1">I27/I$8</f>
        <v>0.14957102514680176</v>
      </c>
      <c r="J28" s="122">
        <f ca="1">J27/J$8</f>
        <v>0.1555314854019989</v>
      </c>
      <c r="K28" s="121">
        <f ca="1">K27/K$8</f>
        <v>0.14888215543362543</v>
      </c>
      <c r="L28" s="121">
        <f ca="1">L27/L$8</f>
        <v>0.16753717809212912</v>
      </c>
      <c r="M28" s="121">
        <f ca="1">M27/M$8</f>
        <v>0.13993367658608954</v>
      </c>
      <c r="N28" s="123">
        <f ca="1">N27/N$8</f>
        <v>-0.09000000000000002</v>
      </c>
      <c r="O28" s="121">
        <f ca="1">O27/O$8</f>
        <v>-0.08500000000000006</v>
      </c>
      <c r="P28" s="121">
        <f ca="1">P27/P$8</f>
        <v>-0.08</v>
      </c>
      <c r="Q28" s="121">
        <f ca="1">Q27/Q$8</f>
        <v>-0.10000000000000002</v>
      </c>
      <c r="R28" s="121">
        <f ca="1">R27/R$8</f>
        <v>-0.08500000000000008</v>
      </c>
      <c r="S28" s="16"/>
      <c r="T28" s="121">
        <f t="shared" ref="T28:AA28" si="17" ca="1">T27/T$8</f>
        <v>0.10295460601046151</v>
      </c>
      <c r="U28" s="121">
        <f ca="1">U27/U$8</f>
        <v>0.10761906081942674</v>
      </c>
      <c r="V28" s="122">
        <f ca="1">V27/V$8</f>
        <v>0.14634273468977757</v>
      </c>
      <c r="W28" s="121">
        <f ca="1">W27/W$8</f>
        <v>-2.056461923334251</v>
      </c>
      <c r="X28" s="121">
        <f ca="1">X27/X$8</f>
        <v>-0.08728209284612236</v>
      </c>
      <c r="Y28" s="121">
        <f ca="1">Y27/Y$8</f>
        <v>-0.07600000000000003</v>
      </c>
      <c r="Z28" s="121">
        <f ca="1">Z27/Z$8</f>
        <v>-0.07100000000000006</v>
      </c>
      <c r="AA28" s="121">
        <f ca="1">AA27/AA$8</f>
        <v>-0.06399999999999993</v>
      </c>
      <c r="AB28" s="16"/>
      <c r="AC28" s="126"/>
      <c r="AD28" s="84"/>
      <c r="AE28" s="126"/>
    </row>
    <row r="29" ht="13.5" customHeight="1" spans="1:31" x14ac:dyDescent="0.25">
      <c r="A29" s="17"/>
      <c r="B29" s="16"/>
      <c r="C29" s="120" t="s">
        <v>107</v>
      </c>
      <c r="D29" s="16"/>
      <c r="E29" s="16"/>
      <c r="F29" s="16"/>
      <c r="G29" s="16"/>
      <c r="H29" s="121"/>
      <c r="I29" s="121"/>
      <c r="J29" s="122"/>
      <c r="K29" s="121">
        <f t="shared" ref="K29:R29" si="18" ca="1">K27/G27-1</f>
        <v>0.5641669821385553</v>
      </c>
      <c r="L29" s="121">
        <f ca="1">L27/H27-1</f>
        <v>0.07630611926282693</v>
      </c>
      <c r="M29" s="121">
        <f ca="1">M27/I27-1</f>
        <v>-0.0388937838275224</v>
      </c>
      <c r="N29" s="123">
        <f ca="1">N27/J27-1</f>
        <v>-0.9748444829578279</v>
      </c>
      <c r="O29" s="121">
        <f ca="1">O27/K27-1</f>
        <v>-0.9688925693732193</v>
      </c>
      <c r="P29" s="121">
        <f ca="1">P27/L27-1</f>
        <v>-0.8979117984575835</v>
      </c>
      <c r="Q29" s="121">
        <f ca="1">Q27/M27-1</f>
        <v>-1.8036572949672594</v>
      </c>
      <c r="R29" s="121">
        <f ca="1">R27/N27-1</f>
        <v>0.06211013333333404</v>
      </c>
      <c r="S29" s="16"/>
      <c r="T29" s="121"/>
      <c r="U29" s="121">
        <f t="shared" ref="U29:AA29" si="19" ca="1">U27/T27-1</f>
        <v>0.05760468781285799</v>
      </c>
      <c r="V29" s="122">
        <f ca="1">V27/U27-1</f>
        <v>0.688694700238264</v>
      </c>
      <c r="W29" s="121">
        <f ca="1">W27/V27-1</f>
        <v>-0.6643383479791671</v>
      </c>
      <c r="X29" s="121">
        <f ca="1">X27/W27-1</f>
        <v>-0.9000550456619203</v>
      </c>
      <c r="Y29" s="121">
        <f ca="1">Y27/X27-1</f>
        <v>-0.11184531130953546</v>
      </c>
      <c r="Z29" s="121">
        <f ca="1">Z27/Y27-1</f>
        <v>-0.04710526315789432</v>
      </c>
      <c r="AA29" s="121">
        <f ca="1">AA27/Z27-1</f>
        <v>-0.08056338028169197</v>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 ca="1">G$5</f>
        <v>Quarterly</v>
      </c>
      <c r="H31" s="112"/>
      <c r="I31" s="112"/>
      <c r="J31" s="112"/>
      <c r="K31" s="112"/>
      <c r="L31" s="112"/>
      <c r="M31" s="112"/>
      <c r="N31" s="112"/>
      <c r="O31" s="112"/>
      <c r="P31" s="112"/>
      <c r="Q31" s="112"/>
      <c r="R31" s="112"/>
      <c r="S31" s="112"/>
      <c r="T31" s="113" t="str">
        <f ca="1">T$5</f>
        <v>Annuals</v>
      </c>
      <c r="U31" s="114"/>
      <c r="V31" s="114"/>
      <c r="W31" s="114"/>
      <c r="X31" s="114"/>
      <c r="Y31" s="114"/>
      <c r="Z31" s="114"/>
      <c r="AA31" s="114"/>
      <c r="AB31" s="16"/>
      <c r="AC31" s="16"/>
      <c r="AD31" s="16"/>
      <c r="AE31" s="16"/>
    </row>
    <row r="32" ht="13.5" customHeight="1" spans="1:31" x14ac:dyDescent="0.25">
      <c r="A32" s="17" t="s">
        <v>1</v>
      </c>
      <c r="B32" s="16"/>
      <c r="C32" s="110" t="str">
        <f ca="1">"Consolidated "&amp;Model!C118</f>
        <v>Consolidated Balance Sheet</v>
      </c>
      <c r="D32" s="110"/>
      <c r="E32" s="110"/>
      <c r="F32" s="110"/>
      <c r="G32" s="111" t="str">
        <f t="shared" ref="G32:R32" si="20" ca="1">G$6</f>
        <v>1Q25</v>
      </c>
      <c r="H32" s="111" t="str">
        <f ca="1">H$6</f>
        <v>2Q25</v>
      </c>
      <c r="I32" s="111" t="str">
        <f ca="1">I$6</f>
        <v>3Q25</v>
      </c>
      <c r="J32" s="111" t="str">
        <f ca="1">J$6</f>
        <v>4Q25</v>
      </c>
      <c r="K32" s="111" t="str">
        <f ca="1">K$6</f>
        <v>1Q26</v>
      </c>
      <c r="L32" s="111" t="str">
        <f ca="1">L$6</f>
        <v>2Q26</v>
      </c>
      <c r="M32" s="111" t="str">
        <f ca="1">M$6</f>
        <v>3Q26e</v>
      </c>
      <c r="N32" s="111" t="str">
        <f ca="1">N$6</f>
        <v>4Q26e</v>
      </c>
      <c r="O32" s="111" t="str">
        <f ca="1">O$6</f>
        <v>1Q27e</v>
      </c>
      <c r="P32" s="111" t="str">
        <f ca="1">P$6</f>
        <v>2Q27e</v>
      </c>
      <c r="Q32" s="111" t="str">
        <f ca="1">Q$6</f>
        <v>3Q27e</v>
      </c>
      <c r="R32" s="111" t="str">
        <f ca="1">R$6</f>
        <v>4Q27e</v>
      </c>
      <c r="S32" s="111"/>
      <c r="T32" s="111">
        <f t="shared" ref="T32:AA32" si="21" ca="1">T$6</f>
        <v>2023</v>
      </c>
      <c r="U32" s="111">
        <f ca="1">U$6</f>
        <v>2024</v>
      </c>
      <c r="V32" s="111">
        <f ca="1">V$6</f>
        <v>2025</v>
      </c>
      <c r="W32" s="111" t="str">
        <f ca="1">W$6</f>
        <v>2026e</v>
      </c>
      <c r="X32" s="111" t="str">
        <f ca="1">X$6</f>
        <v>2027e</v>
      </c>
      <c r="Y32" s="111" t="str">
        <f ca="1">Y$6</f>
        <v>2028e</v>
      </c>
      <c r="Z32" s="111" t="str">
        <f ca="1">Z$6</f>
        <v>2029e</v>
      </c>
      <c r="AA32" s="111" t="str">
        <f ca="1">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 ca="1">Model!C120</f>
        <v>Cash &amp; Cash Equivalents</v>
      </c>
      <c r="D34" s="16"/>
      <c r="E34" s="16"/>
      <c r="F34" s="16"/>
      <c r="G34" s="116">
        <f ca="1">Model!P120</f>
        <v>6156</v>
      </c>
      <c r="H34" s="116">
        <f ca="1">Model!Q120</f>
        <v>12726</v>
      </c>
      <c r="I34" s="116">
        <f ca="1">Model!R120</f>
        <v>10101</v>
      </c>
      <c r="J34" s="117">
        <f ca="1">Model!S120</f>
        <v>5196</v>
      </c>
      <c r="K34" s="116">
        <f ca="1">Model!U120</f>
        <v>7146</v>
      </c>
      <c r="L34" s="116">
        <f ca="1">Model!V120</f>
        <v>6255</v>
      </c>
      <c r="M34" s="116">
        <f ca="1">Model!W120</f>
        <v>6673</v>
      </c>
      <c r="N34" s="118">
        <f ca="1">Model!X120</f>
        <v>4562.299856521739</v>
      </c>
      <c r="O34" s="116">
        <f ca="1">Model!Z120</f>
        <v>16.04103245794431</v>
      </c>
      <c r="P34" s="116">
        <f ca="1">Model!AA120</f>
        <v>1946.0011854135819</v>
      </c>
      <c r="Q34" s="116">
        <f ca="1">Model!AB120</f>
        <v>1517.9328427801229</v>
      </c>
      <c r="R34" s="116">
        <f ca="1">Model!AC120</f>
        <v>15.287745573718666</v>
      </c>
      <c r="S34" s="16"/>
      <c r="T34" s="116">
        <f ca="1">Model!J120</f>
        <v>729</v>
      </c>
      <c r="U34" s="116">
        <f ca="1">Model!O120</f>
        <v>876</v>
      </c>
      <c r="V34" s="117">
        <f ca="1">Model!T120</f>
        <v>5196</v>
      </c>
      <c r="W34" s="116">
        <f ca="1">Model!Y120</f>
        <v>4562.299856521739</v>
      </c>
      <c r="X34" s="116">
        <f ca="1">Model!AD120</f>
        <v>15.287745573718666</v>
      </c>
      <c r="Y34" s="116">
        <f ca="1">Model!AE120</f>
        <v>67.02207717143892</v>
      </c>
      <c r="Z34" s="116">
        <f ca="1">Model!AF120</f>
        <v>68.36251871486706</v>
      </c>
      <c r="AA34" s="116">
        <f ca="1">Model!AG120</f>
        <v>69.72976908916644</v>
      </c>
      <c r="AB34" s="16"/>
      <c r="AC34" s="16"/>
      <c r="AD34" s="16"/>
      <c r="AE34" s="16"/>
    </row>
    <row r="35" ht="13.5" customHeight="1" spans="1:31" x14ac:dyDescent="0.25">
      <c r="A35" s="17"/>
      <c r="B35" s="16"/>
      <c r="C35" s="16" t="str">
        <f ca="1">Model!C121</f>
        <v>Accounts Receivable</v>
      </c>
      <c r="D35" s="16"/>
      <c r="E35" s="16"/>
      <c r="F35" s="16"/>
      <c r="G35" s="136">
        <f ca="1">Model!P121</f>
        <v>51000</v>
      </c>
      <c r="H35" s="136">
        <f ca="1">Model!Q121</f>
        <v>55048</v>
      </c>
      <c r="I35" s="136">
        <f ca="1">Model!R121</f>
        <v>57148</v>
      </c>
      <c r="J35" s="137">
        <f ca="1">Model!S121</f>
        <v>62886</v>
      </c>
      <c r="K35" s="136">
        <f ca="1">Model!U121</f>
        <v>62999</v>
      </c>
      <c r="L35" s="136">
        <f ca="1">Model!V121</f>
        <v>1e-12</v>
      </c>
      <c r="M35" s="136">
        <f ca="1">Model!W121</f>
        <v>1e-12</v>
      </c>
      <c r="N35" s="138">
        <f ca="1">Model!X121</f>
        <v>1e-12</v>
      </c>
      <c r="O35" s="136">
        <f ca="1">Model!Z121</f>
        <v>1e-12</v>
      </c>
      <c r="P35" s="136">
        <f ca="1">Model!AA121</f>
        <v>1e-12</v>
      </c>
      <c r="Q35" s="136">
        <f ca="1">Model!AB121</f>
        <v>1e-12</v>
      </c>
      <c r="R35" s="136">
        <f ca="1">Model!AC121</f>
        <v>1e-12</v>
      </c>
      <c r="S35" s="16"/>
      <c r="T35" s="136">
        <f ca="1">Model!J121</f>
        <v>47964</v>
      </c>
      <c r="U35" s="136">
        <f ca="1">Model!O121</f>
        <v>52340</v>
      </c>
      <c r="V35" s="137">
        <f ca="1">Model!T121</f>
        <v>62886</v>
      </c>
      <c r="W35" s="136">
        <f ca="1">Model!Y121</f>
        <v>1e-12</v>
      </c>
      <c r="X35" s="136">
        <f ca="1">Model!AD121</f>
        <v>1e-12</v>
      </c>
      <c r="Y35" s="136">
        <f ca="1">Model!AE121</f>
        <v>1e-12</v>
      </c>
      <c r="Z35" s="136">
        <f ca="1">Model!AF121</f>
        <v>1e-12</v>
      </c>
      <c r="AA35" s="136">
        <f ca="1">Model!AG121</f>
        <v>1e-12</v>
      </c>
      <c r="AB35" s="16"/>
      <c r="AC35" s="16"/>
      <c r="AD35" s="16"/>
      <c r="AE35" s="16"/>
    </row>
    <row r="36" ht="13.5" customHeight="1" spans="1:31" x14ac:dyDescent="0.25">
      <c r="A36" s="17"/>
      <c r="B36" s="16"/>
      <c r="C36" s="16" t="str">
        <f ca="1">Model!C122</f>
        <v>Inventory</v>
      </c>
      <c r="D36" s="16"/>
      <c r="E36" s="16"/>
      <c r="F36" s="16"/>
      <c r="G36" s="136">
        <f ca="1">Model!P122</f>
        <v>14283</v>
      </c>
      <c r="H36" s="136">
        <f ca="1">Model!Q122</f>
        <v>13831</v>
      </c>
      <c r="I36" s="136">
        <f ca="1">Model!R122</f>
        <v>15712</v>
      </c>
      <c r="J36" s="137">
        <f ca="1">Model!S122</f>
        <v>16193</v>
      </c>
      <c r="K36" s="136">
        <f ca="1">Model!U122</f>
        <v>18382</v>
      </c>
      <c r="L36" s="136">
        <f ca="1">Model!V122</f>
        <v>17322</v>
      </c>
      <c r="M36" s="136">
        <f ca="1">Model!W122</f>
        <v>16685</v>
      </c>
      <c r="N36" s="138">
        <f ca="1">Model!X122</f>
        <v>18529.950326086957</v>
      </c>
      <c r="O36" s="136">
        <f ca="1">Model!Z122</f>
        <v>23065.506292307695</v>
      </c>
      <c r="P36" s="136">
        <f ca="1">Model!AA122</f>
        <v>22014.14833107692</v>
      </c>
      <c r="Q36" s="136">
        <f ca="1">Model!AB122</f>
        <v>20954.80490032696</v>
      </c>
      <c r="R36" s="136">
        <f ca="1">Model!AC122</f>
        <v>20718.783200747737</v>
      </c>
      <c r="S36" s="16"/>
      <c r="T36" s="136">
        <f ca="1">Model!J122</f>
        <v>12561</v>
      </c>
      <c r="U36" s="136">
        <f ca="1">Model!O122</f>
        <v>13179</v>
      </c>
      <c r="V36" s="137">
        <f ca="1">Model!T122</f>
        <v>16193</v>
      </c>
      <c r="W36" s="136">
        <f ca="1">Model!Y122</f>
        <v>18529.950326086957</v>
      </c>
      <c r="X36" s="136">
        <f ca="1">Model!AD122</f>
        <v>20718.783200747737</v>
      </c>
      <c r="Y36" s="136">
        <f ca="1">Model!AE122</f>
        <v>21269.509108004873</v>
      </c>
      <c r="Z36" s="136">
        <f ca="1">Model!AF122</f>
        <v>21669.70196230183</v>
      </c>
      <c r="AA36" s="136">
        <f ca="1">Model!AG122</f>
        <v>22051.69345270706</v>
      </c>
      <c r="AB36" s="16"/>
      <c r="AC36" s="16"/>
      <c r="AD36" s="16"/>
      <c r="AE36" s="16"/>
    </row>
    <row r="37" ht="13.5" customHeight="1" spans="1:31" x14ac:dyDescent="0.25">
      <c r="A37" s="17"/>
      <c r="B37" s="16"/>
      <c r="C37" s="16" t="str">
        <f ca="1">Model!C123</f>
        <v>Prepaid &amp; Other Current Assets</v>
      </c>
      <c r="D37" s="16"/>
      <c r="E37" s="16"/>
      <c r="F37" s="16"/>
      <c r="G37" s="136">
        <f ca="1">Model!P123</f>
        <v>1487</v>
      </c>
      <c r="H37" s="136">
        <f ca="1">Model!Q123</f>
        <v>1160</v>
      </c>
      <c r="I37" s="136">
        <f ca="1">Model!R123</f>
        <v>1103</v>
      </c>
      <c r="J37" s="137">
        <f ca="1">Model!S123</f>
        <v>937</v>
      </c>
      <c r="K37" s="136">
        <f ca="1">Model!U123</f>
        <v>1288</v>
      </c>
      <c r="L37" s="136">
        <f ca="1">Model!V123</f>
        <v>1506</v>
      </c>
      <c r="M37" s="136">
        <f ca="1">Model!W123</f>
        <v>1491</v>
      </c>
      <c r="N37" s="138">
        <f ca="1">Model!X123</f>
        <v>1e-12</v>
      </c>
      <c r="O37" s="136">
        <f ca="1">Model!Z123</f>
        <v>1849.7576159999996</v>
      </c>
      <c r="P37" s="136">
        <f ca="1">Model!AA123</f>
        <v>2108.72368224</v>
      </c>
      <c r="Q37" s="136">
        <f ca="1">Model!AB123</f>
        <v>1855.6768403712</v>
      </c>
      <c r="R37" s="136">
        <f ca="1">Model!AC123</f>
        <v>1762.8929983526398</v>
      </c>
      <c r="S37" s="16"/>
      <c r="T37" s="136">
        <f ca="1">Model!J123</f>
        <v>938</v>
      </c>
      <c r="U37" s="136">
        <f ca="1">Model!O123</f>
        <v>1263</v>
      </c>
      <c r="V37" s="137">
        <f ca="1">Model!T123</f>
        <v>937</v>
      </c>
      <c r="W37" s="136">
        <f ca="1">Model!Y123</f>
        <v>1e-12</v>
      </c>
      <c r="X37" s="136">
        <f ca="1">Model!AD123</f>
        <v>1762.8929983526398</v>
      </c>
      <c r="Y37" s="136">
        <f ca="1">Model!AE123</f>
        <v>1932.1480399257787</v>
      </c>
      <c r="Z37" s="136">
        <f ca="1">Model!AF123</f>
        <v>1970.7910007242942</v>
      </c>
      <c r="AA37" s="136">
        <f ca="1">Model!AG123</f>
        <v>2010.2068207387802</v>
      </c>
      <c r="AB37" s="16"/>
      <c r="AC37" s="16"/>
      <c r="AD37" s="16"/>
      <c r="AE37" s="16"/>
    </row>
    <row r="38" ht="13.5" customHeight="1" spans="1:31" x14ac:dyDescent="0.25">
      <c r="A38" s="17"/>
      <c r="B38" s="16"/>
      <c r="C38" s="139" t="str">
        <f ca="1">Model!C124</f>
        <v>Total Current Assets</v>
      </c>
      <c r="D38" s="16"/>
      <c r="E38" s="16"/>
      <c r="F38" s="16"/>
      <c r="G38" s="140">
        <f t="shared" ref="G38:R38" si="22" ca="1">SUM(G34:G37)</f>
        <v>21926</v>
      </c>
      <c r="H38" s="140">
        <f ca="1">SUM(H34:H37)</f>
        <v>27717</v>
      </c>
      <c r="I38" s="140">
        <f ca="1">SUM(I34:I37)</f>
        <v>26916</v>
      </c>
      <c r="J38" s="141">
        <f ca="1">SUM(J34:J37)</f>
        <v>22326</v>
      </c>
      <c r="K38" s="140">
        <f ca="1">SUM(K34:K37)</f>
        <v>26816</v>
      </c>
      <c r="L38" s="140">
        <f ca="1">SUM(L34:L37)</f>
        <v>25083</v>
      </c>
      <c r="M38" s="140">
        <f ca="1">SUM(M34:M37)</f>
        <v>24849</v>
      </c>
      <c r="N38" s="142">
        <f ca="1">SUM(N34:N37)</f>
        <v>23092.250182608695</v>
      </c>
      <c r="O38" s="140">
        <f ca="1">SUM(O34:O37)</f>
        <v>24931.30494076564</v>
      </c>
      <c r="P38" s="140">
        <f ca="1">SUM(P34:P37)</f>
        <v>26068.873198730504</v>
      </c>
      <c r="Q38" s="140">
        <f ca="1">SUM(Q34:Q37)</f>
        <v>24328.414583478283</v>
      </c>
      <c r="R38" s="140">
        <f ca="1">SUM(R34:R37)</f>
        <v>22496.963944674095</v>
      </c>
      <c r="S38" s="16"/>
      <c r="T38" s="140">
        <f t="shared" ref="T38:AA38" si="23" ca="1">SUM(T34:T37)</f>
        <v>14228</v>
      </c>
      <c r="U38" s="140">
        <f ca="1">SUM(U34:U37)</f>
        <v>15318</v>
      </c>
      <c r="V38" s="141">
        <f ca="1">SUM(V34:V37)</f>
        <v>22326</v>
      </c>
      <c r="W38" s="140">
        <f ca="1">SUM(W34:W37)</f>
        <v>23092.250182608695</v>
      </c>
      <c r="X38" s="140">
        <f ca="1">SUM(X34:X37)</f>
        <v>22496.963944674095</v>
      </c>
      <c r="Y38" s="140">
        <f ca="1">SUM(Y34:Y37)</f>
        <v>23268.67922510209</v>
      </c>
      <c r="Z38" s="140">
        <f ca="1">SUM(Z34:Z37)</f>
        <v>23708.855481740993</v>
      </c>
      <c r="AA38" s="140">
        <f ca="1">SUM(AA34:AA37)</f>
        <v>24131.630042535005</v>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 ca="1">Model!C126</f>
        <v>PP&amp;E, Net</v>
      </c>
      <c r="D40" s="16"/>
      <c r="E40" s="16"/>
      <c r="F40" s="16"/>
      <c r="G40" s="116">
        <f ca="1">Model!P126</f>
        <v>18501</v>
      </c>
      <c r="H40" s="116">
        <f ca="1">Model!Q126</f>
        <v>18612</v>
      </c>
      <c r="I40" s="116">
        <f ca="1">Model!R126</f>
        <v>18683</v>
      </c>
      <c r="J40" s="117">
        <f ca="1">Model!S126</f>
        <v>22987</v>
      </c>
      <c r="K40" s="116">
        <f ca="1">Model!U126</f>
        <v>19059</v>
      </c>
      <c r="L40" s="116">
        <f ca="1">Model!V126</f>
        <v>19031</v>
      </c>
      <c r="M40" s="116">
        <f ca="1">Model!W126</f>
        <v>18925</v>
      </c>
      <c r="N40" s="118">
        <f ca="1">Model!X126</f>
        <v>18963.9382</v>
      </c>
      <c r="O40" s="116">
        <f ca="1">Model!Z126</f>
        <v>19248.6551535</v>
      </c>
      <c r="P40" s="116">
        <f ca="1">Model!AA126</f>
        <v>19556.13592455375</v>
      </c>
      <c r="Q40" s="116">
        <f ca="1">Model!AB126</f>
        <v>19652.04946651726</v>
      </c>
      <c r="R40" s="116">
        <f ca="1">Model!AC126</f>
        <v>19724.377225464246</v>
      </c>
      <c r="S40" s="16"/>
      <c r="T40" s="116">
        <f ca="1">Model!J126</f>
        <v>18432</v>
      </c>
      <c r="U40" s="116">
        <f ca="1">Model!O126</f>
        <v>18669</v>
      </c>
      <c r="V40" s="117">
        <f ca="1">Model!T126</f>
        <v>22987</v>
      </c>
      <c r="W40" s="116">
        <f ca="1">Model!Y126</f>
        <v>18963.9382</v>
      </c>
      <c r="X40" s="116">
        <f ca="1">Model!AD126</f>
        <v>19724.377225464246</v>
      </c>
      <c r="Y40" s="116">
        <f ca="1">Model!AE126</f>
        <v>20451.053220703907</v>
      </c>
      <c r="Z40" s="116">
        <f ca="1">Model!AF126</f>
        <v>21168.345167395775</v>
      </c>
      <c r="AA40" s="116">
        <f ca="1">Model!AG126</f>
        <v>21989.46560620519</v>
      </c>
      <c r="AB40" s="16"/>
      <c r="AC40" s="16"/>
      <c r="AD40" s="16"/>
      <c r="AE40" s="16"/>
    </row>
    <row r="41" ht="13.5" customHeight="1" spans="1:31" x14ac:dyDescent="0.25">
      <c r="A41" s="17"/>
      <c r="B41" s="16"/>
      <c r="C41" s="16" t="str">
        <f ca="1">Model!C127</f>
        <v>Intangible Assets, Net</v>
      </c>
      <c r="D41" s="16"/>
      <c r="E41" s="16"/>
      <c r="F41" s="16"/>
      <c r="G41" s="136">
        <f ca="1">Model!P127</f>
        <v>1e-12</v>
      </c>
      <c r="H41" s="136">
        <f ca="1">Model!Q127</f>
        <v>1e-12</v>
      </c>
      <c r="I41" s="136">
        <f ca="1">Model!R127</f>
        <v>1e-12</v>
      </c>
      <c r="J41" s="137">
        <f ca="1">Model!S127</f>
        <v>1088</v>
      </c>
      <c r="K41" s="136">
        <f ca="1">Model!U127</f>
        <v>9249</v>
      </c>
      <c r="L41" s="136">
        <f ca="1">Model!V127</f>
        <v>1e-12</v>
      </c>
      <c r="M41" s="136">
        <f ca="1">Model!W127</f>
        <v>1e-12</v>
      </c>
      <c r="N41" s="138">
        <f ca="1">Model!X127</f>
        <v>1e-12</v>
      </c>
      <c r="O41" s="136">
        <f ca="1">Model!Z127</f>
        <v>1e-12</v>
      </c>
      <c r="P41" s="136">
        <f ca="1">Model!AA127</f>
        <v>1e-12</v>
      </c>
      <c r="Q41" s="136">
        <f ca="1">Model!AB127</f>
        <v>1e-12</v>
      </c>
      <c r="R41" s="136">
        <f ca="1">Model!AC127</f>
        <v>1e-12</v>
      </c>
      <c r="S41" s="16"/>
      <c r="T41" s="136">
        <f ca="1">Model!J127</f>
        <v>1e-12</v>
      </c>
      <c r="U41" s="136">
        <f ca="1">Model!O127</f>
        <v>1e-12</v>
      </c>
      <c r="V41" s="137">
        <f ca="1">Model!T127</f>
        <v>1088</v>
      </c>
      <c r="W41" s="136">
        <f ca="1">Model!Y127</f>
        <v>1e-12</v>
      </c>
      <c r="X41" s="136">
        <f ca="1">Model!AD127</f>
        <v>1e-12</v>
      </c>
      <c r="Y41" s="136">
        <f ca="1">Model!AE127</f>
        <v>1e-12</v>
      </c>
      <c r="Z41" s="136">
        <f ca="1">Model!AF127</f>
        <v>1e-12</v>
      </c>
      <c r="AA41" s="136">
        <f ca="1">Model!AG127</f>
        <v>1e-12</v>
      </c>
      <c r="AB41" s="16"/>
      <c r="AC41" s="16"/>
      <c r="AD41" s="16"/>
      <c r="AE41" s="16"/>
    </row>
    <row r="42" ht="13.5" customHeight="1" spans="1:31" x14ac:dyDescent="0.25">
      <c r="A42" s="17"/>
      <c r="B42" s="16"/>
      <c r="C42" s="16" t="str">
        <f ca="1">Model!C128</f>
        <v>Goodwill</v>
      </c>
      <c r="D42" s="16"/>
      <c r="E42" s="16"/>
      <c r="F42" s="16"/>
      <c r="G42" s="136">
        <f ca="1">Model!P128</f>
        <v>32173</v>
      </c>
      <c r="H42" s="136">
        <f ca="1">Model!Q128</f>
        <v>32335</v>
      </c>
      <c r="I42" s="136">
        <f ca="1">Model!R128</f>
        <v>33269</v>
      </c>
      <c r="J42" s="137">
        <f ca="1">Model!S128</f>
        <v>311</v>
      </c>
      <c r="K42" s="136">
        <f ca="1">Model!U128</f>
        <v>57774</v>
      </c>
      <c r="L42" s="136">
        <f ca="1">Model!V128</f>
        <v>1e-12</v>
      </c>
      <c r="M42" s="136">
        <f ca="1">Model!W128</f>
        <v>1e-12</v>
      </c>
      <c r="N42" s="138">
        <f ca="1">Model!X128</f>
        <v>1e-12</v>
      </c>
      <c r="O42" s="136">
        <f ca="1">Model!Z128</f>
        <v>1e-12</v>
      </c>
      <c r="P42" s="136">
        <f ca="1">Model!AA128</f>
        <v>1e-12</v>
      </c>
      <c r="Q42" s="136">
        <f ca="1">Model!AB128</f>
        <v>1e-12</v>
      </c>
      <c r="R42" s="136">
        <f ca="1">Model!AC128</f>
        <v>1e-12</v>
      </c>
      <c r="S42" s="16"/>
      <c r="T42" s="136">
        <f ca="1">Model!J128</f>
        <v>303</v>
      </c>
      <c r="U42" s="136">
        <f ca="1">Model!O128</f>
        <v>303</v>
      </c>
      <c r="V42" s="137">
        <f ca="1">Model!T128</f>
        <v>311</v>
      </c>
      <c r="W42" s="136">
        <f ca="1">Model!Y128</f>
        <v>1e-12</v>
      </c>
      <c r="X42" s="136">
        <f ca="1">Model!AD128</f>
        <v>1e-12</v>
      </c>
      <c r="Y42" s="136">
        <f ca="1">Model!AE128</f>
        <v>1e-12</v>
      </c>
      <c r="Z42" s="136">
        <f ca="1">Model!AF128</f>
        <v>1e-12</v>
      </c>
      <c r="AA42" s="136">
        <f ca="1">Model!AG128</f>
        <v>1e-12</v>
      </c>
      <c r="AB42" s="16"/>
      <c r="AC42" s="16"/>
      <c r="AD42" s="16"/>
      <c r="AE42" s="16"/>
    </row>
    <row r="43" ht="13.5" customHeight="1" spans="1:31" x14ac:dyDescent="0.25">
      <c r="A43" s="17"/>
      <c r="B43" s="16"/>
      <c r="C43" s="16" t="str">
        <f ca="1">Model!C129</f>
        <v>Other Non-Current Assets</v>
      </c>
      <c r="D43" s="16"/>
      <c r="E43" s="16"/>
      <c r="F43" s="16"/>
      <c r="G43" s="136">
        <f ca="1">Model!P129</f>
        <v>5405</v>
      </c>
      <c r="H43" s="136">
        <f ca="1">Model!Q129</f>
        <v>5434</v>
      </c>
      <c r="I43" s="136">
        <f ca="1">Model!R129</f>
        <v>5281</v>
      </c>
      <c r="J43" s="137">
        <f ca="1">Model!S129</f>
        <v>1111</v>
      </c>
      <c r="K43" s="136">
        <f ca="1">Model!U129</f>
        <v>5325</v>
      </c>
      <c r="L43" s="136">
        <f ca="1">Model!V129</f>
        <v>5290</v>
      </c>
      <c r="M43" s="136">
        <f ca="1">Model!W129</f>
        <v>5626</v>
      </c>
      <c r="N43" s="138">
        <f ca="1">Model!X129</f>
        <v>5738.52</v>
      </c>
      <c r="O43" s="136">
        <f ca="1">Model!Z129</f>
        <v>5853.290400000001</v>
      </c>
      <c r="P43" s="136">
        <f ca="1">Model!AA129</f>
        <v>5970.356208000001</v>
      </c>
      <c r="Q43" s="136">
        <f ca="1">Model!AB129</f>
        <v>6089.7633321600015</v>
      </c>
      <c r="R43" s="136">
        <f ca="1">Model!AC129</f>
        <v>6211.558598803202</v>
      </c>
      <c r="S43" s="16"/>
      <c r="T43" s="136">
        <f ca="1">Model!J129</f>
        <v>1545</v>
      </c>
      <c r="U43" s="136">
        <f ca="1">Model!O129</f>
        <v>5181</v>
      </c>
      <c r="V43" s="137">
        <f ca="1">Model!T129</f>
        <v>1111</v>
      </c>
      <c r="W43" s="136">
        <f ca="1">Model!Y129</f>
        <v>5738.52</v>
      </c>
      <c r="X43" s="136">
        <f ca="1">Model!AD129</f>
        <v>6211.558598803202</v>
      </c>
      <c r="Y43" s="136">
        <f ca="1">Model!AE129</f>
        <v>6335.789770779265</v>
      </c>
      <c r="Z43" s="136">
        <f ca="1">Model!AF129</f>
        <v>6462.505566194851</v>
      </c>
      <c r="AA43" s="136">
        <f ca="1">Model!AG129</f>
        <v>6591.755677518748</v>
      </c>
      <c r="AB43" s="16"/>
      <c r="AC43" s="16"/>
      <c r="AD43" s="16"/>
      <c r="AE43" s="16"/>
    </row>
    <row r="44" ht="13.5" customHeight="1" spans="1:31" x14ac:dyDescent="0.25">
      <c r="A44" s="17"/>
      <c r="B44" s="16"/>
      <c r="C44" s="139" t="str">
        <f ca="1">Model!C130</f>
        <v>Total Non-Current Assets</v>
      </c>
      <c r="D44" s="16"/>
      <c r="E44" s="16"/>
      <c r="F44" s="16"/>
      <c r="G44" s="140">
        <f t="shared" ref="G44:R44" si="24" ca="1">SUM(G40:G43)</f>
        <v>23906</v>
      </c>
      <c r="H44" s="140">
        <f ca="1">SUM(H40:H43)</f>
        <v>24046</v>
      </c>
      <c r="I44" s="140">
        <f ca="1">SUM(I40:I43)</f>
        <v>23964</v>
      </c>
      <c r="J44" s="141">
        <f ca="1">SUM(J40:J43)</f>
        <v>24409</v>
      </c>
      <c r="K44" s="140">
        <f ca="1">SUM(K40:K43)</f>
        <v>24384</v>
      </c>
      <c r="L44" s="140">
        <f ca="1">SUM(L40:L43)</f>
        <v>24321</v>
      </c>
      <c r="M44" s="140">
        <f ca="1">SUM(M40:M43)</f>
        <v>24551</v>
      </c>
      <c r="N44" s="142">
        <f ca="1">SUM(N40:N43)</f>
        <v>24702.4582</v>
      </c>
      <c r="O44" s="140">
        <f ca="1">SUM(O40:O43)</f>
        <v>25101.9455535</v>
      </c>
      <c r="P44" s="140">
        <f ca="1">SUM(P40:P43)</f>
        <v>25526.49213255375</v>
      </c>
      <c r="Q44" s="140">
        <f ca="1">SUM(Q40:Q43)</f>
        <v>25741.81279867726</v>
      </c>
      <c r="R44" s="140">
        <f ca="1">SUM(R40:R43)</f>
        <v>25935.93582426745</v>
      </c>
      <c r="S44" s="16"/>
      <c r="T44" s="140">
        <f t="shared" ref="T44:AA44" si="25" ca="1">SUM(T40:T43)</f>
        <v>20280</v>
      </c>
      <c r="U44" s="140">
        <f ca="1">SUM(U40:U43)</f>
        <v>24153</v>
      </c>
      <c r="V44" s="141">
        <f ca="1">SUM(V40:V43)</f>
        <v>24409</v>
      </c>
      <c r="W44" s="140">
        <f ca="1">SUM(W40:W43)</f>
        <v>24702.4582</v>
      </c>
      <c r="X44" s="140">
        <f ca="1">SUM(X40:X43)</f>
        <v>25935.93582426745</v>
      </c>
      <c r="Y44" s="140">
        <f ca="1">SUM(Y40:Y43)</f>
        <v>26786.842991483172</v>
      </c>
      <c r="Z44" s="140">
        <f ca="1">SUM(Z40:Z43)</f>
        <v>27630.850733590625</v>
      </c>
      <c r="AA44" s="140">
        <f ca="1">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 ca="1">Model!C132</f>
        <v>Total Assets</v>
      </c>
      <c r="D46" s="16"/>
      <c r="E46" s="16"/>
      <c r="F46" s="16"/>
      <c r="G46" s="146">
        <f t="shared" ref="G46:R46" si="26" ca="1">SUM(G38,G44)</f>
        <v>45832</v>
      </c>
      <c r="H46" s="146">
        <f ca="1">SUM(H38,H44)</f>
        <v>51763</v>
      </c>
      <c r="I46" s="146">
        <f ca="1">SUM(I38,I44)</f>
        <v>50880</v>
      </c>
      <c r="J46" s="147">
        <f ca="1">SUM(J38,J44)</f>
        <v>46735</v>
      </c>
      <c r="K46" s="146">
        <f ca="1">SUM(K38,K44)</f>
        <v>51200</v>
      </c>
      <c r="L46" s="146">
        <f ca="1">SUM(L38,L44)</f>
        <v>49404</v>
      </c>
      <c r="M46" s="146">
        <f ca="1">SUM(M38,M44)</f>
        <v>49400</v>
      </c>
      <c r="N46" s="148">
        <f ca="1">SUM(N38,N44)</f>
        <v>47794.7083826087</v>
      </c>
      <c r="O46" s="146">
        <f ca="1">SUM(O38,O44)</f>
        <v>50033.25049426564</v>
      </c>
      <c r="P46" s="146">
        <f ca="1">SUM(P38,P44)</f>
        <v>51595.36533128425</v>
      </c>
      <c r="Q46" s="146">
        <f ca="1">SUM(Q38,Q44)</f>
        <v>50070.22738215554</v>
      </c>
      <c r="R46" s="146">
        <f ca="1">SUM(R38,R44)</f>
        <v>48432.89976894154</v>
      </c>
      <c r="S46" s="149"/>
      <c r="T46" s="146">
        <f t="shared" ref="T46:AA46" si="27" ca="1">SUM(T38,T44)</f>
        <v>34508</v>
      </c>
      <c r="U46" s="146">
        <f ca="1">SUM(U38,U44)</f>
        <v>39471</v>
      </c>
      <c r="V46" s="147">
        <f ca="1">SUM(V38,V44)</f>
        <v>46735</v>
      </c>
      <c r="W46" s="146">
        <f ca="1">SUM(W38,W44)</f>
        <v>47794.7083826087</v>
      </c>
      <c r="X46" s="146">
        <f ca="1">SUM(X38,X44)</f>
        <v>48432.89976894154</v>
      </c>
      <c r="Y46" s="146">
        <f ca="1">SUM(Y38,Y44)</f>
        <v>50055.52221658526</v>
      </c>
      <c r="Z46" s="146">
        <f ca="1">SUM(Z38,Z44)</f>
        <v>51339.70621533162</v>
      </c>
      <c r="AA46" s="146">
        <f ca="1">SUM(AA38,AA44)</f>
        <v>52712.85132625894</v>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 ca="1">Model!C134</f>
        <v>Accounts Payable</v>
      </c>
      <c r="D48" s="16"/>
      <c r="E48" s="16"/>
      <c r="F48" s="16"/>
      <c r="G48" s="136">
        <f ca="1">Model!P134</f>
        <v>10841</v>
      </c>
      <c r="H48" s="136">
        <f ca="1">Model!Q134</f>
        <v>12916</v>
      </c>
      <c r="I48" s="136">
        <f ca="1">Model!R134</f>
        <v>12759</v>
      </c>
      <c r="J48" s="137">
        <f ca="1">Model!S134</f>
        <v>10884</v>
      </c>
      <c r="K48" s="136">
        <f ca="1">Model!U134</f>
        <v>13964</v>
      </c>
      <c r="L48" s="136">
        <f ca="1">Model!V134</f>
        <v>12011</v>
      </c>
      <c r="M48" s="136">
        <f ca="1">Model!W134</f>
        <v>11334</v>
      </c>
      <c r="N48" s="138">
        <f ca="1">Model!X134</f>
        <v>11323.858532608696</v>
      </c>
      <c r="O48" s="136">
        <f ca="1">Model!Z134</f>
        <v>14082.098578461539</v>
      </c>
      <c r="P48" s="136">
        <f ca="1">Model!AA134</f>
        <v>13208.488998646155</v>
      </c>
      <c r="Q48" s="136">
        <f ca="1">Model!AB134</f>
        <v>13065.937173145043</v>
      </c>
      <c r="R48" s="136">
        <f ca="1">Model!AC134</f>
        <v>12661.478622679173</v>
      </c>
      <c r="S48" s="16"/>
      <c r="T48" s="136">
        <f ca="1">Model!J134</f>
        <v>8279</v>
      </c>
      <c r="U48" s="136">
        <f ca="1">Model!O134</f>
        <v>7659</v>
      </c>
      <c r="V48" s="137">
        <f ca="1">Model!T134</f>
        <v>10884</v>
      </c>
      <c r="W48" s="136">
        <f ca="1">Model!Y134</f>
        <v>11323.858532608696</v>
      </c>
      <c r="X48" s="136">
        <f ca="1">Model!AD134</f>
        <v>12661.478622679173</v>
      </c>
      <c r="Y48" s="136">
        <f ca="1">Model!AE134</f>
        <v>13673.255855145992</v>
      </c>
      <c r="Z48" s="136">
        <f ca="1">Model!AF134</f>
        <v>13930.522690051177</v>
      </c>
      <c r="AA48" s="136">
        <f ca="1">Model!AG134</f>
        <v>14176.088648168821</v>
      </c>
      <c r="AB48" s="16"/>
      <c r="AC48" s="16"/>
      <c r="AD48" s="16"/>
      <c r="AE48" s="16"/>
    </row>
    <row r="49" ht="13.5" customHeight="1" spans="1:31" x14ac:dyDescent="0.25">
      <c r="A49" s="17"/>
      <c r="B49" s="16"/>
      <c r="C49" s="16" t="str">
        <f ca="1">Model!C135</f>
        <v>Accrued Liabilities</v>
      </c>
      <c r="D49" s="16"/>
      <c r="E49" s="16"/>
      <c r="F49" s="16"/>
      <c r="G49" s="136">
        <f ca="1">Model!P135</f>
        <v>982</v>
      </c>
      <c r="H49" s="136">
        <f ca="1">Model!Q135</f>
        <v>1139</v>
      </c>
      <c r="I49" s="136">
        <f ca="1">Model!R135</f>
        <v>1117</v>
      </c>
      <c r="J49" s="137">
        <f ca="1">Model!S135</f>
        <v>2411</v>
      </c>
      <c r="K49" s="136">
        <f ca="1">Model!U135</f>
        <v>1312</v>
      </c>
      <c r="L49" s="136">
        <f ca="1">Model!V135</f>
        <v>1331</v>
      </c>
      <c r="M49" s="136">
        <f ca="1">Model!W135</f>
        <v>1353</v>
      </c>
      <c r="N49" s="138">
        <f ca="1">Model!X135</f>
        <v>947.08635</v>
      </c>
      <c r="O49" s="136">
        <f ca="1">Model!Z135</f>
        <v>1104.716354</v>
      </c>
      <c r="P49" s="136">
        <f ca="1">Model!AA135</f>
        <v>1252.05468633</v>
      </c>
      <c r="Q49" s="136">
        <f ca="1">Model!AB135</f>
        <v>1134.0247357824</v>
      </c>
      <c r="R49" s="136">
        <f ca="1">Model!AC135</f>
        <v>1058.9600302604401</v>
      </c>
      <c r="S49" s="16"/>
      <c r="T49" s="136">
        <f ca="1">Model!J135</f>
        <v>662</v>
      </c>
      <c r="U49" s="136">
        <f ca="1">Model!O135</f>
        <v>684</v>
      </c>
      <c r="V49" s="137">
        <f ca="1">Model!T135</f>
        <v>2411</v>
      </c>
      <c r="W49" s="136">
        <f ca="1">Model!Y135</f>
        <v>947.08635</v>
      </c>
      <c r="X49" s="136">
        <f ca="1">Model!AD135</f>
        <v>1058.9600302604401</v>
      </c>
      <c r="Y49" s="136">
        <f ca="1">Model!AE135</f>
        <v>1201.4740561605136</v>
      </c>
      <c r="Z49" s="136">
        <f ca="1">Model!AF135</f>
        <v>1224.080188227645</v>
      </c>
      <c r="AA49" s="136">
        <f ca="1">Model!AG135</f>
        <v>1245.6581599177973</v>
      </c>
      <c r="AB49" s="16"/>
      <c r="AC49" s="16"/>
      <c r="AD49" s="16"/>
      <c r="AE49" s="16"/>
    </row>
    <row r="50" ht="13.5" customHeight="1" spans="1:31" x14ac:dyDescent="0.25">
      <c r="A50" s="17"/>
      <c r="B50" s="16"/>
      <c r="C50" s="16" t="str">
        <f ca="1">Model!C136</f>
        <v>Other Current Liabilities</v>
      </c>
      <c r="D50" s="16"/>
      <c r="E50" s="16"/>
      <c r="F50" s="16"/>
      <c r="G50" s="136">
        <f ca="1">Model!P136</f>
        <v>5898</v>
      </c>
      <c r="H50" s="136">
        <f ca="1">Model!Q136</f>
        <v>6706</v>
      </c>
      <c r="I50" s="136">
        <f ca="1">Model!R136</f>
        <v>5079</v>
      </c>
      <c r="J50" s="137">
        <f ca="1">Model!S136</f>
        <v>3614</v>
      </c>
      <c r="K50" s="136">
        <f ca="1">Model!U136</f>
        <v>6278</v>
      </c>
      <c r="L50" s="136">
        <f ca="1">Model!V136</f>
        <v>6978</v>
      </c>
      <c r="M50" s="136">
        <f ca="1">Model!W136</f>
        <v>6795</v>
      </c>
      <c r="N50" s="138">
        <f ca="1">Model!X136</f>
        <v>9470.8635</v>
      </c>
      <c r="O50" s="136">
        <f ca="1">Model!Z136</f>
        <v>9721.503915199999</v>
      </c>
      <c r="P50" s="136">
        <f ca="1">Model!AA136</f>
        <v>11018.081239704</v>
      </c>
      <c r="Q50" s="136">
        <f ca="1">Model!AB136</f>
        <v>11340.247357824</v>
      </c>
      <c r="R50" s="136">
        <f ca="1">Model!AC136</f>
        <v>10589.6003026044</v>
      </c>
      <c r="S50" s="16"/>
      <c r="T50" s="136">
        <f ca="1">Model!J136</f>
        <v>4446</v>
      </c>
      <c r="U50" s="136">
        <f ca="1">Model!O136</f>
        <v>6242</v>
      </c>
      <c r="V50" s="137">
        <f ca="1">Model!T136</f>
        <v>3614</v>
      </c>
      <c r="W50" s="136">
        <f ca="1">Model!Y136</f>
        <v>9470.8635</v>
      </c>
      <c r="X50" s="136">
        <f ca="1">Model!AD136</f>
        <v>10589.6003026044</v>
      </c>
      <c r="Y50" s="136">
        <f ca="1">Model!AE136</f>
        <v>11090.529749173971</v>
      </c>
      <c r="Z50" s="136">
        <f ca="1">Model!AF136</f>
        <v>11299.201737485955</v>
      </c>
      <c r="AA50" s="136">
        <f ca="1">Model!AG136</f>
        <v>11498.383014625822</v>
      </c>
      <c r="AB50" s="16"/>
      <c r="AC50" s="16"/>
      <c r="AD50" s="16"/>
      <c r="AE50" s="16"/>
    </row>
    <row r="51" ht="13.5" customHeight="1" spans="1:31" x14ac:dyDescent="0.25">
      <c r="A51" s="17"/>
      <c r="B51" s="16"/>
      <c r="C51" s="139" t="str">
        <f ca="1">Model!C137</f>
        <v>Total Current Liabilities (Excl. Debt)</v>
      </c>
      <c r="D51" s="16"/>
      <c r="E51" s="16"/>
      <c r="F51" s="16"/>
      <c r="G51" s="140">
        <f t="shared" ref="G51:R51" si="28" ca="1">SUM(G48:G50)</f>
        <v>17721</v>
      </c>
      <c r="H51" s="140">
        <f ca="1">SUM(H48:H50)</f>
        <v>20761</v>
      </c>
      <c r="I51" s="140">
        <f ca="1">SUM(I48:I50)</f>
        <v>18955</v>
      </c>
      <c r="J51" s="141">
        <f ca="1">SUM(J48:J50)</f>
        <v>16909</v>
      </c>
      <c r="K51" s="140">
        <f ca="1">SUM(K48:K50)</f>
        <v>21554</v>
      </c>
      <c r="L51" s="140">
        <f ca="1">SUM(L48:L50)</f>
        <v>20320</v>
      </c>
      <c r="M51" s="140">
        <f ca="1">SUM(M48:M50)</f>
        <v>19482</v>
      </c>
      <c r="N51" s="142">
        <f ca="1">SUM(N48:N50)</f>
        <v>21741.808382608695</v>
      </c>
      <c r="O51" s="140">
        <f ca="1">SUM(O48:O50)</f>
        <v>24908.31884766154</v>
      </c>
      <c r="P51" s="140">
        <f ca="1">SUM(P48:P50)</f>
        <v>25478.624924680156</v>
      </c>
      <c r="Q51" s="140">
        <f ca="1">SUM(Q48:Q50)</f>
        <v>25540.209266751444</v>
      </c>
      <c r="R51" s="140">
        <f ca="1">SUM(R48:R50)</f>
        <v>24310.038955544012</v>
      </c>
      <c r="S51" s="16"/>
      <c r="T51" s="140">
        <f t="shared" ref="T51:AA51" si="29" ca="1">SUM(T48:T50)</f>
        <v>13387</v>
      </c>
      <c r="U51" s="140">
        <f ca="1">SUM(U48:U50)</f>
        <v>14585</v>
      </c>
      <c r="V51" s="141">
        <f ca="1">SUM(V48:V50)</f>
        <v>16909</v>
      </c>
      <c r="W51" s="140">
        <f ca="1">SUM(W48:W50)</f>
        <v>21741.808382608695</v>
      </c>
      <c r="X51" s="140">
        <f ca="1">SUM(X48:X50)</f>
        <v>24310.038955544012</v>
      </c>
      <c r="Y51" s="140">
        <f ca="1">SUM(Y48:Y50)</f>
        <v>25965.25966048048</v>
      </c>
      <c r="Z51" s="140">
        <f ca="1">SUM(Z48:Z50)</f>
        <v>26453.804615764777</v>
      </c>
      <c r="AA51" s="140">
        <f ca="1">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 ca="1">Model!C139</f>
        <v>Revolver</v>
      </c>
      <c r="D53" s="16"/>
      <c r="E53" s="16"/>
      <c r="F53" s="16"/>
      <c r="G53" s="116">
        <f ca="1">Model!P139</f>
        <v>1e-12</v>
      </c>
      <c r="H53" s="116">
        <f ca="1">Model!Q139</f>
        <v>1e-12</v>
      </c>
      <c r="I53" s="116">
        <f ca="1">Model!R139</f>
        <v>1e-12</v>
      </c>
      <c r="J53" s="117">
        <f ca="1">Model!S139</f>
        <v>1e-12</v>
      </c>
      <c r="K53" s="116">
        <f ca="1">Model!U139</f>
        <v>1e-12</v>
      </c>
      <c r="L53" s="116">
        <f ca="1">Model!V139</f>
        <v>1e-12</v>
      </c>
      <c r="M53" s="116">
        <f ca="1">Model!W139</f>
        <v>1e-12</v>
      </c>
      <c r="N53" s="118">
        <f ca="1">Model!X139</f>
        <v>1e-12</v>
      </c>
      <c r="O53" s="116">
        <f ca="1">Model!Z139</f>
        <v>2934.7976466040977</v>
      </c>
      <c r="P53" s="116">
        <f ca="1">Model!AA139</f>
        <v>2934.7976466040977</v>
      </c>
      <c r="Q53" s="116">
        <f ca="1">Model!AB139</f>
        <v>2934.7976466040977</v>
      </c>
      <c r="R53" s="116">
        <f ca="1">Model!AC139</f>
        <v>6823.80902123753</v>
      </c>
      <c r="S53" s="16"/>
      <c r="T53" s="116">
        <f ca="1">Model!J139</f>
        <v>1e-12</v>
      </c>
      <c r="U53" s="116">
        <f ca="1">Model!O139</f>
        <v>1e-12</v>
      </c>
      <c r="V53" s="117">
        <f ca="1">Model!T139</f>
        <v>1e-12</v>
      </c>
      <c r="W53" s="116">
        <f ca="1">Model!Y139</f>
        <v>1e-12</v>
      </c>
      <c r="X53" s="116">
        <f ca="1">Model!AD139</f>
        <v>6823.80902123753</v>
      </c>
      <c r="Y53" s="116">
        <f ca="1">Model!AE139</f>
        <v>16440.280735941582</v>
      </c>
      <c r="Z53" s="116">
        <f ca="1">Model!AF139</f>
        <v>27330.130430840378</v>
      </c>
      <c r="AA53" s="116">
        <f ca="1">Model!AG139</f>
        <v>38831.22040728551</v>
      </c>
      <c r="AB53" s="16"/>
      <c r="AC53" s="16"/>
      <c r="AD53" s="16"/>
      <c r="AE53" s="16"/>
    </row>
    <row r="54" ht="13.5" customHeight="1" spans="1:31" x14ac:dyDescent="0.25">
      <c r="A54" s="17"/>
      <c r="B54" s="16"/>
      <c r="C54" s="16" t="str">
        <f ca="1">Model!C140</f>
        <v>LT Debt (Incl. Current Portion)</v>
      </c>
      <c r="D54" s="16"/>
      <c r="E54" s="16"/>
      <c r="F54" s="16"/>
      <c r="G54" s="136">
        <f ca="1">Model!P140</f>
        <v>20804</v>
      </c>
      <c r="H54" s="136">
        <f ca="1">Model!Q140</f>
        <v>20806</v>
      </c>
      <c r="I54" s="136">
        <f ca="1">Model!R140</f>
        <v>21794</v>
      </c>
      <c r="J54" s="137">
        <f ca="1">Model!S140</f>
        <v>26211</v>
      </c>
      <c r="K54" s="136">
        <f ca="1">Model!U140</f>
        <v>23244</v>
      </c>
      <c r="L54" s="136">
        <f ca="1">Model!V140</f>
        <v>23311</v>
      </c>
      <c r="M54" s="136">
        <f ca="1">Model!W140</f>
        <v>25233</v>
      </c>
      <c r="N54" s="138">
        <f ca="1">Model!X140</f>
        <v>24733</v>
      </c>
      <c r="O54" s="136">
        <f ca="1">Model!Z140</f>
        <v>24233</v>
      </c>
      <c r="P54" s="136">
        <f ca="1">Model!AA140</f>
        <v>23733</v>
      </c>
      <c r="Q54" s="136">
        <f ca="1">Model!AB140</f>
        <v>23233</v>
      </c>
      <c r="R54" s="136">
        <f ca="1">Model!AC140</f>
        <v>22733</v>
      </c>
      <c r="S54" s="16"/>
      <c r="T54" s="136">
        <f ca="1">Model!J140</f>
        <v>15501</v>
      </c>
      <c r="U54" s="136">
        <f ca="1">Model!O140</f>
        <v>17365</v>
      </c>
      <c r="V54" s="137">
        <f ca="1">Model!T140</f>
        <v>26211</v>
      </c>
      <c r="W54" s="136">
        <f ca="1">Model!Y140</f>
        <v>24733</v>
      </c>
      <c r="X54" s="136">
        <f ca="1">Model!AD140</f>
        <v>22733</v>
      </c>
      <c r="Y54" s="136">
        <f ca="1">Model!AE140</f>
        <v>21333</v>
      </c>
      <c r="Z54" s="136">
        <f ca="1">Model!AF140</f>
        <v>20033</v>
      </c>
      <c r="AA54" s="136">
        <f ca="1">Model!AG140</f>
        <v>18833</v>
      </c>
      <c r="AB54" s="16"/>
      <c r="AC54" s="16"/>
      <c r="AD54" s="16"/>
      <c r="AE54" s="16"/>
    </row>
    <row r="55" ht="13.5" customHeight="1" spans="1:31" x14ac:dyDescent="0.25">
      <c r="A55" s="17"/>
      <c r="B55" s="16"/>
      <c r="C55" s="16" t="str">
        <f ca="1">Model!C141</f>
        <v>Deferred Income Taxes</v>
      </c>
      <c r="D55" s="16"/>
      <c r="E55" s="16"/>
      <c r="F55" s="16"/>
      <c r="G55" s="136">
        <f ca="1">Model!P141</f>
        <v>1e-12</v>
      </c>
      <c r="H55" s="136">
        <f ca="1">Model!Q141</f>
        <v>1e-12</v>
      </c>
      <c r="I55" s="136">
        <f ca="1">Model!R141</f>
        <v>1e-12</v>
      </c>
      <c r="J55" s="137">
        <f ca="1">Model!S141</f>
        <v>168</v>
      </c>
      <c r="K55" s="136">
        <f ca="1">Model!U141</f>
        <v>1e-12</v>
      </c>
      <c r="L55" s="136">
        <f ca="1">Model!V141</f>
        <v>1e-12</v>
      </c>
      <c r="M55" s="136">
        <f ca="1">Model!W141</f>
        <v>1e-12</v>
      </c>
      <c r="N55" s="138">
        <f ca="1">Model!X141</f>
        <v>1e-12</v>
      </c>
      <c r="O55" s="136">
        <f ca="1">Model!Z141</f>
        <v>1e-12</v>
      </c>
      <c r="P55" s="136">
        <f ca="1">Model!AA141</f>
        <v>1e-12</v>
      </c>
      <c r="Q55" s="136">
        <f ca="1">Model!AB141</f>
        <v>1e-12</v>
      </c>
      <c r="R55" s="136">
        <f ca="1">Model!AC141</f>
        <v>1e-12</v>
      </c>
      <c r="S55" s="16"/>
      <c r="T55" s="136">
        <f ca="1">Model!J141</f>
        <v>485</v>
      </c>
      <c r="U55" s="136">
        <f ca="1">Model!O141</f>
        <v>1e-12</v>
      </c>
      <c r="V55" s="137">
        <f ca="1">Model!T141</f>
        <v>168</v>
      </c>
      <c r="W55" s="136">
        <f ca="1">Model!Y141</f>
        <v>1e-12</v>
      </c>
      <c r="X55" s="136">
        <f ca="1">Model!AD141</f>
        <v>1e-12</v>
      </c>
      <c r="Y55" s="136">
        <f ca="1">Model!AE141</f>
        <v>1e-12</v>
      </c>
      <c r="Z55" s="136">
        <f ca="1">Model!AF141</f>
        <v>1e-12</v>
      </c>
      <c r="AA55" s="136">
        <f ca="1">Model!AG141</f>
        <v>1e-12</v>
      </c>
      <c r="AB55" s="16"/>
      <c r="AC55" s="16"/>
      <c r="AD55" s="16"/>
      <c r="AE55" s="16"/>
    </row>
    <row r="56" ht="13.5" customHeight="1" spans="1:31" x14ac:dyDescent="0.25">
      <c r="A56" s="17"/>
      <c r="B56" s="16"/>
      <c r="C56" s="16" t="str">
        <f ca="1">Model!C142</f>
        <v>Other Non-Current Liabilities</v>
      </c>
      <c r="D56" s="16"/>
      <c r="E56" s="16"/>
      <c r="F56" s="16"/>
      <c r="G56" s="136">
        <f ca="1">Model!P142</f>
        <v>5591</v>
      </c>
      <c r="H56" s="136">
        <f ca="1">Model!Q142</f>
        <v>5840</v>
      </c>
      <c r="I56" s="136">
        <f ca="1">Model!R142</f>
        <v>6058</v>
      </c>
      <c r="J56" s="137">
        <f ca="1">Model!S142</f>
        <v>2010</v>
      </c>
      <c r="K56" s="136">
        <f ca="1">Model!U142</f>
        <v>5957</v>
      </c>
      <c r="L56" s="136">
        <f ca="1">Model!V142</f>
        <v>5948</v>
      </c>
      <c r="M56" s="150">
        <f ca="1">Model!W142</f>
        <v>6261</v>
      </c>
      <c r="N56" s="138">
        <f ca="1">Model!X142</f>
        <v>6261</v>
      </c>
      <c r="O56" s="136">
        <f ca="1">Model!Z142</f>
        <v>6261</v>
      </c>
      <c r="P56" s="136">
        <f ca="1">Model!AA142</f>
        <v>6261</v>
      </c>
      <c r="Q56" s="136">
        <f ca="1">Model!AB142</f>
        <v>6261</v>
      </c>
      <c r="R56" s="136">
        <f ca="1">Model!AC142</f>
        <v>6261</v>
      </c>
      <c r="S56" s="16"/>
      <c r="T56" s="136">
        <f ca="1">Model!J142</f>
        <v>1976</v>
      </c>
      <c r="U56" s="136">
        <f ca="1">Model!O142</f>
        <v>5549</v>
      </c>
      <c r="V56" s="137">
        <f ca="1">Model!T142</f>
        <v>2010</v>
      </c>
      <c r="W56" s="136">
        <f ca="1">Model!Y142</f>
        <v>6261</v>
      </c>
      <c r="X56" s="136">
        <f ca="1">Model!AD142</f>
        <v>6261</v>
      </c>
      <c r="Y56" s="136">
        <f ca="1">Model!AE142</f>
        <v>6261</v>
      </c>
      <c r="Z56" s="136">
        <f ca="1">Model!AF142</f>
        <v>6261</v>
      </c>
      <c r="AA56" s="136">
        <f ca="1">Model!AG142</f>
        <v>6261</v>
      </c>
      <c r="AB56" s="16"/>
      <c r="AC56" s="16"/>
      <c r="AD56" s="16"/>
      <c r="AE56" s="16"/>
    </row>
    <row r="57" ht="13.5" customHeight="1" spans="1:31" x14ac:dyDescent="0.25">
      <c r="A57" s="17"/>
      <c r="B57" s="16"/>
      <c r="C57" s="139" t="str">
        <f ca="1">Model!C143</f>
        <v>Total Non-Current Liabilities</v>
      </c>
      <c r="D57" s="16"/>
      <c r="E57" s="16"/>
      <c r="F57" s="16"/>
      <c r="G57" s="140">
        <f ca="1">SUM(G53:G56)</f>
        <v>26395</v>
      </c>
      <c r="H57" s="140">
        <f t="array" ref="H57" ca="1">INDEX(Data,MATCH($C57,Line_Items,0),MATCH(H$32,Fiscal_Periods,0))</f>
        <v>26646</v>
      </c>
      <c r="I57" s="140">
        <f t="array" ref="I57" ca="1">INDEX(Data,MATCH($C57,Line_Items,0),MATCH(I$32,Fiscal_Periods,0))</f>
        <v>27852</v>
      </c>
      <c r="J57" s="141">
        <f t="array" ref="J57" ca="1">INDEX(Data,MATCH($C57,Line_Items,0),MATCH(J$32,Fiscal_Periods,0))</f>
        <v>28389</v>
      </c>
      <c r="K57" s="140">
        <f t="array" ref="K57" ca="1">INDEX(Data,MATCH($C57,Line_Items,0),MATCH(K$32,Fiscal_Periods,0))</f>
        <v>29201</v>
      </c>
      <c r="L57" s="140">
        <f t="array" ref="L57" ca="1">INDEX(Data,MATCH($C57,Line_Items,0),MATCH(L$32,Fiscal_Periods,0))</f>
        <v>29259</v>
      </c>
      <c r="M57" s="140">
        <f t="array" ref="M57" ca="1">INDEX(Data,MATCH($C57,Line_Items,0),MATCH(M$32,Fiscal_Periods,0))</f>
        <v>31494</v>
      </c>
      <c r="N57" s="142">
        <f ca="1">INDEX(Data,MATCH($C57,Line_Items,0),MATCH(N$32,Fiscal_Periods,0))</f>
      </c>
      <c r="O57" s="140">
        <f ca="1">INDEX(Data,MATCH($C57,Line_Items,0),MATCH(O$32,Fiscal_Periods,0))</f>
      </c>
      <c r="P57" s="140">
        <f ca="1">INDEX(Data,MATCH($C57,Line_Items,0),MATCH(P$32,Fiscal_Periods,0))</f>
      </c>
      <c r="Q57" s="140">
        <f ca="1">INDEX(Data,MATCH($C57,Line_Items,0),MATCH(Q$32,Fiscal_Periods,0))</f>
      </c>
      <c r="R57" s="140">
        <f ca="1">INDEX(Data,MATCH($C57,Line_Items,0),MATCH(R$32,Fiscal_Periods,0))</f>
      </c>
      <c r="S57" s="16"/>
      <c r="T57" s="140">
        <f t="array" ref="T57" ca="1">INDEX(Data,MATCH($C57,Line_Items,0),MATCH(T$32,Fiscal_Periods,0))</f>
        <v>17477</v>
      </c>
      <c r="U57" s="140">
        <f t="array" ref="U57" ca="1">INDEX(Data,MATCH($C57,Line_Items,0),MATCH(U$32,Fiscal_Periods,0))</f>
        <v>22914</v>
      </c>
      <c r="V57" s="141">
        <f t="array" ref="V57" ca="1">INDEX(Data,MATCH($C57,Line_Items,0),MATCH(V$32,Fiscal_Periods,0))</f>
        <v>28389</v>
      </c>
      <c r="W57" s="140">
        <f ca="1">INDEX(Data,MATCH($C57,Line_Items,0),MATCH(W$32,Fiscal_Periods,0))</f>
      </c>
      <c r="X57" s="140">
        <f ca="1">INDEX(Data,MATCH($C57,Line_Items,0),MATCH(X$32,Fiscal_Periods,0))</f>
      </c>
      <c r="Y57" s="140">
        <f ca="1">INDEX(Data,MATCH($C57,Line_Items,0),MATCH(Y$32,Fiscal_Periods,0))</f>
      </c>
      <c r="Z57" s="140">
        <f ca="1">INDEX(Data,MATCH($C57,Line_Items,0),MATCH(Z$32,Fiscal_Periods,0))</f>
      </c>
      <c r="AA57" s="140">
        <f ca="1">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 ca="1">Model!C145</f>
        <v>Total Liabilities</v>
      </c>
      <c r="D59" s="16"/>
      <c r="E59" s="16"/>
      <c r="F59" s="16"/>
      <c r="G59" s="140">
        <f t="shared" ref="G59:R59" si="30" ca="1">SUM(G51,G57)</f>
        <v>44116</v>
      </c>
      <c r="H59" s="140">
        <f ca="1">SUM(H51,H57)</f>
        <v>47407</v>
      </c>
      <c r="I59" s="140">
        <f ca="1">SUM(I51,I57)</f>
        <v>46807</v>
      </c>
      <c r="J59" s="141">
        <f ca="1">SUM(J51,J57)</f>
        <v>45298</v>
      </c>
      <c r="K59" s="140">
        <f ca="1">SUM(K51,K57)</f>
        <v>50755</v>
      </c>
      <c r="L59" s="140">
        <f ca="1">SUM(L51,L57)</f>
        <v>49579</v>
      </c>
      <c r="M59" s="140">
        <f ca="1">SUM(M51,M57)</f>
        <v>50976</v>
      </c>
      <c r="N59" s="142">
        <f ca="1">SUM(N51,N57)</f>
        <v>21741.808382608695</v>
      </c>
      <c r="O59" s="140">
        <f ca="1">SUM(O51,O57)</f>
        <v>24908.31884766154</v>
      </c>
      <c r="P59" s="140">
        <f ca="1">SUM(P51,P57)</f>
        <v>25478.624924680156</v>
      </c>
      <c r="Q59" s="140">
        <f ca="1">SUM(Q51,Q57)</f>
        <v>25540.209266751444</v>
      </c>
      <c r="R59" s="140">
        <f ca="1">SUM(R51,R57)</f>
        <v>24310.038955544012</v>
      </c>
      <c r="S59" s="16"/>
      <c r="T59" s="140">
        <f t="shared" ref="T59:AA59" si="31" ca="1">SUM(T51,T57)</f>
        <v>30864</v>
      </c>
      <c r="U59" s="140">
        <f ca="1">SUM(U51,U57)</f>
        <v>37499</v>
      </c>
      <c r="V59" s="141">
        <f ca="1">SUM(V51,V57)</f>
        <v>45298</v>
      </c>
      <c r="W59" s="140">
        <f ca="1">SUM(W51,W57)</f>
        <v>21741.808382608695</v>
      </c>
      <c r="X59" s="140">
        <f ca="1">SUM(X51,X57)</f>
        <v>24310.038955544012</v>
      </c>
      <c r="Y59" s="140">
        <f ca="1">SUM(Y51,Y57)</f>
        <v>25965.25966048048</v>
      </c>
      <c r="Z59" s="140">
        <f ca="1">SUM(Z51,Z57)</f>
        <v>26453.804615764777</v>
      </c>
      <c r="AA59" s="140">
        <f ca="1">SUM(AA51,AA57)</f>
        <v>26920.129822712443</v>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 ca="1">Model!C147</f>
        <v>Common Stock &amp; APIC</v>
      </c>
      <c r="D61" s="16"/>
      <c r="E61" s="16"/>
      <c r="F61" s="16"/>
      <c r="G61" s="116">
        <f ca="1">Model!P147</f>
        <v>387</v>
      </c>
      <c r="H61" s="116">
        <f ca="1">Model!Q147</f>
        <v>507</v>
      </c>
      <c r="I61" s="116">
        <f ca="1">Model!R147</f>
        <v>376</v>
      </c>
      <c r="J61" s="117">
        <f ca="1">Model!S147</f>
        <v>456</v>
      </c>
      <c r="K61" s="116">
        <f ca="1">Model!U147</f>
        <v>358</v>
      </c>
      <c r="L61" s="116">
        <f ca="1">Model!V147</f>
        <v>350</v>
      </c>
      <c r="M61" s="116">
        <f ca="1">Model!W147</f>
        <v>343</v>
      </c>
      <c r="N61" s="118">
        <f ca="1">Model!X147</f>
        <v>394.3</v>
      </c>
      <c r="O61" s="116">
        <f ca="1">Model!Z147</f>
        <v>454.834</v>
      </c>
      <c r="P61" s="116">
        <f ca="1">Model!AA147</f>
        <v>523.84276</v>
      </c>
      <c r="Q61" s="116">
        <f ca="1">Model!AB147</f>
        <v>584.5704688</v>
      </c>
      <c r="R61" s="116">
        <f ca="1">Model!AC147</f>
        <v>642.2617921599999</v>
      </c>
      <c r="S61" s="16"/>
      <c r="T61" s="116">
        <f ca="1">Model!J147</f>
        <v>401</v>
      </c>
      <c r="U61" s="116">
        <f ca="1">Model!O147</f>
        <v>381</v>
      </c>
      <c r="V61" s="117">
        <f ca="1">Model!T147</f>
        <v>456</v>
      </c>
      <c r="W61" s="116">
        <f ca="1">Model!Y147</f>
        <v>394.3</v>
      </c>
      <c r="X61" s="116">
        <f ca="1">Model!AD147</f>
        <v>642.2617921599999</v>
      </c>
      <c r="Y61" s="116">
        <f ca="1">Model!AE147</f>
        <v>895.1828201632</v>
      </c>
      <c r="Z61" s="116">
        <f ca="1">Model!AF147</f>
        <v>1153.162268726464</v>
      </c>
      <c r="AA61" s="116">
        <f ca="1">Model!AG147</f>
        <v>1416.3013062609932</v>
      </c>
      <c r="AB61" s="16"/>
      <c r="AC61" s="16"/>
      <c r="AD61" s="16"/>
      <c r="AE61" s="16"/>
    </row>
    <row r="62" ht="13.5" customHeight="1" spans="1:31" x14ac:dyDescent="0.25">
      <c r="A62" s="17"/>
      <c r="B62" s="16"/>
      <c r="C62" s="16" t="str">
        <f ca="1">Model!C148</f>
        <v>Retained Earnings</v>
      </c>
      <c r="D62" s="16"/>
      <c r="E62" s="16"/>
      <c r="F62" s="16"/>
      <c r="G62" s="136">
        <f ca="1">Model!P148</f>
        <v>1722</v>
      </c>
      <c r="H62" s="136">
        <f ca="1">Model!Q148</f>
        <v>4134</v>
      </c>
      <c r="I62" s="136">
        <f ca="1">Model!R148</f>
        <v>3942</v>
      </c>
      <c r="J62" s="137">
        <f ca="1">Model!S148</f>
        <v>1117</v>
      </c>
      <c r="K62" s="136">
        <f ca="1">Model!U148</f>
        <v>98</v>
      </c>
      <c r="L62" s="136">
        <f ca="1">Model!V148</f>
        <v>-460</v>
      </c>
      <c r="M62" s="136">
        <f ca="1">Model!W148</f>
        <v>-1913</v>
      </c>
      <c r="N62" s="138">
        <f ca="1">Model!X148</f>
        <v>-6735.976413</v>
      </c>
      <c r="O62" s="136">
        <f ca="1">Model!Z148</f>
        <v>-11747.427491681367</v>
      </c>
      <c r="P62" s="136">
        <f ca="1">Model!AA148</f>
        <v>-12048.246454201657</v>
      </c>
      <c r="Q62" s="136">
        <f ca="1">Model!AB148</f>
        <v>-15098.159410810562</v>
      </c>
      <c r="R62" s="136">
        <f ca="1">Model!AC148</f>
        <v>-20493.852096909442</v>
      </c>
      <c r="S62" s="16"/>
      <c r="T62" s="136">
        <f ca="1">Model!J148</f>
        <v>3452</v>
      </c>
      <c r="U62" s="136">
        <f ca="1">Model!O148</f>
        <v>1727</v>
      </c>
      <c r="V62" s="137">
        <f ca="1">Model!T148</f>
        <v>1117</v>
      </c>
      <c r="W62" s="136">
        <f ca="1">Model!Y148</f>
        <v>-6735.976413</v>
      </c>
      <c r="X62" s="136">
        <f ca="1">Model!AD148</f>
        <v>-20493.852096909442</v>
      </c>
      <c r="Y62" s="136">
        <f ca="1">Model!AE148</f>
        <v>-34301.630393079526</v>
      </c>
      <c r="Z62" s="136">
        <f ca="1">Model!AF148</f>
        <v>-48761.129296101026</v>
      </c>
      <c r="AA62" s="136">
        <f ca="1">Model!AG148</f>
        <v>-63781.40235384832</v>
      </c>
      <c r="AB62" s="16"/>
      <c r="AC62" s="16"/>
      <c r="AD62" s="16"/>
      <c r="AE62" s="16"/>
    </row>
    <row r="63" ht="13.5" customHeight="1" spans="1:31" x14ac:dyDescent="0.25">
      <c r="A63" s="17"/>
      <c r="B63" s="16"/>
      <c r="C63" s="16" t="str">
        <f ca="1">Model!C149</f>
        <v>Treasury Stock</v>
      </c>
      <c r="D63" s="16"/>
      <c r="E63" s="16"/>
      <c r="F63" s="16"/>
      <c r="G63" s="136">
        <f ca="1">Model!P149</f>
        <v>1e-12</v>
      </c>
      <c r="H63" s="136">
        <f ca="1">Model!Q149</f>
        <v>1e-12</v>
      </c>
      <c r="I63" s="136">
        <f ca="1">Model!R149</f>
        <v>1e-12</v>
      </c>
      <c r="J63" s="137">
        <f ca="1">Model!S149</f>
        <v>1e-12</v>
      </c>
      <c r="K63" s="136">
        <f ca="1">Model!U149</f>
        <v>1e-12</v>
      </c>
      <c r="L63" s="136">
        <f ca="1">Model!V149</f>
        <v>1e-12</v>
      </c>
      <c r="M63" s="136">
        <f ca="1">Model!W149</f>
        <v>1e-12</v>
      </c>
      <c r="N63" s="138">
        <f ca="1">Model!X149</f>
        <v>-500</v>
      </c>
      <c r="O63" s="136">
        <f ca="1">Model!Z149</f>
        <v>-1000</v>
      </c>
      <c r="P63" s="136">
        <f ca="1">Model!AA149</f>
        <v>-1500</v>
      </c>
      <c r="Q63" s="136">
        <f ca="1">Model!AB149</f>
        <v>-2000</v>
      </c>
      <c r="R63" s="136">
        <f ca="1">Model!AC149</f>
        <v>-2500</v>
      </c>
      <c r="S63" s="16"/>
      <c r="T63" s="136">
        <f ca="1">Model!J149</f>
        <v>1e-12</v>
      </c>
      <c r="U63" s="136">
        <f ca="1">Model!O149</f>
        <v>1e-12</v>
      </c>
      <c r="V63" s="137">
        <f ca="1">Model!T149</f>
        <v>1e-12</v>
      </c>
      <c r="W63" s="136">
        <f ca="1">Model!Y149</f>
        <v>-500</v>
      </c>
      <c r="X63" s="136">
        <f ca="1">Model!AD149</f>
        <v>-2500</v>
      </c>
      <c r="Y63" s="136">
        <f ca="1">Model!AE149</f>
        <v>-5500</v>
      </c>
      <c r="Z63" s="136">
        <f ca="1">Model!AF149</f>
        <v>-8500</v>
      </c>
      <c r="AA63" s="136">
        <f ca="1">Model!AG149</f>
        <v>-11500</v>
      </c>
      <c r="AB63" s="16"/>
      <c r="AC63" s="16"/>
      <c r="AD63" s="16"/>
      <c r="AE63" s="16"/>
    </row>
    <row r="64" ht="13.5" customHeight="1" spans="1:31" x14ac:dyDescent="0.25">
      <c r="A64" s="17"/>
      <c r="B64" s="16"/>
      <c r="C64" s="16" t="str">
        <f ca="1">Model!C150</f>
        <v>Accumulated Other Comprehensive Income (AOCI)</v>
      </c>
      <c r="D64" s="16"/>
      <c r="E64" s="16"/>
      <c r="F64" s="16"/>
      <c r="G64" s="136">
        <f ca="1">Model!P150</f>
        <v>-393</v>
      </c>
      <c r="H64" s="136">
        <f ca="1">Model!Q150</f>
        <v>-285</v>
      </c>
      <c r="I64" s="136">
        <f ca="1">Model!R150</f>
        <v>-245</v>
      </c>
      <c r="J64" s="137">
        <f ca="1">Model!S150</f>
        <v>-136</v>
      </c>
      <c r="K64" s="136">
        <f ca="1">Model!U150</f>
        <v>-11</v>
      </c>
      <c r="L64" s="136">
        <f ca="1">Model!V150</f>
        <v>-65</v>
      </c>
      <c r="M64" s="136">
        <f ca="1">Model!W150</f>
        <v>-6</v>
      </c>
      <c r="N64" s="138">
        <f ca="1">Model!X150</f>
        <v>-6</v>
      </c>
      <c r="O64" s="136">
        <f ca="1">Model!Z150</f>
        <v>-6</v>
      </c>
      <c r="P64" s="136">
        <f ca="1">Model!AA150</f>
        <v>-6</v>
      </c>
      <c r="Q64" s="136">
        <f ca="1">Model!AB150</f>
        <v>-6</v>
      </c>
      <c r="R64" s="136">
        <f ca="1">Model!AC150</f>
        <v>-6</v>
      </c>
      <c r="S64" s="16"/>
      <c r="T64" s="136">
        <f ca="1">Model!J150</f>
        <v>-209</v>
      </c>
      <c r="U64" s="136">
        <f ca="1">Model!O150</f>
        <v>-136</v>
      </c>
      <c r="V64" s="137">
        <f ca="1">Model!T150</f>
        <v>-136</v>
      </c>
      <c r="W64" s="136">
        <f ca="1">Model!Y150</f>
        <v>-6</v>
      </c>
      <c r="X64" s="136">
        <f ca="1">Model!AD150</f>
        <v>-6</v>
      </c>
      <c r="Y64" s="136">
        <f ca="1">Model!AE150</f>
        <v>-6</v>
      </c>
      <c r="Z64" s="136">
        <f ca="1">Model!AF150</f>
        <v>-6</v>
      </c>
      <c r="AA64" s="136">
        <f ca="1">Model!AG150</f>
        <v>-6</v>
      </c>
      <c r="AB64" s="16"/>
      <c r="AC64" s="16"/>
      <c r="AD64" s="16"/>
      <c r="AE64" s="16"/>
    </row>
    <row r="65" ht="13.5" customHeight="1" spans="1:31" x14ac:dyDescent="0.25">
      <c r="A65" s="17"/>
      <c r="B65" s="16"/>
      <c r="C65" s="139" t="str">
        <f ca="1">Model!C151</f>
        <v>Total Shareholder's Equity</v>
      </c>
      <c r="D65" s="16"/>
      <c r="E65" s="16"/>
      <c r="F65" s="16"/>
      <c r="G65" s="140">
        <f t="shared" ref="G65:R65" si="32" ca="1">SUM(G61:G64)</f>
        <v>1716</v>
      </c>
      <c r="H65" s="140">
        <f ca="1">SUM(H61:H64)</f>
        <v>4356</v>
      </c>
      <c r="I65" s="140">
        <f ca="1">SUM(I61:I64)</f>
        <v>4073</v>
      </c>
      <c r="J65" s="141">
        <f ca="1">SUM(J61:J64)</f>
        <v>1437</v>
      </c>
      <c r="K65" s="140">
        <f ca="1">SUM(K61:K64)</f>
        <v>445</v>
      </c>
      <c r="L65" s="140">
        <f ca="1">SUM(L61:L64)</f>
        <v>-175</v>
      </c>
      <c r="M65" s="140">
        <f ca="1">SUM(M61:M64)</f>
        <v>-1576</v>
      </c>
      <c r="N65" s="142">
        <f ca="1">SUM(N61:N64)</f>
        <v>-6847.676413</v>
      </c>
      <c r="O65" s="140">
        <f ca="1">SUM(O61:O64)</f>
        <v>-12298.593491681366</v>
      </c>
      <c r="P65" s="140">
        <f ca="1">SUM(P61:P64)</f>
        <v>-13030.403694201657</v>
      </c>
      <c r="Q65" s="140">
        <f ca="1">SUM(Q61:Q64)</f>
        <v>-16519.58894201056</v>
      </c>
      <c r="R65" s="140">
        <f ca="1">SUM(R61:R64)</f>
        <v>-22357.590304749443</v>
      </c>
      <c r="S65" s="16"/>
      <c r="T65" s="140">
        <f t="shared" ref="T65:AA65" si="33" ca="1">SUM(T61:T64)</f>
        <v>3644</v>
      </c>
      <c r="U65" s="140">
        <f ca="1">SUM(U61:U64)</f>
        <v>1972</v>
      </c>
      <c r="V65" s="141">
        <f ca="1">SUM(V61:V64)</f>
        <v>1437</v>
      </c>
      <c r="W65" s="140">
        <f ca="1">SUM(W61:W64)</f>
        <v>-6847.676413</v>
      </c>
      <c r="X65" s="140">
        <f ca="1">SUM(X61:X64)</f>
        <v>-22357.590304749443</v>
      </c>
      <c r="Y65" s="140">
        <f ca="1">SUM(Y61:Y64)</f>
        <v>-38912.447572916324</v>
      </c>
      <c r="Z65" s="140">
        <f ca="1">SUM(Z61:Z64)</f>
        <v>-56113.967027374565</v>
      </c>
      <c r="AA65" s="140">
        <f ca="1">SUM(AA61:AA64)</f>
        <v>-73871.10104758733</v>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 ca="1">Model!C153</f>
        <v>Noncontrolling Interests</v>
      </c>
      <c r="D67" s="16"/>
      <c r="E67" s="16"/>
      <c r="F67" s="16"/>
      <c r="G67" s="136">
        <f ca="1">Model!P153</f>
        <v>1e-12</v>
      </c>
      <c r="H67" s="136">
        <f ca="1">Model!Q153</f>
        <v>1e-12</v>
      </c>
      <c r="I67" s="136">
        <f ca="1">Model!R153</f>
        <v>1e-12</v>
      </c>
      <c r="J67" s="137">
        <f ca="1">Model!S153</f>
        <v>1e-12</v>
      </c>
      <c r="K67" s="136">
        <f ca="1">Model!U153</f>
        <v>1e-12</v>
      </c>
      <c r="L67" s="136">
        <f ca="1">Model!V153</f>
        <v>1e-12</v>
      </c>
      <c r="M67" s="136">
        <f ca="1">Model!W153</f>
        <v>1e-12</v>
      </c>
      <c r="N67" s="138">
        <f ca="1">Model!X153</f>
        <v>1e-12</v>
      </c>
      <c r="O67" s="136">
        <f ca="1">Model!Z153</f>
        <v>1e-12</v>
      </c>
      <c r="P67" s="136">
        <f ca="1">Model!AA153</f>
        <v>1e-12</v>
      </c>
      <c r="Q67" s="136">
        <f ca="1">Model!AB153</f>
        <v>1e-12</v>
      </c>
      <c r="R67" s="136">
        <f ca="1">Model!AC153</f>
        <v>1e-12</v>
      </c>
      <c r="S67" s="16"/>
      <c r="T67" s="136">
        <f ca="1">Model!J153</f>
        <v>1e-12</v>
      </c>
      <c r="U67" s="136">
        <f ca="1">Model!O153</f>
        <v>1e-12</v>
      </c>
      <c r="V67" s="137">
        <f ca="1">Model!T153</f>
        <v>1e-12</v>
      </c>
      <c r="W67" s="136">
        <f ca="1">Model!Y153</f>
        <v>1e-12</v>
      </c>
      <c r="X67" s="136">
        <f ca="1">Model!AD153</f>
        <v>1e-12</v>
      </c>
      <c r="Y67" s="136">
        <f ca="1">Model!AE153</f>
        <v>1e-12</v>
      </c>
      <c r="Z67" s="136">
        <f ca="1">Model!AF153</f>
        <v>1e-12</v>
      </c>
      <c r="AA67" s="136">
        <f ca="1">Model!AG153</f>
        <v>1e-12</v>
      </c>
      <c r="AB67" s="16"/>
      <c r="AC67" s="16"/>
      <c r="AD67" s="16"/>
      <c r="AE67" s="16"/>
    </row>
    <row r="68" ht="13.5" customHeight="1" spans="1:31" x14ac:dyDescent="0.25">
      <c r="A68" s="17"/>
      <c r="B68" s="16"/>
      <c r="C68" s="139" t="str">
        <f ca="1">Model!C154</f>
        <v>Total Equity</v>
      </c>
      <c r="D68" s="16"/>
      <c r="E68" s="16"/>
      <c r="F68" s="16"/>
      <c r="G68" s="140">
        <f t="shared" ref="G68:R68" si="34" ca="1">SUM(G65,G67)</f>
        <v>1716</v>
      </c>
      <c r="H68" s="140">
        <f ca="1">SUM(H65,H67)</f>
        <v>4356</v>
      </c>
      <c r="I68" s="140">
        <f ca="1">SUM(I65,I67)</f>
        <v>4073</v>
      </c>
      <c r="J68" s="141">
        <f ca="1">SUM(J65,J67)</f>
        <v>1437</v>
      </c>
      <c r="K68" s="140">
        <f ca="1">SUM(K65,K67)</f>
        <v>445</v>
      </c>
      <c r="L68" s="140">
        <f ca="1">SUM(L65,L67)</f>
        <v>-175</v>
      </c>
      <c r="M68" s="140">
        <f ca="1">SUM(M65,M67)</f>
        <v>-1576</v>
      </c>
      <c r="N68" s="142">
        <f ca="1">SUM(N65,N67)</f>
        <v>-6847.676413</v>
      </c>
      <c r="O68" s="140">
        <f ca="1">SUM(O65,O67)</f>
        <v>-12298.593491681366</v>
      </c>
      <c r="P68" s="140">
        <f ca="1">SUM(P65,P67)</f>
        <v>-13030.403694201657</v>
      </c>
      <c r="Q68" s="140">
        <f ca="1">SUM(Q65,Q67)</f>
        <v>-16519.58894201056</v>
      </c>
      <c r="R68" s="140">
        <f ca="1">SUM(R65,R67)</f>
        <v>-22357.590304749443</v>
      </c>
      <c r="S68" s="16"/>
      <c r="T68" s="140">
        <f t="shared" ref="T68:AA68" si="35" ca="1">SUM(T65,T67)</f>
        <v>3644</v>
      </c>
      <c r="U68" s="140">
        <f ca="1">SUM(U65,U67)</f>
        <v>1972</v>
      </c>
      <c r="V68" s="141">
        <f ca="1">SUM(V65,V67)</f>
        <v>1437</v>
      </c>
      <c r="W68" s="140">
        <f ca="1">SUM(W65,W67)</f>
        <v>-6847.676413</v>
      </c>
      <c r="X68" s="140">
        <f ca="1">SUM(X65,X67)</f>
        <v>-22357.590304749443</v>
      </c>
      <c r="Y68" s="140">
        <f ca="1">SUM(Y65,Y67)</f>
        <v>-38912.447572916324</v>
      </c>
      <c r="Z68" s="140">
        <f ca="1">SUM(Z65,Z67)</f>
        <v>-56113.967027374565</v>
      </c>
      <c r="AA68" s="140">
        <f ca="1">SUM(AA65,AA67)</f>
        <v>-73871.10104758733</v>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 ca="1">Model!C156</f>
        <v>Total Liabilities &amp; Shareholder's Equity</v>
      </c>
      <c r="D70" s="16"/>
      <c r="E70" s="16"/>
      <c r="F70" s="16"/>
      <c r="G70" s="146">
        <f t="shared" ref="G70:R70" si="36" ca="1">SUM(G59,G68)</f>
        <v>45832</v>
      </c>
      <c r="H70" s="146">
        <f ca="1">SUM(H59,H68)</f>
        <v>51763</v>
      </c>
      <c r="I70" s="146">
        <f ca="1">SUM(I59,I68)</f>
        <v>50880</v>
      </c>
      <c r="J70" s="147">
        <f ca="1">SUM(J59,J68)</f>
        <v>46735</v>
      </c>
      <c r="K70" s="146">
        <f ca="1">SUM(K59,K68)</f>
        <v>51200</v>
      </c>
      <c r="L70" s="146">
        <f ca="1">SUM(L59,L68)</f>
        <v>49404</v>
      </c>
      <c r="M70" s="146">
        <f ca="1">SUM(M59,M68)</f>
        <v>49400</v>
      </c>
      <c r="N70" s="148">
        <f ca="1">SUM(N59,N68)</f>
        <v>14894.131969608694</v>
      </c>
      <c r="O70" s="146">
        <f ca="1">SUM(O59,O68)</f>
        <v>12609.725355980174</v>
      </c>
      <c r="P70" s="146">
        <f ca="1">SUM(P59,P68)</f>
        <v>12448.221230478499</v>
      </c>
      <c r="Q70" s="146">
        <f ca="1">SUM(Q59,Q68)</f>
        <v>9020.620324740885</v>
      </c>
      <c r="R70" s="146">
        <f ca="1">SUM(R59,R68)</f>
        <v>1952.4486507945694</v>
      </c>
      <c r="S70" s="149"/>
      <c r="T70" s="146">
        <f t="shared" ref="T70:AA70" si="37" ca="1">SUM(T59,T68)</f>
        <v>34508</v>
      </c>
      <c r="U70" s="146">
        <f ca="1">SUM(U59,U68)</f>
        <v>39471</v>
      </c>
      <c r="V70" s="147">
        <f ca="1">SUM(V59,V68)</f>
        <v>46735</v>
      </c>
      <c r="W70" s="146">
        <f ca="1">SUM(W59,W68)</f>
        <v>14894.131969608694</v>
      </c>
      <c r="X70" s="146">
        <f ca="1">SUM(X59,X68)</f>
        <v>1952.4486507945694</v>
      </c>
      <c r="Y70" s="146">
        <f ca="1">SUM(Y59,Y68)</f>
        <v>-12947.187912435846</v>
      </c>
      <c r="Z70" s="146">
        <f ca="1">SUM(Z59,Z68)</f>
        <v>-29660.16241160979</v>
      </c>
      <c r="AA70" s="146">
        <f ca="1">SUM(AA59,AA68)</f>
        <v>-46950.97122487489</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 ca="1">G$5</f>
        <v>Quarterly</v>
      </c>
      <c r="H72" s="112"/>
      <c r="I72" s="112"/>
      <c r="J72" s="112"/>
      <c r="K72" s="112"/>
      <c r="L72" s="112"/>
      <c r="M72" s="112"/>
      <c r="N72" s="112"/>
      <c r="O72" s="112"/>
      <c r="P72" s="112"/>
      <c r="Q72" s="112"/>
      <c r="R72" s="112"/>
      <c r="S72" s="112"/>
      <c r="T72" s="113" t="str">
        <f ca="1">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 ca="1">G$6</f>
        <v>1Q25</v>
      </c>
      <c r="H73" s="111" t="str">
        <f ca="1">H$6</f>
        <v>2Q25</v>
      </c>
      <c r="I73" s="111" t="str">
        <f ca="1">I$6</f>
        <v>3Q25</v>
      </c>
      <c r="J73" s="111" t="str">
        <f ca="1">J$6</f>
        <v>4Q25</v>
      </c>
      <c r="K73" s="111" t="str">
        <f ca="1">K$6</f>
        <v>1Q26</v>
      </c>
      <c r="L73" s="111" t="str">
        <f ca="1">L$6</f>
        <v>2Q26</v>
      </c>
      <c r="M73" s="111" t="str">
        <f ca="1">M$6</f>
        <v>3Q26e</v>
      </c>
      <c r="N73" s="111" t="str">
        <f ca="1">N$6</f>
        <v>4Q26e</v>
      </c>
      <c r="O73" s="111" t="str">
        <f ca="1">O$6</f>
        <v>1Q27e</v>
      </c>
      <c r="P73" s="111" t="str">
        <f ca="1">P$6</f>
        <v>2Q27e</v>
      </c>
      <c r="Q73" s="111" t="str">
        <f ca="1">Q$6</f>
        <v>3Q27e</v>
      </c>
      <c r="R73" s="111" t="str">
        <f ca="1">R$6</f>
        <v>4Q27e</v>
      </c>
      <c r="S73" s="111"/>
      <c r="T73" s="111">
        <f t="shared" ref="T73:AA73" si="39" ca="1">T$6</f>
        <v>2023</v>
      </c>
      <c r="U73" s="111">
        <f ca="1">U$6</f>
        <v>2024</v>
      </c>
      <c r="V73" s="111">
        <f ca="1">V$6</f>
        <v>2025</v>
      </c>
      <c r="W73" s="111" t="str">
        <f ca="1">W$6</f>
        <v>2026e</v>
      </c>
      <c r="X73" s="111" t="str">
        <f ca="1">X$6</f>
        <v>2027e</v>
      </c>
      <c r="Y73" s="111" t="str">
        <f ca="1">Y$6</f>
        <v>2028e</v>
      </c>
      <c r="Z73" s="111" t="str">
        <f ca="1">Z$6</f>
        <v>2029e</v>
      </c>
      <c r="AA73" s="111" t="str">
        <f ca="1">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 ca="1">G12</f>
        <v>0.3310292249047014</v>
      </c>
      <c r="H76" s="153">
        <f ca="1">H12</f>
        <v>0.3407808951725148</v>
      </c>
      <c r="I76" s="153">
        <f ca="1">I12</f>
        <v>0.3272221973194675</v>
      </c>
      <c r="J76" s="154">
        <f ca="1">J12</f>
        <v>0.31834966274432575</v>
      </c>
      <c r="K76" s="153">
        <f ca="1">K12</f>
        <v>0.3328965686675948</v>
      </c>
      <c r="L76" s="153">
        <f ca="1">L12</f>
        <v>0.33775843307943415</v>
      </c>
      <c r="M76" s="153">
        <f ca="1">M12</f>
        <v>0.33104982982808273</v>
      </c>
      <c r="N76" s="155">
        <f ca="1">N12</f>
        <v>0.12999999999999998</v>
      </c>
      <c r="O76" s="153">
        <f ca="1">O12</f>
        <v>0.13999999999999996</v>
      </c>
      <c r="P76" s="153">
        <f ca="1">P12</f>
        <v>0.145</v>
      </c>
      <c r="Q76" s="153">
        <f ca="1">Q12</f>
        <v>0.11999999999999998</v>
      </c>
      <c r="R76" s="153">
        <f ca="1">R12</f>
        <v>0.13499999999999993</v>
      </c>
      <c r="S76" s="16"/>
      <c r="T76" s="153">
        <f t="shared" ref="T76:AA76" si="41" ca="1">T12</f>
        <v>0.3212497721185264</v>
      </c>
      <c r="U76" s="153">
        <f ca="1">U12</f>
        <v>0.3179991129345235</v>
      </c>
      <c r="V76" s="154">
        <f ca="1">V12</f>
        <v>0.3301784657968459</v>
      </c>
      <c r="W76" s="153">
        <f ca="1">W12</f>
        <v>0.28815440500361494</v>
      </c>
      <c r="X76" s="153">
        <f ca="1">X12</f>
        <v>0.13533005878561802</v>
      </c>
      <c r="Y76" s="153">
        <f ca="1">Y12</f>
        <v>0.13899999999999996</v>
      </c>
      <c r="Z76" s="153">
        <f ca="1">Z12</f>
        <v>0.13999999999999996</v>
      </c>
      <c r="AA76" s="153">
        <f ca="1">AA12</f>
        <v>0.14200000000000007</v>
      </c>
      <c r="AB76" s="16"/>
      <c r="AC76" s="16"/>
      <c r="AD76" s="16"/>
      <c r="AE76" s="16"/>
    </row>
    <row r="77" ht="13.5" customHeight="1" spans="1:31" x14ac:dyDescent="0.25">
      <c r="A77" s="17"/>
      <c r="B77" s="16"/>
      <c r="C77" s="139" t="s">
        <v>113</v>
      </c>
      <c r="D77" s="16"/>
      <c r="E77" s="16"/>
      <c r="F77" s="16"/>
      <c r="G77" s="153">
        <f t="shared" ref="G77:R77" si="42" ca="1">G28</f>
        <v>0.11814790343074968</v>
      </c>
      <c r="H77" s="153">
        <f ca="1">H28</f>
        <v>0.15718738553952094</v>
      </c>
      <c r="I77" s="153">
        <f ca="1">I28</f>
        <v>0.14957102514680176</v>
      </c>
      <c r="J77" s="154">
        <f ca="1">J28</f>
        <v>0.1555314854019989</v>
      </c>
      <c r="K77" s="153">
        <f ca="1">K28</f>
        <v>0.14888215543362543</v>
      </c>
      <c r="L77" s="153">
        <f ca="1">L28</f>
        <v>0.16753717809212912</v>
      </c>
      <c r="M77" s="153">
        <f ca="1">M28</f>
        <v>0.13993367658608954</v>
      </c>
      <c r="N77" s="155">
        <f ca="1">N28</f>
        <v>-0.09000000000000002</v>
      </c>
      <c r="O77" s="153">
        <f ca="1">O28</f>
        <v>-0.08500000000000006</v>
      </c>
      <c r="P77" s="153">
        <f ca="1">P28</f>
        <v>-0.08</v>
      </c>
      <c r="Q77" s="153">
        <f ca="1">Q28</f>
        <v>-0.10000000000000002</v>
      </c>
      <c r="R77" s="153">
        <f ca="1">R28</f>
        <v>-0.08500000000000008</v>
      </c>
      <c r="S77" s="16"/>
      <c r="T77" s="153">
        <f t="shared" ref="T77:AA77" si="43" ca="1">T28</f>
        <v>0.10295460601046151</v>
      </c>
      <c r="U77" s="153">
        <f ca="1">U28</f>
        <v>0.10761906081942674</v>
      </c>
      <c r="V77" s="154">
        <f ca="1">V28</f>
        <v>0.14634273468977757</v>
      </c>
      <c r="W77" s="153">
        <f ca="1">W28</f>
        <v>-2.056461923334251</v>
      </c>
      <c r="X77" s="153">
        <f ca="1">X28</f>
        <v>-0.08728209284612236</v>
      </c>
      <c r="Y77" s="153">
        <f ca="1">Y28</f>
        <v>-0.07600000000000003</v>
      </c>
      <c r="Z77" s="153">
        <f ca="1">Z28</f>
        <v>-0.07100000000000006</v>
      </c>
      <c r="AA77" s="153">
        <f ca="1">AA28</f>
        <v>-0.06399999999999993</v>
      </c>
      <c r="AB77" s="16"/>
      <c r="AC77" s="16"/>
      <c r="AD77" s="16"/>
      <c r="AE77" s="16"/>
    </row>
    <row r="78" ht="13.5" customHeight="1" spans="1:31" x14ac:dyDescent="0.25">
      <c r="A78" s="17"/>
      <c r="B78" s="16"/>
      <c r="C78" s="139" t="s">
        <v>114</v>
      </c>
      <c r="D78" s="16"/>
      <c r="E78" s="16"/>
      <c r="F78" s="16"/>
      <c r="G78" s="153">
        <f t="shared" ref="G78:R78" si="44" ca="1">G16</f>
        <v>0.10119440914866581</v>
      </c>
      <c r="H78" s="153">
        <f ca="1">H16</f>
        <v>0.14493443703757966</v>
      </c>
      <c r="I78" s="153">
        <f ca="1">I16</f>
        <v>0.09749428481778655</v>
      </c>
      <c r="J78" s="154">
        <f ca="1">J16</f>
        <v>0.13633006745113485</v>
      </c>
      <c r="K78" s="153">
        <f ca="1">K16</f>
        <v>0.132872000655147</v>
      </c>
      <c r="L78" s="153">
        <f ca="1">L16</f>
        <v>0.15270221254987304</v>
      </c>
      <c r="M78" s="153">
        <f ca="1">M16</f>
        <v>0.1216947377607121</v>
      </c>
      <c r="N78" s="155">
        <f ca="1">N16</f>
        <v>-0.10521155515545128</v>
      </c>
      <c r="O78" s="153">
        <f ca="1">O16</f>
        <v>-0.09791767198324655</v>
      </c>
      <c r="P78" s="153">
        <f ca="1">P16</f>
        <v>-0.09150141466977164</v>
      </c>
      <c r="Q78" s="153">
        <f ca="1">Q16</f>
        <v>-0.11327856808301211</v>
      </c>
      <c r="R78" s="153">
        <f ca="1">R16</f>
        <v>-0.09904599278058888</v>
      </c>
      <c r="S78" s="16"/>
      <c r="T78" s="153">
        <f t="shared" ref="T78:AA78" si="45" ca="1">T16</f>
        <v>0.05634632374595072</v>
      </c>
      <c r="U78" s="153">
        <f ca="1">U16</f>
        <v>0.08751455341797416</v>
      </c>
      <c r="V78" s="154">
        <f ca="1">V16</f>
        <v>0.12156657030927374</v>
      </c>
      <c r="W78" s="153">
        <f ca="1">W16</f>
        <v>0.08226262669098001</v>
      </c>
      <c r="X78" s="153">
        <f ca="1">X16</f>
        <v>-0.10015651845772622</v>
      </c>
      <c r="Y78" s="153">
        <f ca="1">Y16</f>
        <v>-0.08923024548635708</v>
      </c>
      <c r="Z78" s="153">
        <f ca="1">Z16</f>
        <v>-0.08444869393268568</v>
      </c>
      <c r="AA78" s="153">
        <f ca="1">AA16</f>
        <v>-0.07764743918581588</v>
      </c>
      <c r="AB78" s="16"/>
      <c r="AC78" s="16"/>
      <c r="AD78" s="16"/>
      <c r="AE78" s="16"/>
    </row>
    <row r="79" ht="13.5" customHeight="1" spans="1:31" x14ac:dyDescent="0.25">
      <c r="A79" s="17"/>
      <c r="B79" s="16"/>
      <c r="C79" s="139" t="s">
        <v>115</v>
      </c>
      <c r="D79" s="16"/>
      <c r="E79" s="16"/>
      <c r="F79" s="16"/>
      <c r="G79" s="153">
        <f t="shared" ref="G79:R79" si="46" ca="1">G20</f>
        <v>0.06795425667090216</v>
      </c>
      <c r="H79" s="153">
        <f ca="1">H20</f>
        <v>0.10358215515346861</v>
      </c>
      <c r="I79" s="153">
        <f ca="1">I20</f>
        <v>0.03101887130754404</v>
      </c>
      <c r="J79" s="154">
        <f ca="1">J20</f>
        <v>0.04815124809216681</v>
      </c>
      <c r="K79" s="153">
        <f ca="1">K20</f>
        <v>0.09503726148554582</v>
      </c>
      <c r="L79" s="153">
        <f ca="1">L20</f>
        <v>0.10946681175190424</v>
      </c>
      <c r="M79" s="153">
        <f ca="1">M20</f>
        <v>0.08272973208831486</v>
      </c>
      <c r="N79" s="155">
        <f ca="1">N20</f>
        <v>-0.08756970678069641</v>
      </c>
      <c r="O79" s="153">
        <f ca="1">O20</f>
        <v>-0.08127923159477274</v>
      </c>
      <c r="P79" s="153">
        <f ca="1">P20</f>
        <v>-0.07592297020698005</v>
      </c>
      <c r="Q79" s="153">
        <f ca="1">Q20</f>
        <v>-0.09321522428508598</v>
      </c>
      <c r="R79" s="153">
        <f ca="1">R20</f>
        <v>-0.08339244272709505</v>
      </c>
      <c r="S79" s="16"/>
      <c r="T79" s="153">
        <f t="shared" ref="T79:AA79" si="47" ca="1">T20</f>
        <v>0.03245032183875808</v>
      </c>
      <c r="U79" s="153">
        <f ca="1">U20</f>
        <v>0.059336364140378114</v>
      </c>
      <c r="V79" s="154">
        <f ca="1">V20</f>
        <v>0.06512494837996807</v>
      </c>
      <c r="W79" s="153">
        <f ca="1">W20</f>
        <v>-1.6084228142922035</v>
      </c>
      <c r="X79" s="153">
        <f ca="1">X20</f>
        <v>-0.08320344126568731</v>
      </c>
      <c r="Y79" s="153">
        <f ca="1">Y20</f>
        <v>-0.07737718241134596</v>
      </c>
      <c r="Z79" s="153">
        <f ca="1">Z20</f>
        <v>-0.07678721812651389</v>
      </c>
      <c r="AA79" s="153">
        <f ca="1">AA20</f>
        <v>-0.07488361371897487</v>
      </c>
      <c r="AB79" s="16"/>
      <c r="AC79" s="16"/>
      <c r="AD79" s="16"/>
      <c r="AE79" s="16"/>
    </row>
    <row r="80" ht="13.5" customHeight="1" spans="1:31" x14ac:dyDescent="0.25">
      <c r="A80" s="17"/>
      <c r="B80" s="16"/>
      <c r="C80" s="139" t="s">
        <v>116</v>
      </c>
      <c r="D80" s="16"/>
      <c r="E80" s="16"/>
      <c r="F80" s="16"/>
      <c r="G80" s="153">
        <f t="shared" ref="G80:R80" si="48" ca="1">G19/G46</f>
        <v>0.029171757723861057</v>
      </c>
      <c r="H80" s="153">
        <f ca="1">H19/H46</f>
        <v>0.054633618607885945</v>
      </c>
      <c r="I80" s="153">
        <f ca="1">I19/I46</f>
        <v>0.01360062893081761</v>
      </c>
      <c r="J80" s="154">
        <f ca="1">J19/J46</f>
        <v>0.020926500481437894</v>
      </c>
      <c r="K80" s="153">
        <f ca="1">K19/K46</f>
        <v>0.04533203125</v>
      </c>
      <c r="L80" s="153">
        <f ca="1">L19/L46</f>
        <v>0.06108817099829973</v>
      </c>
      <c r="M80" s="153">
        <f ca="1">M19/M46</f>
        <v>0.038380566801619435</v>
      </c>
      <c r="N80" s="155">
        <f ca="1">N19/N46</f>
        <v>-0.03989095189654417</v>
      </c>
      <c r="O80" s="153">
        <f ca="1">O19/O46</f>
        <v>-0.04173526720836768</v>
      </c>
      <c r="P80" s="153">
        <f ca="1">P19/P46</f>
        <v>-0.0430972617064119</v>
      </c>
      <c r="Q80" s="153">
        <f ca="1">Q19/Q46</f>
        <v>-0.04798186631493338</v>
      </c>
      <c r="R80" s="153">
        <f ca="1">R19/R46</f>
        <v>-0.04215796898058625</v>
      </c>
      <c r="S80" s="16"/>
      <c r="T80" s="153">
        <f t="shared" ref="T80:AA80" si="49" ca="1">T19/T46</f>
        <v>0.06705691433870407</v>
      </c>
      <c r="U80" s="153">
        <f ca="1">U19/U46</f>
        <v>0.10845937523751616</v>
      </c>
      <c r="V80" s="154">
        <f ca="1">V19/V46</f>
        <v>0.12485289397667701</v>
      </c>
      <c r="W80" s="153">
        <f ca="1">W19/W46</f>
        <v>-1.5039442408054435</v>
      </c>
      <c r="X80" s="153">
        <f ca="1">X19/X46</f>
        <v>-0.1807875581615377</v>
      </c>
      <c r="Y80" s="153">
        <f ca="1">Y19/Y46</f>
        <v>-0.16593148824283105</v>
      </c>
      <c r="Z80" s="153">
        <f ca="1">Z19/Z46</f>
        <v>-0.16375841279182887</v>
      </c>
      <c r="AA80" s="153">
        <f ca="1">AA19/AA46</f>
        <v>-0.15864943248822763</v>
      </c>
      <c r="AB80" s="16"/>
      <c r="AC80" s="16"/>
      <c r="AD80" s="16"/>
      <c r="AE80" s="16"/>
    </row>
    <row r="81" ht="13.5" customHeight="1" spans="1:31" x14ac:dyDescent="0.25">
      <c r="A81" s="17"/>
      <c r="B81" s="16"/>
      <c r="C81" s="139" t="s">
        <v>117</v>
      </c>
      <c r="D81" s="16"/>
      <c r="E81" s="16"/>
      <c r="F81" s="16"/>
      <c r="G81" s="153">
        <f t="shared" ref="G81:R81" si="50" ca="1">G19*4/G68</f>
        <v>3.1165501165501164</v>
      </c>
      <c r="H81" s="153">
        <f ca="1">H19*4/H68</f>
        <v>2.596877869605142</v>
      </c>
      <c r="I81" s="153">
        <f ca="1">I19*4/I68</f>
        <v>0.6795973483918487</v>
      </c>
      <c r="J81" s="154">
        <f ca="1">J19*4/J68</f>
        <v>2.722338204592902</v>
      </c>
      <c r="K81" s="153">
        <f ca="1">K19*4/K68</f>
        <v>20.862921348314607</v>
      </c>
      <c r="L81" s="153">
        <f ca="1">L19*4/L68</f>
        <v>-68.98285714285714</v>
      </c>
      <c r="M81" s="153">
        <f ca="1">M19*4/M68</f>
        <v>-4.812182741116751</v>
      </c>
      <c r="N81" s="155">
        <f ca="1">N19*4/N68</f>
        <v>1.1137070725949914</v>
      </c>
      <c r="O81" s="153">
        <f ca="1">O19*4/O68</f>
        <v>0.6791511826433724</v>
      </c>
      <c r="P81" s="153">
        <f ca="1">P19*4/P68</f>
        <v>0.6825940361340508</v>
      </c>
      <c r="Q81" s="153">
        <f ca="1">Q19*4/Q68</f>
        <v>0.5817246337163414</v>
      </c>
      <c r="R81" s="153">
        <f ca="1">R19*4/R68</f>
        <v>0.36530460720807323</v>
      </c>
      <c r="S81" s="16"/>
      <c r="T81" s="153">
        <f t="shared" ref="T81:AA81" si="51" ca="1">T19/T68</f>
        <v>0.6350164654226125</v>
      </c>
      <c r="U81" s="153">
        <f ca="1">U19/U68</f>
        <v>2.170892494929006</v>
      </c>
      <c r="V81" s="154">
        <f ca="1">V19/V68</f>
        <v>4.060542797494781</v>
      </c>
      <c r="W81" s="153">
        <f ca="1">W19/W68</f>
        <v>10.497075515504504</v>
      </c>
      <c r="X81" s="153">
        <f ca="1">X19/X68</f>
        <v>0.39163727237856155</v>
      </c>
      <c r="Y81" s="153">
        <f ca="1">Y19/Y68</f>
        <v>0.21344808189220776</v>
      </c>
      <c r="Z81" s="153">
        <f ca="1">Z19/Z68</f>
        <v>0.14982560044133197</v>
      </c>
      <c r="AA81" s="153">
        <f ca="1">AA19/AA68</f>
        <v>0.11320887098135969</v>
      </c>
      <c r="AB81" s="16"/>
      <c r="AC81" s="16"/>
      <c r="AD81" s="16"/>
      <c r="AE81" s="16"/>
    </row>
    <row r="82" ht="13.5" customHeight="1" spans="1:31" x14ac:dyDescent="0.25">
      <c r="A82" s="17"/>
      <c r="B82" s="16"/>
      <c r="C82" s="139" t="s">
        <v>118</v>
      </c>
      <c r="D82" s="16"/>
      <c r="E82" s="16"/>
      <c r="F82" s="16"/>
      <c r="G82" s="153">
        <f t="shared" ref="G82:S82" si="52" ca="1">G19*4/(G53+G54+G68)</f>
        <v>0.2374777975133215</v>
      </c>
      <c r="H82" s="153">
        <f ca="1">H19*4/(H53+H54+H68)</f>
        <v>0.4495668070900564</v>
      </c>
      <c r="I82" s="153">
        <f ca="1">I19*4/(I53+I54+I68)</f>
        <v>0.10700893029728999</v>
      </c>
      <c r="J82" s="154">
        <f ca="1">J19*4/(J53+J54+J68)</f>
        <v>0.14149305555555555</v>
      </c>
      <c r="K82" s="153">
        <f ca="1">K19*4/(K53+K54+K68)</f>
        <v>0.39191185782430665</v>
      </c>
      <c r="L82" s="153">
        <f ca="1">L19*4/(L53+L54+L68)</f>
        <v>0.5217842323651453</v>
      </c>
      <c r="M82" s="153">
        <f ca="1">M19*4/(M53+M54+M68)</f>
        <v>0.3205816460244325</v>
      </c>
      <c r="N82" s="155">
        <f ca="1">N19*4/(N53+N54+N68)</f>
        <v>-0.4264002054479576</v>
      </c>
      <c r="O82" s="153">
        <f ca="1">O19*4/(O53+O54+O68)</f>
        <v>-0.5617384916972974</v>
      </c>
      <c r="P82" s="153">
        <f ca="1">P19*4/(P53+P54+P68)</f>
        <v>-0.6522122834556858</v>
      </c>
      <c r="Q82" s="153">
        <f ca="1">Q19*4/(Q53+Q54+Q68)</f>
        <v>-0.9960244560070868</v>
      </c>
      <c r="R82" s="153">
        <f ca="1">R19*4/(R53+R54+R68)</f>
        <v>-1.1344745959294449</v>
      </c>
      <c r="S82" s="153">
        <f ca="1">S19*4/(S53+S54+S68)</f>
      </c>
      <c r="T82" s="153">
        <f t="shared" ref="T82:AA82" si="53" ca="1">T19/(T53+T54+T68)</f>
        <v>0.12086706711935231</v>
      </c>
      <c r="U82" s="153">
        <f ca="1">U19/(U53+U54+U68)</f>
        <v>0.22138904690489736</v>
      </c>
      <c r="V82" s="154">
        <f ca="1">V19/(V53+V54+V68)</f>
        <v>0.21104600694444445</v>
      </c>
      <c r="W82" s="153">
        <f ca="1">W19/(W53+W54+W68)</f>
        <v>-4.018969858909716</v>
      </c>
      <c r="X82" s="153">
        <f ca="1">X19/(X53+X54+X68)</f>
        <v>-1.2162522113484022</v>
      </c>
      <c r="Y82" s="153">
        <f ca="1">Y19/(Y53+Y54+Y68)</f>
        <v>7.291106997310037</v>
      </c>
      <c r="Z82" s="153">
        <f ca="1">Z19/(Z53+Z54+Z68)</f>
        <v>0.9607434341022041</v>
      </c>
      <c r="AA82" s="153">
        <f ca="1">AA19/(AA53+AA54+AA68)</f>
        <v>0.5160070055030377</v>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 ca="1">-Model!P39</f>
        <v>205</v>
      </c>
      <c r="H85" s="116">
        <f ca="1">-Model!Q39</f>
        <v>219</v>
      </c>
      <c r="I85" s="116">
        <f ca="1">-Model!R39</f>
        <v>221</v>
      </c>
      <c r="J85" s="117">
        <f ca="1">-Model!S39</f>
        <v>204</v>
      </c>
      <c r="K85" s="116">
        <f ca="1">-Model!U39</f>
        <v>211</v>
      </c>
      <c r="L85" s="116">
        <f ca="1">-Model!V39</f>
        <v>216</v>
      </c>
      <c r="M85" s="116">
        <f ca="1">-Model!W39</f>
        <v>223</v>
      </c>
      <c r="N85" s="118">
        <f ca="1">-Model!X39</f>
        <v>217.976675</v>
      </c>
      <c r="O85" s="116">
        <f ca="1">-Model!Z39</f>
        <v>231.9566602912756</v>
      </c>
      <c r="P85" s="116">
        <f ca="1">-Model!AA39</f>
        <v>245.93664558255122</v>
      </c>
      <c r="Q85" s="116">
        <f ca="1">-Model!AB39</f>
        <v>241.5741455825512</v>
      </c>
      <c r="R85" s="116">
        <f ca="1">-Model!AC39</f>
        <v>261.5179666740102</v>
      </c>
      <c r="S85" s="16"/>
      <c r="T85" s="116">
        <f ca="1">-Model!J39</f>
        <v>624</v>
      </c>
      <c r="U85" s="116">
        <f ca="1">-Model!O39</f>
        <v>691</v>
      </c>
      <c r="V85" s="117">
        <f ca="1">-Model!T39</f>
        <v>849</v>
      </c>
      <c r="W85" s="116">
        <f ca="1">-Model!Y39</f>
        <v>673.976675</v>
      </c>
      <c r="X85" s="116">
        <f ca="1">-Model!AD39</f>
        <v>980.9854181303883</v>
      </c>
      <c r="Y85" s="116">
        <f ca="1">-Model!AE39</f>
        <v>1350.5539439294778</v>
      </c>
      <c r="Z85" s="116">
        <f ca="1">-Model!AF39</f>
        <v>1816.096979169549</v>
      </c>
      <c r="AA85" s="116">
        <f ca="1">-Model!AG39</f>
        <v>2332.2454709531476</v>
      </c>
      <c r="AB85" s="16"/>
      <c r="AC85" s="16"/>
      <c r="AD85" s="16"/>
      <c r="AE85" s="16"/>
    </row>
    <row r="86" ht="13.5" customHeight="1" spans="1:31" x14ac:dyDescent="0.25">
      <c r="A86" s="17"/>
      <c r="B86" s="16"/>
      <c r="C86" s="139" t="s">
        <v>121</v>
      </c>
      <c r="D86" s="16"/>
      <c r="E86" s="16"/>
      <c r="F86" s="16"/>
      <c r="G86" s="136">
        <f ca="1">Model!P193</f>
        <v>328</v>
      </c>
      <c r="H86" s="136">
        <f ca="1">Model!Q193</f>
        <v>382</v>
      </c>
      <c r="I86" s="136">
        <f ca="1">Model!R193</f>
        <v>462</v>
      </c>
      <c r="J86" s="137">
        <f ca="1">Model!S193</f>
        <v>557</v>
      </c>
      <c r="K86" s="136">
        <f ca="1">Model!U193</f>
        <v>461</v>
      </c>
      <c r="L86" s="136">
        <f ca="1">Model!V193</f>
        <v>385</v>
      </c>
      <c r="M86" s="136">
        <f ca="1">Model!W193</f>
        <v>410</v>
      </c>
      <c r="N86" s="138">
        <f ca="1">Model!X193</f>
        <v>370.1257</v>
      </c>
      <c r="O86" s="136">
        <f ca="1">Model!Z193</f>
        <v>616.585872</v>
      </c>
      <c r="P86" s="136">
        <f ca="1">Model!AA193</f>
        <v>644.3322362399999</v>
      </c>
      <c r="Q86" s="136">
        <f ca="1">Model!AB193</f>
        <v>438.14592064320004</v>
      </c>
      <c r="R86" s="136">
        <f ca="1">Model!AC193</f>
        <v>416.23862461104</v>
      </c>
      <c r="S86" s="16"/>
      <c r="T86" s="136">
        <f ca="1">Model!J193</f>
        <v>1174</v>
      </c>
      <c r="U86" s="136">
        <f ca="1">Model!O193</f>
        <v>1484</v>
      </c>
      <c r="V86" s="137">
        <f ca="1">Model!T193</f>
        <v>1729</v>
      </c>
      <c r="W86" s="136">
        <f ca="1">Model!Y193</f>
        <v>1626.1257</v>
      </c>
      <c r="X86" s="136">
        <f ca="1">Model!AD193</f>
        <v>2115.30265349424</v>
      </c>
      <c r="Y86" s="136">
        <f ca="1">Model!AE193</f>
        <v>2146.8311554730876</v>
      </c>
      <c r="Z86" s="136">
        <f ca="1">Model!AF193</f>
        <v>2189.7677785825495</v>
      </c>
      <c r="AA86" s="136">
        <f ca="1">Model!AG193</f>
        <v>2345.2412908619103</v>
      </c>
      <c r="AB86" s="16"/>
      <c r="AC86" s="16"/>
      <c r="AD86" s="16"/>
      <c r="AE86" s="16"/>
    </row>
    <row r="87" ht="13.5" customHeight="1" spans="1:31" x14ac:dyDescent="0.25">
      <c r="A87" s="17"/>
      <c r="B87" s="16"/>
      <c r="C87" s="139" t="s">
        <v>122</v>
      </c>
      <c r="D87" s="16"/>
      <c r="E87" s="16"/>
      <c r="F87" s="16"/>
      <c r="G87" s="156">
        <f t="shared" ref="G87:R87" si="54" ca="1">IF(ISERROR(G15/G85),"N/A",(G15/G85))</f>
        <v>9.71219512195122</v>
      </c>
      <c r="H87" s="156">
        <f ca="1">IF(ISERROR(H15/H85),"N/A",(H15/H85))</f>
        <v>18.068493150684933</v>
      </c>
      <c r="I87" s="156">
        <f ca="1">IF(ISERROR(I15/I85),"N/A",(I15/I85))</f>
        <v>9.841628959276019</v>
      </c>
      <c r="J87" s="157">
        <f ca="1">IF(ISERROR(J15/J85),"N/A",(J15/J85))</f>
        <v>13.573529411764707</v>
      </c>
      <c r="K87" s="156">
        <f ca="1">IF(ISERROR(K15/K85),"N/A",(K15/K85))</f>
        <v>15.37914691943128</v>
      </c>
      <c r="L87" s="156">
        <f ca="1">IF(ISERROR(L15/L85),"N/A",(L15/L85))</f>
        <v>19.49074074074074</v>
      </c>
      <c r="M87" s="156">
        <f ca="1">IF(ISERROR(M15/M85),"N/A",(M15/M85))</f>
        <v>12.506726457399104</v>
      </c>
      <c r="N87" s="158" t="str">
        <f ca="1">IF(ISERROR(N15/N85),"N/A",(N15/N85))</f>
        <v>N/A</v>
      </c>
      <c r="O87" s="156" t="str">
        <f ca="1">IF(ISERROR(O15/O85),"N/A",(O15/O85))</f>
        <v>N/A</v>
      </c>
      <c r="P87" s="156" t="str">
        <f ca="1">IF(ISERROR(P15/P85),"N/A",(P15/P85))</f>
        <v>N/A</v>
      </c>
      <c r="Q87" s="156" t="str">
        <f ca="1">IF(ISERROR(Q15/Q85),"N/A",(Q15/Q85))</f>
        <v>N/A</v>
      </c>
      <c r="R87" s="156" t="str">
        <f ca="1">IF(ISERROR(R15/R85),"N/A",(R15/R85))</f>
        <v>N/A</v>
      </c>
      <c r="S87" s="16"/>
      <c r="T87" s="156">
        <f t="shared" ref="T87:AA87" si="55" ca="1">IF(ISERROR(T15/T85),"N/A",(T15/T85))</f>
        <v>6.439102564102564</v>
      </c>
      <c r="U87" s="156">
        <f ca="1">IF(ISERROR(U15/U85),"N/A",(U15/U85))</f>
        <v>9.137481910274964</v>
      </c>
      <c r="V87" s="157">
        <f ca="1">IF(ISERROR(V15/V85),"N/A",(V15/V85))</f>
        <v>12.829210836277975</v>
      </c>
      <c r="W87" s="156" t="str">
        <f ca="1">IF(ISERROR(W15/W85),"N/A",(W15/W85))</f>
        <v>N/A</v>
      </c>
      <c r="X87" s="156" t="str">
        <f ca="1">IF(ISERROR(X15/X85),"N/A",(X15/X85))</f>
        <v>N/A</v>
      </c>
      <c r="Y87" s="156" t="str">
        <f ca="1">IF(ISERROR(Y15/Y85),"N/A",(Y15/Y85))</f>
        <v>N/A</v>
      </c>
      <c r="Z87" s="156" t="str">
        <f ca="1">IF(ISERROR(Z15/Z85),"N/A",(Z15/Z85))</f>
        <v>N/A</v>
      </c>
      <c r="AA87" s="156" t="str">
        <f ca="1">IF(ISERROR(AA15/AA85),"N/A",(AA15/AA85))</f>
        <v>N/A</v>
      </c>
      <c r="AB87" s="16"/>
      <c r="AC87" s="16"/>
      <c r="AD87" s="16"/>
      <c r="AE87" s="16"/>
    </row>
    <row r="88" ht="13.5" customHeight="1" spans="1:31" x14ac:dyDescent="0.25">
      <c r="A88" s="17"/>
      <c r="B88" s="16"/>
      <c r="C88" s="139" t="s">
        <v>123</v>
      </c>
      <c r="D88" s="16"/>
      <c r="E88" s="16"/>
      <c r="F88" s="16"/>
      <c r="G88" s="156">
        <f t="shared" ref="G88:R88" si="56" ca="1">IF(ISERROR(G27/G85),"N/A",(G27/G85))</f>
        <v>11.339317073170731</v>
      </c>
      <c r="H88" s="156">
        <f ca="1">IF(ISERROR(H27/H85),"N/A",(H27/H85))</f>
        <v>19.596027397260276</v>
      </c>
      <c r="I88" s="156">
        <f ca="1">IF(ISERROR(I27/I85),"N/A",(I27/I85))</f>
        <v>15.098552036199097</v>
      </c>
      <c r="J88" s="157">
        <f ca="1">IF(ISERROR(J27/J85),"N/A",(J27/J85))</f>
        <v>15.485294117647058</v>
      </c>
      <c r="K88" s="156">
        <f ca="1">IF(ISERROR(K27/K85),"N/A",(K27/K85))</f>
        <v>17.232227488151658</v>
      </c>
      <c r="L88" s="156">
        <f ca="1">IF(ISERROR(L27/L85),"N/A",(L27/L85))</f>
        <v>21.38425925925926</v>
      </c>
      <c r="M88" s="156">
        <f ca="1">IF(ISERROR(M27/M85),"N/A",(M27/M85))</f>
        <v>14.38116591928251</v>
      </c>
      <c r="N88" s="158" t="str">
        <f ca="1">IF(ISERROR(N27/N85),"N/A",(N27/N85))</f>
        <v>N/A</v>
      </c>
      <c r="O88" s="156" t="str">
        <f ca="1">IF(ISERROR(O27/O85),"N/A",(O27/O85))</f>
        <v>N/A</v>
      </c>
      <c r="P88" s="156" t="str">
        <f ca="1">IF(ISERROR(P27/P85),"N/A",(P27/P85))</f>
        <v>N/A</v>
      </c>
      <c r="Q88" s="156" t="str">
        <f ca="1">IF(ISERROR(Q27/Q85),"N/A",(Q27/Q85))</f>
        <v>N/A</v>
      </c>
      <c r="R88" s="156" t="str">
        <f ca="1">IF(ISERROR(R27/R85),"N/A",(R27/R85))</f>
        <v>N/A</v>
      </c>
      <c r="S88" s="16"/>
      <c r="T88" s="156">
        <f t="shared" ref="T88:AA88" si="57" ca="1">IF(ISERROR(T27/T85),"N/A",(T27/T85))</f>
        <v>11.76536858974359</v>
      </c>
      <c r="U88" s="156">
        <f ca="1">IF(ISERROR(U27/U85),"N/A",(U27/U85))</f>
        <v>11.236613603473227</v>
      </c>
      <c r="V88" s="157">
        <f ca="1">IF(ISERROR(V27/V85),"N/A",(V27/V85))</f>
        <v>15.44389870435807</v>
      </c>
      <c r="W88" s="156" t="str">
        <f ca="1">IF(ISERROR(W27/W85),"N/A",(W27/W85))</f>
        <v>N/A</v>
      </c>
      <c r="X88" s="156" t="str">
        <f ca="1">IF(ISERROR(X27/X85),"N/A",(X27/X85))</f>
        <v>N/A</v>
      </c>
      <c r="Y88" s="156" t="str">
        <f ca="1">IF(ISERROR(Y27/Y85),"N/A",(Y27/Y85))</f>
        <v>N/A</v>
      </c>
      <c r="Z88" s="156" t="str">
        <f ca="1">IF(ISERROR(Z27/Z85),"N/A",(Z27/Z85))</f>
        <v>N/A</v>
      </c>
      <c r="AA88" s="156" t="str">
        <f ca="1">IF(ISERROR(AA27/AA85),"N/A",(AA27/AA85))</f>
        <v>N/A</v>
      </c>
      <c r="AB88" s="16"/>
      <c r="AC88" s="16"/>
      <c r="AD88" s="16"/>
      <c r="AE88" s="16"/>
    </row>
    <row r="89" ht="13.5" customHeight="1" spans="1:31" x14ac:dyDescent="0.25">
      <c r="A89" s="17"/>
      <c r="B89" s="16"/>
      <c r="C89" s="139" t="s">
        <v>124</v>
      </c>
      <c r="D89" s="16"/>
      <c r="E89" s="16"/>
      <c r="F89" s="16"/>
      <c r="G89" s="156">
        <f t="shared" ref="G89:R89" si="58" ca="1">IF(ISERROR((G27-G86)/G85),"N/A",((G27-G86)/G85))</f>
        <v>9.739317073170731</v>
      </c>
      <c r="H89" s="156">
        <f ca="1">IF(ISERROR((H27-H86)/H85),"N/A",((H27-H86)/H85))</f>
        <v>17.851735159817355</v>
      </c>
      <c r="I89" s="156">
        <f ca="1">IF(ISERROR((I27-I86)/I85),"N/A",((I27-I86)/I85))</f>
        <v>13.008054298642534</v>
      </c>
      <c r="J89" s="157">
        <f ca="1">IF(ISERROR((J27-J86)/J85),"N/A",((J27-J86)/J85))</f>
        <v>12.754901960784315</v>
      </c>
      <c r="K89" s="156">
        <f ca="1">IF(ISERROR((K27-K86)/K85),"N/A",((K27-K86)/K85))</f>
        <v>15.04739336492891</v>
      </c>
      <c r="L89" s="156">
        <f ca="1">IF(ISERROR((L27-L86)/L85),"N/A",((L27-L86)/L85))</f>
        <v>19.60185185185185</v>
      </c>
      <c r="M89" s="156">
        <f ca="1">IF(ISERROR((M27-M86)/M85),"N/A",((M27-M86)/M85))</f>
        <v>12.542600896860986</v>
      </c>
      <c r="N89" s="158" t="str">
        <f ca="1">IF(ISERROR((N27-N86)/N85),"N/A",((N27-N86)/N85))</f>
        <v>N/A</v>
      </c>
      <c r="O89" s="156" t="str">
        <f ca="1">IF(ISERROR((O27-O86)/O85),"N/A",((O27-O86)/O85))</f>
        <v>N/A</v>
      </c>
      <c r="P89" s="156" t="str">
        <f ca="1">IF(ISERROR((P27-P86)/P85),"N/A",((P27-P86)/P85))</f>
        <v>N/A</v>
      </c>
      <c r="Q89" s="156" t="str">
        <f ca="1">IF(ISERROR((Q27-Q86)/Q85),"N/A",((Q27-Q86)/Q85))</f>
        <v>N/A</v>
      </c>
      <c r="R89" s="156" t="str">
        <f ca="1">IF(ISERROR((R27-R86)/R85),"N/A",((R27-R86)/R85))</f>
        <v>N/A</v>
      </c>
      <c r="S89" s="16"/>
      <c r="T89" s="156">
        <f t="shared" ref="T89:AA89" si="59" ca="1">IF(ISERROR((T27-T86)/T85),"N/A",((T27-T86)/T85))</f>
        <v>9.883958333333334</v>
      </c>
      <c r="U89" s="156">
        <f ca="1">IF(ISERROR((U27-U86)/U85),"N/A",((U27-U86)/U85))</f>
        <v>9.089001447178003</v>
      </c>
      <c r="V89" s="157">
        <f ca="1">IF(ISERROR((V27-V86)/V85),"N/A",((V27-V86)/V85))</f>
        <v>13.407385159010602</v>
      </c>
      <c r="W89" s="156" t="str">
        <f ca="1">IF(ISERROR((W27-W86)/W85),"N/A",((W27-W86)/W85))</f>
        <v>N/A</v>
      </c>
      <c r="X89" s="156" t="str">
        <f ca="1">IF(ISERROR((X27-X86)/X85),"N/A",((X27-X86)/X85))</f>
        <v>N/A</v>
      </c>
      <c r="Y89" s="156" t="str">
        <f ca="1">IF(ISERROR((Y27-Y86)/Y85),"N/A",((Y27-Y86)/Y85))</f>
        <v>N/A</v>
      </c>
      <c r="Z89" s="156" t="str">
        <f ca="1">IF(ISERROR((Z27-Z86)/Z85),"N/A",((Z27-Z86)/Z85))</f>
        <v>N/A</v>
      </c>
      <c r="AA89" s="156" t="str">
        <f ca="1">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 ca="1">IF(ISERROR((G53+G54)/G27),"NA",((G53+G54)/G27))</f>
        <v>8.949650686581547</v>
      </c>
      <c r="H92" s="156">
        <f ca="1">IF(ISERROR((H53+H54)/H27),"NA",((H53+H54)/H27))</f>
        <v>4.848154387829049</v>
      </c>
      <c r="I92" s="156">
        <f ca="1">IF(ISERROR((I53+I54)/I27),"NA",((I53+I54)/I27))</f>
        <v>6.531446484335197</v>
      </c>
      <c r="J92" s="157">
        <f ca="1">IF(ISERROR((J53+J54)/J27),"NA",((J53+J54)/J27))</f>
        <v>8.29724596391263</v>
      </c>
      <c r="K92" s="156">
        <f ca="1">IF(ISERROR((K53+K54)/K27),"NA",((K53+K54)/K27))</f>
        <v>6.3927392739273925</v>
      </c>
      <c r="L92" s="156">
        <f ca="1">IF(ISERROR((L53+L54)/L27),"NA",((L53+L54)/L27))</f>
        <v>5.046763368694522</v>
      </c>
      <c r="M92" s="156">
        <f ca="1">IF(ISERROR((M53+M54)/M27),"NA",((M53+M54)/M27))</f>
        <v>7.868101028999065</v>
      </c>
      <c r="N92" s="159" t="str">
        <f ca="1">IF(ISERROR((N53+N54)/N27),"NA",((N53+N54)/N27))</f>
        <v>NA</v>
      </c>
      <c r="O92" s="156" t="str">
        <f ca="1">IF(ISERROR((O53+O54)/O27),"NA",((O53+O54)/O27))</f>
        <v>NA</v>
      </c>
      <c r="P92" s="156" t="str">
        <f ca="1">IF(ISERROR((P53+P54)/P27),"NA",((P53+P54)/P27))</f>
        <v>NA</v>
      </c>
      <c r="Q92" s="156" t="str">
        <f ca="1">IF(ISERROR((Q53+Q54)/Q27),"NA",((Q53+Q54)/Q27))</f>
        <v>NA</v>
      </c>
      <c r="R92" s="156" t="str">
        <f ca="1">IF(ISERROR((R53+R54)/R27),"NA",((R53+R54)/R27))</f>
        <v>NA</v>
      </c>
      <c r="S92" s="156"/>
      <c r="T92" s="156">
        <f t="shared" ref="T92:AA92" si="61" ca="1">IF(ISERROR((T53+T54)/T27),"NA",((T53+T54)/T27))</f>
        <v>2.111395487898398</v>
      </c>
      <c r="U92" s="156">
        <f ca="1">IF(ISERROR((U53+U54)/U27),"NA",((U53+U54)/U27))</f>
        <v>2.236460815248889</v>
      </c>
      <c r="V92" s="157">
        <f ca="1">IF(ISERROR((V53+V54)/V27),"NA",((V53+V54)/V27))</f>
        <v>1.9990283613245097</v>
      </c>
      <c r="W92" s="156" t="str">
        <f ca="1">IF(ISERROR((W53+W54)/W27),"NA",((W53+W54)/W27))</f>
        <v>NA</v>
      </c>
      <c r="X92" s="156" t="str">
        <f ca="1">IF(ISERROR((X53+X54)/X27),"NA",((X53+X54)/X27))</f>
        <v>NA</v>
      </c>
      <c r="Y92" s="156" t="str">
        <f ca="1">IF(ISERROR((Y53+Y54)/Y27),"NA",((Y53+Y54)/Y27))</f>
        <v>NA</v>
      </c>
      <c r="Z92" s="156" t="str">
        <f ca="1">IF(ISERROR((Z53+Z54)/Z27),"NA",((Z53+Z54)/Z27))</f>
        <v>NA</v>
      </c>
      <c r="AA92" s="156" t="str">
        <f ca="1">IF(ISERROR((AA53+AA54)/AA27),"NA",((AA53+AA54)/AA27))</f>
        <v>NA</v>
      </c>
      <c r="AB92" s="16"/>
      <c r="AC92" s="16"/>
      <c r="AD92" s="16"/>
      <c r="AE92" s="16"/>
    </row>
    <row r="93" ht="13.5" customHeight="1" spans="1:31" x14ac:dyDescent="0.25">
      <c r="A93" s="17"/>
      <c r="B93" s="16"/>
      <c r="C93" s="139" t="s">
        <v>127</v>
      </c>
      <c r="D93" s="16"/>
      <c r="E93" s="16"/>
      <c r="F93" s="16"/>
      <c r="G93" s="156">
        <f t="shared" ref="G93:R93" si="62" ca="1">IF(ISERROR((G53+G54)/G68),"NA",((G53+G54)/G68))</f>
        <v>12.123543123543124</v>
      </c>
      <c r="H93" s="156">
        <f ca="1">IF(ISERROR((H53+H54)/H68),"NA",((H53+H54)/H68))</f>
        <v>4.776400367309458</v>
      </c>
      <c r="I93" s="156">
        <f ca="1">IF(ISERROR((I53+I54)/I68),"NA",((I53+I54)/I68))</f>
        <v>5.350847041492758</v>
      </c>
      <c r="J93" s="157">
        <f ca="1">IF(ISERROR((J53+J54)/J68),"NA",((J53+J54)/J68))</f>
        <v>18.24008350730689</v>
      </c>
      <c r="K93" s="156">
        <f ca="1">IF(ISERROR((K53+K54)/K68),"NA",((K53+K54)/K68))</f>
        <v>52.23370786516854</v>
      </c>
      <c r="L93" s="156">
        <f ca="1">IF(ISERROR((L53+L54)/L68),"NA",((L53+L54)/L68))</f>
        <v>-133.2057142857143</v>
      </c>
      <c r="M93" s="156">
        <f ca="1">IF(ISERROR((M53+M54)/M68),"NA",((M53+M54)/M68))</f>
        <v>-16.010786802030456</v>
      </c>
      <c r="N93" s="159" t="str">
        <f ca="1">IF(ISERROR((N53+N54)/N68),"NA",((N53+N54)/N68))</f>
        <v>NA</v>
      </c>
      <c r="O93" s="156" t="str">
        <f ca="1">IF(ISERROR((O53+O54)/O68),"NA",((O53+O54)/O68))</f>
        <v>NA</v>
      </c>
      <c r="P93" s="156" t="str">
        <f ca="1">IF(ISERROR((P53+P54)/P68),"NA",((P53+P54)/P68))</f>
        <v>NA</v>
      </c>
      <c r="Q93" s="156" t="str">
        <f ca="1">IF(ISERROR((Q53+Q54)/Q68),"NA",((Q53+Q54)/Q68))</f>
        <v>NA</v>
      </c>
      <c r="R93" s="156" t="str">
        <f ca="1">IF(ISERROR((R53+R54)/R68),"NA",((R53+R54)/R68))</f>
        <v>NA</v>
      </c>
      <c r="S93" s="156"/>
      <c r="T93" s="156">
        <f t="shared" ref="T93:AA93" si="63" ca="1">IF(ISERROR((T53+T54)/T68),"NA",((T53+T54)/T68))</f>
        <v>4.25384193194292</v>
      </c>
      <c r="U93" s="156">
        <f ca="1">IF(ISERROR((U53+U54)/U68),"NA",((U53+U54)/U68))</f>
        <v>8.80578093306288</v>
      </c>
      <c r="V93" s="157">
        <f ca="1">IF(ISERROR((V53+V54)/V68),"NA",((V53+V54)/V68))</f>
        <v>18.24008350730689</v>
      </c>
      <c r="W93" s="156" t="str">
        <f ca="1">IF(ISERROR((W53+W54)/W68),"NA",((W53+W54)/W68))</f>
        <v>NA</v>
      </c>
      <c r="X93" s="156" t="str">
        <f ca="1">IF(ISERROR((X53+X54)/X68),"NA",((X53+X54)/X68))</f>
        <v>NA</v>
      </c>
      <c r="Y93" s="156" t="str">
        <f ca="1">IF(ISERROR((Y53+Y54)/Y68),"NA",((Y53+Y54)/Y68))</f>
        <v>NA</v>
      </c>
      <c r="Z93" s="156" t="str">
        <f ca="1">IF(ISERROR((Z53+Z54)/Z68),"NA",((Z53+Z54)/Z68))</f>
        <v>NA</v>
      </c>
      <c r="AA93" s="156" t="str">
        <f ca="1">IF(ISERROR((AA53+AA54)/AA68),"NA",((AA53+AA54)/AA68))</f>
        <v>NA</v>
      </c>
      <c r="AB93" s="16"/>
      <c r="AC93" s="16"/>
      <c r="AD93" s="16"/>
      <c r="AE93" s="16"/>
    </row>
    <row r="94" ht="13.5" customHeight="1" spans="1:31" x14ac:dyDescent="0.25">
      <c r="A94" s="17"/>
      <c r="B94" s="16"/>
      <c r="C94" s="139" t="s">
        <v>128</v>
      </c>
      <c r="D94" s="16"/>
      <c r="E94" s="16"/>
      <c r="F94" s="16"/>
      <c r="G94" s="156">
        <f t="shared" ref="G94:R94" si="64" ca="1">IF(ISERROR((G53+G54)/G46),"NA",((G53+G54)/G46))</f>
        <v>0.45391865945191134</v>
      </c>
      <c r="H94" s="156">
        <f ca="1">IF(ISERROR((H53+H54)/H46),"NA",((H53+H54)/H46))</f>
        <v>0.40194733690087514</v>
      </c>
      <c r="I94" s="156">
        <f ca="1">IF(ISERROR((I53+I54)/I46),"NA",((I53+I54)/I46))</f>
        <v>0.42834119496855344</v>
      </c>
      <c r="J94" s="157">
        <f ca="1">IF(ISERROR((J53+J54)/J46),"NA",((J53+J54)/J46))</f>
        <v>0.5608430512463892</v>
      </c>
      <c r="K94" s="156">
        <f ca="1">IF(ISERROR((K53+K54)/K46),"NA",((K53+K54)/K46))</f>
        <v>0.453984375</v>
      </c>
      <c r="L94" s="156">
        <f ca="1">IF(ISERROR((L53+L54)/L46),"NA",((L53+L54)/L46))</f>
        <v>0.4718443850700348</v>
      </c>
      <c r="M94" s="156">
        <f ca="1">IF(ISERROR((M53+M54)/M46),"NA",((M53+M54)/M46))</f>
        <v>0.5107894736842106</v>
      </c>
      <c r="N94" s="159" t="str">
        <f ca="1">IF(ISERROR((N53+N54)/N46),"NA",((N53+N54)/N46))</f>
        <v>NA</v>
      </c>
      <c r="O94" s="156" t="str">
        <f ca="1">IF(ISERROR((O53+O54)/O46),"NA",((O53+O54)/O46))</f>
        <v>NA</v>
      </c>
      <c r="P94" s="156" t="str">
        <f ca="1">IF(ISERROR((P53+P54)/P46),"NA",((P53+P54)/P46))</f>
        <v>NA</v>
      </c>
      <c r="Q94" s="156" t="str">
        <f ca="1">IF(ISERROR((Q53+Q54)/Q46),"NA",((Q53+Q54)/Q46))</f>
        <v>NA</v>
      </c>
      <c r="R94" s="156" t="str">
        <f ca="1">IF(ISERROR((R53+R54)/R46),"NA",((R53+R54)/R46))</f>
        <v>NA</v>
      </c>
      <c r="S94" s="156"/>
      <c r="T94" s="156">
        <f t="shared" ref="T94:AA94" si="65" ca="1">IF(ISERROR((T53+T54)/T46),"NA",((T53+T54)/T46))</f>
        <v>0.4492001854642402</v>
      </c>
      <c r="U94" s="156">
        <f ca="1">IF(ISERROR((U53+U54)/U46),"NA",((U53+U54)/U46))</f>
        <v>0.4399432494742976</v>
      </c>
      <c r="V94" s="157">
        <f ca="1">IF(ISERROR((V53+V54)/V46),"NA",((V53+V54)/V46))</f>
        <v>0.5608430512463892</v>
      </c>
      <c r="W94" s="156" t="str">
        <f ca="1">IF(ISERROR((W53+W54)/W46),"NA",((W53+W54)/W46))</f>
        <v>NA</v>
      </c>
      <c r="X94" s="156" t="str">
        <f ca="1">IF(ISERROR((X53+X54)/X46),"NA",((X53+X54)/X46))</f>
        <v>NA</v>
      </c>
      <c r="Y94" s="156" t="str">
        <f ca="1">IF(ISERROR((Y53+Y54)/Y46),"NA",((Y53+Y54)/Y46))</f>
        <v>NA</v>
      </c>
      <c r="Z94" s="156" t="str">
        <f ca="1">IF(ISERROR((Z53+Z54)/Z46),"NA",((Z53+Z54)/Z46))</f>
        <v>NA</v>
      </c>
      <c r="AA94" s="156" t="str">
        <f ca="1">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 ca="1">G8/G46</f>
        <v>0.4292852155699075</v>
      </c>
      <c r="H97" s="156">
        <f ca="1">H8/H46</f>
        <v>0.5274423816239399</v>
      </c>
      <c r="I97" s="156">
        <f ca="1">I8/I46</f>
        <v>0.4384630503144654</v>
      </c>
      <c r="J97" s="157">
        <f ca="1">J8/J46</f>
        <v>0.43459933668556755</v>
      </c>
      <c r="K97" s="156">
        <f ca="1">K8/K46</f>
        <v>0.4769921875</v>
      </c>
      <c r="L97" s="156">
        <f ca="1">L8/L46</f>
        <v>0.5580519795967938</v>
      </c>
      <c r="M97" s="156">
        <f ca="1">M8/M46</f>
        <v>0.4639271255060729</v>
      </c>
      <c r="N97" s="158">
        <f ca="1">N8/N46</f>
        <v>0.4555336926780439</v>
      </c>
      <c r="O97" s="160">
        <f ca="1">O8/O46</f>
        <v>0.5134800906637972</v>
      </c>
      <c r="P97" s="160">
        <f ca="1">P8/P46</f>
        <v>0.5676445690799609</v>
      </c>
      <c r="Q97" s="160">
        <f ca="1">Q8/Q46</f>
        <v>0.5147428081939429</v>
      </c>
      <c r="R97" s="160">
        <f ca="1">R8/R46</f>
        <v>0.5055370439087605</v>
      </c>
      <c r="S97" s="16"/>
      <c r="T97" s="160">
        <f t="shared" ref="T97:AA97" si="67" ca="1">T8/T46</f>
        <v>2.066448359800626</v>
      </c>
      <c r="U97" s="160">
        <f ca="1">U8/U46</f>
        <v>1.8278736287400876</v>
      </c>
      <c r="V97" s="161">
        <f ca="1">V8/V46</f>
        <v>1.9171284904247352</v>
      </c>
      <c r="W97" s="160">
        <f ca="1">W8/W46</f>
        <v>0.9350428428654586</v>
      </c>
      <c r="X97" s="160">
        <f ca="1">X8/X46</f>
        <v>2.1728375102207895</v>
      </c>
      <c r="Y97" s="160">
        <f ca="1">Y8/Y46</f>
        <v>2.1444498632777846</v>
      </c>
      <c r="Z97" s="160">
        <f ca="1">Z8/Z46</f>
        <v>2.132625934201993</v>
      </c>
      <c r="AA97" s="160">
        <f ca="1">AA8/AA46</f>
        <v>2.1186134670745362</v>
      </c>
      <c r="AB97" s="16"/>
      <c r="AC97" s="16"/>
      <c r="AD97" s="16"/>
      <c r="AE97" s="16"/>
    </row>
    <row r="98" ht="13.5" customHeight="1" spans="1:31" x14ac:dyDescent="0.25">
      <c r="A98" s="17"/>
      <c r="B98" s="16"/>
      <c r="C98" s="139" t="str">
        <f ca="1">Model!C182</f>
        <v>Days Sales Outstanding</v>
      </c>
      <c r="D98" s="16"/>
      <c r="E98" s="16"/>
      <c r="F98" s="16"/>
      <c r="G98" s="162">
        <f ca="1">Model!P182</f>
        <v>0</v>
      </c>
      <c r="H98" s="162">
        <f ca="1">Model!Q182</f>
        <v>0</v>
      </c>
      <c r="I98" s="162">
        <f ca="1">Model!R182</f>
        <v>0</v>
      </c>
      <c r="J98" s="163">
        <f ca="1">Model!S182</f>
        <v>0</v>
      </c>
      <c r="K98" s="162">
        <f ca="1">Model!U182</f>
        <v>0</v>
      </c>
      <c r="L98" s="162">
        <f ca="1">Model!V182</f>
        <v>1e-12</v>
      </c>
      <c r="M98" s="162">
        <f ca="1">Model!W182</f>
        <v>1e-12</v>
      </c>
      <c r="N98" s="164">
        <f ca="1">Model!X182</f>
        <v>1e-12</v>
      </c>
      <c r="O98" s="162">
        <f ca="1">Model!Z182</f>
        <v>1e-12</v>
      </c>
      <c r="P98" s="162">
        <f ca="1">Model!AA182</f>
        <v>1e-12</v>
      </c>
      <c r="Q98" s="162">
        <f ca="1">Model!AB182</f>
        <v>1e-12</v>
      </c>
      <c r="R98" s="162">
        <f ca="1">Model!AC182</f>
        <v>1e-12</v>
      </c>
      <c r="S98" s="162"/>
      <c r="T98" s="162">
        <f ca="1">Model!J182</f>
        <v>0</v>
      </c>
      <c r="U98" s="162">
        <f ca="1">Model!O182</f>
        <v>0</v>
      </c>
      <c r="V98" s="163">
        <f ca="1">Model!T182</f>
        <v>0</v>
      </c>
      <c r="W98" s="162">
        <f ca="1">Model!Y182</f>
        <v>1e-12</v>
      </c>
      <c r="X98" s="162">
        <f ca="1">Model!AD182</f>
        <v>1e-12</v>
      </c>
      <c r="Y98" s="162">
        <f ca="1">Model!AE182</f>
        <v>1e-12</v>
      </c>
      <c r="Z98" s="162">
        <f ca="1">Model!AF182</f>
        <v>1e-12</v>
      </c>
      <c r="AA98" s="162">
        <f ca="1">Model!AG182</f>
        <v>1e-12</v>
      </c>
      <c r="AB98" s="16"/>
      <c r="AC98" s="16"/>
      <c r="AD98" s="16"/>
      <c r="AE98" s="16"/>
    </row>
    <row r="99" ht="13.5" customHeight="1" spans="1:31" x14ac:dyDescent="0.25">
      <c r="A99" s="17"/>
      <c r="B99" s="16"/>
      <c r="C99" s="139" t="str">
        <f ca="1">Model!C183</f>
        <v>Days Inventory Outstanding</v>
      </c>
      <c r="D99" s="16"/>
      <c r="E99" s="16"/>
      <c r="F99" s="16"/>
      <c r="G99" s="162">
        <f ca="1">Model!P183</f>
        <v>93.89074608722079</v>
      </c>
      <c r="H99" s="162">
        <f ca="1">Model!Q183</f>
        <v>71.07384153794867</v>
      </c>
      <c r="I99" s="162">
        <f ca="1">Model!R183</f>
        <v>90.54420680924778</v>
      </c>
      <c r="J99" s="163">
        <f ca="1">Model!S183</f>
        <v>106.00433369447454</v>
      </c>
      <c r="K99" s="162">
        <f ca="1">Model!U183</f>
        <v>95.49932482199853</v>
      </c>
      <c r="L99" s="162">
        <f ca="1">Model!V183</f>
        <v>88.97644868003067</v>
      </c>
      <c r="M99" s="162">
        <f ca="1">Model!W183</f>
        <v>102.03652729763225</v>
      </c>
      <c r="N99" s="164">
        <f ca="1">Model!X183</f>
        <v>90</v>
      </c>
      <c r="O99" s="162">
        <f ca="1">Model!Z183</f>
        <v>95</v>
      </c>
      <c r="P99" s="162">
        <f ca="1">Model!AA183</f>
        <v>80</v>
      </c>
      <c r="Q99" s="162">
        <f ca="1">Model!AB183</f>
        <v>85</v>
      </c>
      <c r="R99" s="162">
        <f ca="1">Model!AC183</f>
        <v>90</v>
      </c>
      <c r="S99" s="162"/>
      <c r="T99" s="162">
        <f ca="1">Model!J183</f>
        <v>94.5511972893122</v>
      </c>
      <c r="U99" s="162">
        <f ca="1">Model!O183</f>
        <v>95.46895640686921</v>
      </c>
      <c r="V99" s="163">
        <f ca="1">Model!T183</f>
        <v>89.31899223514513</v>
      </c>
      <c r="W99" s="162">
        <f ca="1">Model!Y183</f>
        <v>92.07624734938022</v>
      </c>
      <c r="X99" s="162">
        <f ca="1">Model!AD183</f>
        <v>78.93300806770992</v>
      </c>
      <c r="Y99" s="162">
        <f ca="1">Model!AE183</f>
        <v>84</v>
      </c>
      <c r="Z99" s="162">
        <f ca="1">Model!AF183</f>
        <v>84</v>
      </c>
      <c r="AA99" s="162">
        <f ca="1">Model!AG183</f>
        <v>84</v>
      </c>
      <c r="AB99" s="16"/>
      <c r="AC99" s="16"/>
      <c r="AD99" s="16"/>
      <c r="AE99" s="16"/>
    </row>
    <row r="100" ht="13.5" customHeight="1" spans="1:31" x14ac:dyDescent="0.25">
      <c r="A100" s="17"/>
      <c r="B100" s="16"/>
      <c r="C100" s="139" t="str">
        <f ca="1">Model!C184</f>
        <v>Days Payables Outstanding</v>
      </c>
      <c r="D100" s="16"/>
      <c r="E100" s="16"/>
      <c r="F100" s="16"/>
      <c r="G100" s="162">
        <f ca="1">Model!P184</f>
        <v>63.250265917033886</v>
      </c>
      <c r="H100" s="162">
        <f ca="1">Model!Q184</f>
        <v>60.05908989887765</v>
      </c>
      <c r="I100" s="162">
        <f ca="1">Model!R184</f>
        <v>78.68945299486974</v>
      </c>
      <c r="J100" s="163">
        <f ca="1">Model!S184</f>
        <v>78.55384615384615</v>
      </c>
      <c r="K100" s="162">
        <f ca="1">Model!U184</f>
        <v>68.63245764792536</v>
      </c>
      <c r="L100" s="162">
        <f ca="1">Model!V184</f>
        <v>64.7312137145361</v>
      </c>
      <c r="M100" s="162">
        <f ca="1">Model!W184</f>
        <v>70.04565912204032</v>
      </c>
      <c r="N100" s="164">
        <f ca="1">Model!X184</f>
        <v>55</v>
      </c>
      <c r="O100" s="162">
        <f ca="1">Model!Z184</f>
        <v>58</v>
      </c>
      <c r="P100" s="162">
        <f ca="1">Model!AA184</f>
        <v>48</v>
      </c>
      <c r="Q100" s="162">
        <f ca="1">Model!AB184</f>
        <v>53</v>
      </c>
      <c r="R100" s="162">
        <f ca="1">Model!AC184</f>
        <v>55</v>
      </c>
      <c r="S100" s="162"/>
      <c r="T100" s="162">
        <f ca="1">Model!J184</f>
        <v>69.28524204045371</v>
      </c>
      <c r="U100" s="162">
        <f ca="1">Model!O184</f>
        <v>59.11360634081902</v>
      </c>
      <c r="V100" s="163">
        <f ca="1">Model!T184</f>
        <v>56.38846769087213</v>
      </c>
      <c r="W100" s="162">
        <f ca="1">Model!Y184</f>
        <v>58.889473853616515</v>
      </c>
      <c r="X100" s="162">
        <f ca="1">Model!AD184</f>
        <v>48.236838263600504</v>
      </c>
      <c r="Y100" s="162">
        <f ca="1">Model!AE184</f>
        <v>54</v>
      </c>
      <c r="Z100" s="162">
        <f ca="1">Model!AF184</f>
        <v>54</v>
      </c>
      <c r="AA100" s="162">
        <f ca="1">Model!AG184</f>
        <v>54</v>
      </c>
      <c r="AB100" s="16"/>
      <c r="AC100" s="16"/>
      <c r="AD100" s="16"/>
      <c r="AE100" s="16"/>
    </row>
    <row r="101" ht="13.5" customHeight="1" spans="1:31" x14ac:dyDescent="0.25">
      <c r="A101" s="17"/>
      <c r="B101" s="16"/>
      <c r="C101" s="139" t="s">
        <v>131</v>
      </c>
      <c r="D101" s="16"/>
      <c r="E101" s="16"/>
      <c r="F101" s="16"/>
      <c r="G101" s="162">
        <f t="shared" ref="G101:R101" si="68" ca="1">G98+G99-G100</f>
        <v>30.640480170186905</v>
      </c>
      <c r="H101" s="162">
        <f ca="1">H98+H99-H100</f>
        <v>11.014751639071015</v>
      </c>
      <c r="I101" s="162">
        <f ca="1">I98+I99-I100</f>
        <v>11.854753814378043</v>
      </c>
      <c r="J101" s="163">
        <f ca="1">J98+J99-J100</f>
        <v>27.450487540628387</v>
      </c>
      <c r="K101" s="162">
        <f ca="1">K98+K99-K100</f>
        <v>26.866867174073164</v>
      </c>
      <c r="L101" s="162">
        <f ca="1">L98+L99-L100</f>
        <v>24.245234965494575</v>
      </c>
      <c r="M101" s="162">
        <f ca="1">M98+M99-M100</f>
        <v>31.990868175591928</v>
      </c>
      <c r="N101" s="164">
        <f ca="1">N98+N99-N100</f>
        <v>35</v>
      </c>
      <c r="O101" s="162">
        <f ca="1">O98+O99-O100</f>
        <v>37</v>
      </c>
      <c r="P101" s="162">
        <f ca="1">P98+P99-P100</f>
        <v>32</v>
      </c>
      <c r="Q101" s="162">
        <f ca="1">Q98+Q99-Q100</f>
        <v>32</v>
      </c>
      <c r="R101" s="162">
        <f ca="1">R98+R99-R100</f>
        <v>35</v>
      </c>
      <c r="S101" s="162"/>
      <c r="T101" s="162">
        <f t="shared" ref="T101:AA101" si="69" ca="1">T98+T99-T100</f>
        <v>25.26595524885849</v>
      </c>
      <c r="U101" s="162">
        <f ca="1">U98+U99-U100</f>
        <v>36.35535006605019</v>
      </c>
      <c r="V101" s="163">
        <f ca="1">V98+V99-V100</f>
        <v>32.930524544273</v>
      </c>
      <c r="W101" s="162">
        <f ca="1">W98+W99-W100</f>
        <v>33.18677349576371</v>
      </c>
      <c r="X101" s="162">
        <f ca="1">X98+X99-X100</f>
        <v>30.696169804109417</v>
      </c>
      <c r="Y101" s="162">
        <f ca="1">Y98+Y99-Y100</f>
        <v>30</v>
      </c>
      <c r="Z101" s="162">
        <f ca="1">Z98+Z99-Z100</f>
        <v>30</v>
      </c>
      <c r="AA101" s="162">
        <f ca="1">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 ca="1">IF(ISERROR(G38/G51),"NA",(G38/G51))</f>
        <v>1.2372890920376953</v>
      </c>
      <c r="H104" s="156">
        <f ca="1">IF(ISERROR(H38/H51),"NA",(H38/H51))</f>
        <v>1.3350512981070275</v>
      </c>
      <c r="I104" s="156">
        <f ca="1">IF(ISERROR(I38/I51),"NA",(I38/I51))</f>
        <v>1.419994724347138</v>
      </c>
      <c r="J104" s="157">
        <f ca="1">IF(ISERROR(J38/J51),"NA",(J38/J51))</f>
        <v>1.320361937429771</v>
      </c>
      <c r="K104" s="156">
        <f ca="1">IF(ISERROR(K38/K51),"NA",(K38/K51))</f>
        <v>1.244131019764313</v>
      </c>
      <c r="L104" s="156">
        <f ca="1">IF(ISERROR(L38/L51),"NA",(L38/L51))</f>
        <v>1.2343996062992126</v>
      </c>
      <c r="M104" s="156">
        <f ca="1">IF(ISERROR(M38/M51),"NA",(M38/M51))</f>
        <v>1.2754850631352017</v>
      </c>
      <c r="N104" s="158" t="str">
        <f ca="1">IF(ISERROR(N38/N51),"NA",(N38/N51))</f>
        <v>NA</v>
      </c>
      <c r="O104" s="160" t="str">
        <f ca="1">IF(ISERROR(O38/O51),"NA",(O38/O51))</f>
        <v>NA</v>
      </c>
      <c r="P104" s="160" t="str">
        <f ca="1">IF(ISERROR(P38/P51),"NA",(P38/P51))</f>
        <v>NA</v>
      </c>
      <c r="Q104" s="160" t="str">
        <f ca="1">IF(ISERROR(Q38/Q51),"NA",(Q38/Q51))</f>
        <v>NA</v>
      </c>
      <c r="R104" s="160" t="str">
        <f ca="1">IF(ISERROR(R38/R51),"NA",(R38/R51))</f>
        <v>NA</v>
      </c>
      <c r="S104" s="16"/>
      <c r="T104" s="160">
        <f t="shared" ref="T104:AA104" si="71" ca="1">IF(ISERROR(T38/T51),"NA",(T38/T51))</f>
        <v>1.0628221408829461</v>
      </c>
      <c r="U104" s="160">
        <f ca="1">IF(ISERROR(U38/U51),"NA",(U38/U51))</f>
        <v>1.0502571134727459</v>
      </c>
      <c r="V104" s="161">
        <f ca="1">IF(ISERROR(V38/V51),"NA",(V38/V51))</f>
        <v>1.320361937429771</v>
      </c>
      <c r="W104" s="160" t="str">
        <f ca="1">IF(ISERROR(W38/W51),"NA",(W38/W51))</f>
        <v>NA</v>
      </c>
      <c r="X104" s="160" t="str">
        <f ca="1">IF(ISERROR(X38/X51),"NA",(X38/X51))</f>
        <v>NA</v>
      </c>
      <c r="Y104" s="160" t="str">
        <f ca="1">IF(ISERROR(Y38/Y51),"NA",(Y38/Y51))</f>
        <v>NA</v>
      </c>
      <c r="Z104" s="160" t="str">
        <f ca="1">IF(ISERROR(Z38/Z51),"NA",(Z38/Z51))</f>
        <v>NA</v>
      </c>
      <c r="AA104" s="160" t="str">
        <f ca="1">IF(ISERROR(AA38/AA51),"NA",(AA38/AA51))</f>
        <v>NA</v>
      </c>
      <c r="AB104" s="16"/>
      <c r="AC104" s="16"/>
      <c r="AD104" s="16"/>
      <c r="AE104" s="16"/>
    </row>
    <row r="105" ht="13.5" customHeight="1" spans="1:31" x14ac:dyDescent="0.25">
      <c r="A105" s="17"/>
      <c r="B105" s="16"/>
      <c r="C105" s="139" t="s">
        <v>134</v>
      </c>
      <c r="D105" s="16"/>
      <c r="E105" s="16"/>
      <c r="F105" s="16"/>
      <c r="G105" s="156">
        <f t="shared" ref="G105:R105" si="72" ca="1">IF(ISERROR((G34+G35)/G51),"NA",((G34+G35)/G51))</f>
        <v>0.34738445911630267</v>
      </c>
      <c r="H105" s="156">
        <f ca="1">IF(ISERROR((H34+H35)/H51),"NA",((H34+H35)/H51))</f>
        <v>0.6129762535523336</v>
      </c>
      <c r="I105" s="156">
        <f ca="1">IF(ISERROR((I34+I35)/I51),"NA",((I34+I35)/I51))</f>
        <v>0.5328936955948299</v>
      </c>
      <c r="J105" s="157">
        <f ca="1">IF(ISERROR((J34+J35)/J51),"NA",((J34+J35)/J51))</f>
        <v>0.307291974688036</v>
      </c>
      <c r="K105" s="156">
        <f ca="1">IF(ISERROR((K34+K35)/K51),"NA",((K34+K35)/K51))</f>
        <v>0.33153938944047506</v>
      </c>
      <c r="L105" s="156">
        <f ca="1">IF(ISERROR((L34+L35)/L51),"NA",((L34+L35)/L51))</f>
        <v>0.3078248031496063</v>
      </c>
      <c r="M105" s="156">
        <f ca="1">IF(ISERROR((M34+M35)/M51),"NA",((M34+M35)/M51))</f>
        <v>0.34252130171440304</v>
      </c>
      <c r="N105" s="158" t="str">
        <f ca="1">IF(ISERROR((N34+N35)/N51),"NA",((N34+N35)/N51))</f>
        <v>NA</v>
      </c>
      <c r="O105" s="160" t="str">
        <f ca="1">IF(ISERROR((O34+O35)/O51),"NA",((O34+O35)/O51))</f>
        <v>NA</v>
      </c>
      <c r="P105" s="160" t="str">
        <f ca="1">IF(ISERROR((P34+P35)/P51),"NA",((P34+P35)/P51))</f>
        <v>NA</v>
      </c>
      <c r="Q105" s="160" t="str">
        <f ca="1">IF(ISERROR((Q34+Q35)/Q51),"NA",((Q34+Q35)/Q51))</f>
        <v>NA</v>
      </c>
      <c r="R105" s="160" t="str">
        <f ca="1">IF(ISERROR((R34+R35)/R51),"NA",((R34+R35)/R51))</f>
        <v>NA</v>
      </c>
      <c r="S105" s="16"/>
      <c r="T105" s="160">
        <f t="shared" ref="T105:AA105" si="73" ca="1">IF(ISERROR((T34+T35)/T51),"NA",((T34+T35)/T51))</f>
        <v>0.054455815343243445</v>
      </c>
      <c r="U105" s="160">
        <f ca="1">IF(ISERROR((U34+U35)/U51),"NA",((U34+U35)/U51))</f>
        <v>0.060061707233459036</v>
      </c>
      <c r="V105" s="161">
        <f ca="1">IF(ISERROR((V34+V35)/V51),"NA",((V34+V35)/V51))</f>
        <v>0.307291974688036</v>
      </c>
      <c r="W105" s="160" t="str">
        <f ca="1">IF(ISERROR((W34+W35)/W51),"NA",((W34+W35)/W51))</f>
        <v>NA</v>
      </c>
      <c r="X105" s="160" t="str">
        <f ca="1">IF(ISERROR((X34+X35)/X51),"NA",((X34+X35)/X51))</f>
        <v>NA</v>
      </c>
      <c r="Y105" s="160" t="str">
        <f ca="1">IF(ISERROR((Y34+Y35)/Y51),"NA",((Y34+Y35)/Y51))</f>
        <v>NA</v>
      </c>
      <c r="Z105" s="160" t="str">
        <f ca="1">IF(ISERROR((Z34+Z35)/Z51),"NA",((Z34+Z35)/Z51))</f>
        <v>NA</v>
      </c>
      <c r="AA105" s="160" t="str">
        <f ca="1">IF(ISERROR((AA34+AA35)/AA51),"NA",((AA34+AA35)/AA51))</f>
        <v>NA</v>
      </c>
      <c r="AB105" s="16"/>
      <c r="AC105" s="16"/>
      <c r="AD105" s="16"/>
      <c r="AE105" s="16"/>
    </row>
    <row r="106" ht="13.5" customHeight="1" spans="1:31" x14ac:dyDescent="0.25">
      <c r="A106" s="17"/>
      <c r="B106" s="16"/>
      <c r="C106" s="139" t="s">
        <v>135</v>
      </c>
      <c r="D106" s="16"/>
      <c r="E106" s="16"/>
      <c r="F106" s="16"/>
      <c r="G106" s="156">
        <f t="shared" ref="G106:R106" si="74" ca="1">IF(ISERROR(G34/G51),"NA",(G34/G51))</f>
        <v>0.34738445911630267</v>
      </c>
      <c r="H106" s="156">
        <f ca="1">IF(ISERROR(H34/H51),"NA",(H34/H51))</f>
        <v>0.6129762535523336</v>
      </c>
      <c r="I106" s="156">
        <f ca="1">IF(ISERROR(I34/I51),"NA",(I34/I51))</f>
        <v>0.5328936955948299</v>
      </c>
      <c r="J106" s="157">
        <f ca="1">IF(ISERROR(J34/J51),"NA",(J34/J51))</f>
        <v>0.307291974688036</v>
      </c>
      <c r="K106" s="156">
        <f ca="1">IF(ISERROR(K34/K51),"NA",(K34/K51))</f>
        <v>0.33153938944047506</v>
      </c>
      <c r="L106" s="156">
        <f ca="1">IF(ISERROR(L34/L51),"NA",(L34/L51))</f>
        <v>0.3078248031496063</v>
      </c>
      <c r="M106" s="156">
        <f ca="1">IF(ISERROR(M34/M51),"NA",(M34/M51))</f>
        <v>0.34252130171440304</v>
      </c>
      <c r="N106" s="158" t="str">
        <f ca="1">IF(ISERROR(N34/N51),"NA",(N34/N51))</f>
        <v>NA</v>
      </c>
      <c r="O106" s="160" t="str">
        <f ca="1">IF(ISERROR(O34/O51),"NA",(O34/O51))</f>
        <v>NA</v>
      </c>
      <c r="P106" s="160" t="str">
        <f ca="1">IF(ISERROR(P34/P51),"NA",(P34/P51))</f>
        <v>NA</v>
      </c>
      <c r="Q106" s="160" t="str">
        <f ca="1">IF(ISERROR(Q34/Q51),"NA",(Q34/Q51))</f>
        <v>NA</v>
      </c>
      <c r="R106" s="160" t="str">
        <f ca="1">IF(ISERROR(R34/R51),"NA",(R34/R51))</f>
        <v>NA</v>
      </c>
      <c r="S106" s="16"/>
      <c r="T106" s="160">
        <f t="shared" ref="T106:AA106" si="75" ca="1">IF(ISERROR(T34/T51),"NA",(T34/T51))</f>
        <v>0.054455815343243445</v>
      </c>
      <c r="U106" s="160">
        <f ca="1">IF(ISERROR(U34/U51),"NA",(U34/U51))</f>
        <v>0.060061707233459036</v>
      </c>
      <c r="V106" s="161">
        <f ca="1">IF(ISERROR(V34/V51),"NA",(V34/V51))</f>
        <v>0.307291974688036</v>
      </c>
      <c r="W106" s="160" t="str">
        <f ca="1">IF(ISERROR(W34/W51),"NA",(W34/W51))</f>
        <v>NA</v>
      </c>
      <c r="X106" s="160" t="str">
        <f ca="1">IF(ISERROR(X34/X51),"NA",(X34/X51))</f>
        <v>NA</v>
      </c>
      <c r="Y106" s="160" t="str">
        <f ca="1">IF(ISERROR(Y34/Y51),"NA",(Y34/Y51))</f>
        <v>NA</v>
      </c>
      <c r="Z106" s="160" t="str">
        <f ca="1">IF(ISERROR(Z34/Z51),"NA",(Z34/Z51))</f>
        <v>NA</v>
      </c>
      <c r="AA106" s="160" t="str">
        <f ca="1">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 ca="1">Company_Name&amp;" "&amp;"("&amp;Ticker&amp;")"&amp;" Valuation Overview"</f>
        <v>Lowe's Companies, Inc. (LOW) Valuation Overview</v>
      </c>
      <c r="C1" s="4"/>
      <c r="D1" s="4"/>
      <c r="E1" s="4"/>
      <c r="F1" s="4"/>
      <c r="G1" s="4"/>
      <c r="H1" s="4"/>
      <c r="I1" s="4"/>
      <c r="J1" s="167"/>
      <c r="K1" s="139" t="s">
        <v>136</v>
      </c>
      <c r="L1" s="66"/>
      <c r="M1" s="66"/>
      <c r="N1" s="168" t="str">
        <f ca="1">Case_Scenario&amp;" Case"</f>
        <v>Base Case</v>
      </c>
      <c r="O1" s="66"/>
      <c r="P1" s="4"/>
      <c r="Q1" s="4"/>
      <c r="R1" s="16" t="s">
        <v>137</v>
      </c>
      <c r="S1" s="16" t="str">
        <f ca="1">IF(N1="Base Case","","Check!")</f>
        <v/>
      </c>
      <c r="T1" s="16"/>
      <c r="U1" s="16"/>
      <c r="V1" s="4"/>
      <c r="W1" s="16"/>
      <c r="X1" s="16"/>
      <c r="Y1" s="47" t="s">
        <v>138</v>
      </c>
      <c r="Z1" s="16"/>
      <c r="AA1" s="16"/>
      <c r="AB1" s="16"/>
      <c r="AC1" s="16"/>
      <c r="AD1" s="16"/>
    </row>
    <row r="2" ht="15.75" customHeight="1" spans="1:30" x14ac:dyDescent="0.25">
      <c r="A2" s="4"/>
      <c r="B2" s="16" t="str">
        <f ca="1">Cover!C2</f>
        <v>$ in Millions Except Per Share Data</v>
      </c>
      <c r="C2" s="4"/>
      <c r="D2" s="4"/>
      <c r="E2" s="4"/>
      <c r="F2" s="4"/>
      <c r="G2" s="4"/>
      <c r="H2" s="4"/>
      <c r="I2" s="4"/>
      <c r="J2" s="4"/>
      <c r="K2" s="16" t="s">
        <v>139</v>
      </c>
      <c r="L2" s="66"/>
      <c r="M2" s="66"/>
      <c r="N2" s="66"/>
      <c r="O2" s="169">
        <f ca="1">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 ca="1">Current_Date</f>
        <v>45903</v>
      </c>
      <c r="P3" s="66"/>
      <c r="Q3" s="4"/>
      <c r="R3" s="4"/>
      <c r="S3" s="4"/>
      <c r="T3" s="4"/>
      <c r="U3" s="4"/>
      <c r="V3" s="16"/>
      <c r="W3" s="16"/>
      <c r="X3" s="16"/>
      <c r="Y3" s="16"/>
      <c r="Z3" s="16"/>
      <c r="AA3" s="16"/>
      <c r="AB3" s="16"/>
      <c r="AC3" s="16"/>
      <c r="AD3" s="16"/>
    </row>
    <row r="4" ht="15.75" customHeight="1" spans="1:30" x14ac:dyDescent="0.25">
      <c r="A4" s="4"/>
      <c r="B4" s="171" t="str">
        <f ca="1">"Multiples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 ca="1">Cover!I9</f>
        <v>Implied Enterprise Value:</v>
      </c>
      <c r="J7" s="16"/>
      <c r="K7" s="16"/>
      <c r="L7" s="16"/>
      <c r="M7" s="16"/>
      <c r="N7" s="180">
        <f ca="1">Cover!L9</f>
        <v>-86231.84266490294</v>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 ca="1">Cover!I10</f>
        <v>Implied Equity Value:</v>
      </c>
      <c r="J8" s="93"/>
      <c r="K8" s="93"/>
      <c r="L8" s="93"/>
      <c r="M8" s="93"/>
      <c r="N8" s="182">
        <f ca="1">Cover!L10</f>
        <v>-103287.84266490294</v>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 ca="1">Cover!I12</f>
        <v>Implied Share Price:</v>
      </c>
      <c r="J9" s="16"/>
      <c r="K9" s="16"/>
      <c r="L9" s="16"/>
      <c r="M9" s="16"/>
      <c r="N9" s="184">
        <f ca="1">Cover!L12</f>
        <v>-146.09312965332808</v>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 ca="1">Cover!I13</f>
        <v>% Return:</v>
      </c>
      <c r="J10" s="131"/>
      <c r="K10" s="131"/>
      <c r="L10" s="131"/>
      <c r="M10" s="131"/>
      <c r="N10" s="186">
        <f ca="1">Cover!L13</f>
        <v>1e-12</v>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 ca="1">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 ca="1">Cover!I16</f>
        <v>Implied Enterprise Value:</v>
      </c>
      <c r="J13" s="132"/>
      <c r="K13" s="132"/>
      <c r="L13" s="132"/>
      <c r="M13" s="132"/>
      <c r="N13" s="180">
        <f ca="1">Cover!L16</f>
        <v>-24699.491536901754</v>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 ca="1">Cover!I17</f>
        <v>Implied Equity Value:</v>
      </c>
      <c r="J14" s="93"/>
      <c r="K14" s="93"/>
      <c r="L14" s="93"/>
      <c r="M14" s="93"/>
      <c r="N14" s="182">
        <f ca="1">Cover!L17</f>
        <v>-41755.491536901754</v>
      </c>
      <c r="O14" s="183"/>
      <c r="Q14" s="4"/>
      <c r="AB14" s="16"/>
      <c r="AC14" s="16"/>
      <c r="AD14" s="16"/>
    </row>
    <row r="15" ht="15.75" customHeight="1" spans="1:30" x14ac:dyDescent="0.25">
      <c r="A15" s="4"/>
      <c r="B15" s="4"/>
      <c r="C15" s="4"/>
      <c r="D15" s="4"/>
      <c r="E15" s="4"/>
      <c r="F15" s="4"/>
      <c r="G15" s="4"/>
      <c r="H15" s="4"/>
      <c r="I15" s="188" t="str">
        <f ca="1">Cover!I19</f>
        <v>Implied Share Price:</v>
      </c>
      <c r="J15" s="16"/>
      <c r="K15" s="16"/>
      <c r="L15" s="16"/>
      <c r="M15" s="16"/>
      <c r="N15" s="184">
        <f ca="1">Cover!L19</f>
        <v>-59.06010118373657</v>
      </c>
      <c r="O15" s="185"/>
      <c r="Q15" s="4"/>
      <c r="AB15" s="16"/>
      <c r="AC15" s="16"/>
      <c r="AD15" s="16"/>
    </row>
    <row r="16" ht="15.75" customHeight="1" spans="1:30" x14ac:dyDescent="0.25">
      <c r="A16" s="4"/>
      <c r="B16" s="4"/>
      <c r="C16" s="4"/>
      <c r="D16" s="4"/>
      <c r="E16" s="4"/>
      <c r="F16" s="4"/>
      <c r="G16" s="4"/>
      <c r="H16" s="4"/>
      <c r="I16" s="192" t="str">
        <f ca="1">Cover!I20</f>
        <v>% Return:</v>
      </c>
      <c r="J16" s="131"/>
      <c r="K16" s="131"/>
      <c r="L16" s="131"/>
      <c r="M16" s="131"/>
      <c r="N16" s="186">
        <f ca="1">Cover!L20</f>
        <v>1e-12</v>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 ca="1">Summary!U6</f>
        <v>2024</v>
      </c>
      <c r="F19" s="201">
        <f ca="1">Summary!V6</f>
        <v>2025</v>
      </c>
      <c r="G19" s="201" t="str">
        <f ca="1">Summary!W6</f>
        <v>2026e</v>
      </c>
      <c r="H19" s="201" t="str">
        <f ca="1">Summary!X6</f>
        <v>2027e</v>
      </c>
      <c r="I19" s="201" t="str">
        <f ca="1">Summary!Y6</f>
        <v>2028e</v>
      </c>
      <c r="J19" s="201" t="str">
        <f ca="1">Summary!Z6</f>
        <v>2029e</v>
      </c>
      <c r="K19" s="202" t="str">
        <f ca="1">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 ca="1">Summary!C8</f>
        <v>Revenue</v>
      </c>
      <c r="C21" s="16"/>
      <c r="D21" s="205">
        <f ca="1">Summary!T8</f>
        <v>71309</v>
      </c>
      <c r="E21" s="116">
        <f ca="1">Summary!U8</f>
        <v>72148</v>
      </c>
      <c r="F21" s="117">
        <f ca="1">Summary!V8</f>
        <v>89597</v>
      </c>
      <c r="G21" s="116">
        <f ca="1">Summary!W8</f>
        <v>96682.1</v>
      </c>
      <c r="H21" s="116">
        <f ca="1">Summary!X8</f>
        <v>105236.82134671998</v>
      </c>
      <c r="I21" s="116">
        <f ca="1">Summary!Y8</f>
        <v>107341.55777365438</v>
      </c>
      <c r="J21" s="116">
        <f ca="1">Summary!Z8</f>
        <v>109488.38892912747</v>
      </c>
      <c r="K21" s="117">
        <f ca="1">Summary!AA8</f>
        <v>111678.15670771002</v>
      </c>
      <c r="L21" s="116"/>
      <c r="M21" s="206">
        <f ca="1">Summary!AC8</f>
        <v>0.12091985272961936</v>
      </c>
      <c r="N21" s="207"/>
      <c r="O21" s="206">
        <f ca="1">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 ca="1">Summary!C9</f>
        <v>YoY % Growth</v>
      </c>
      <c r="C22" s="16"/>
      <c r="D22" s="205"/>
      <c r="E22" s="121">
        <f ca="1">Summary!U9</f>
        <v>0.01176569577472697</v>
      </c>
      <c r="F22" s="122">
        <f ca="1">Summary!V9</f>
        <v>0.2418500859344681</v>
      </c>
      <c r="G22" s="121">
        <f ca="1">Summary!W9</f>
        <v>0.07907742446733712</v>
      </c>
      <c r="H22" s="121">
        <f ca="1">Summary!X9</f>
        <v>0.08848299061273979</v>
      </c>
      <c r="I22" s="121">
        <f ca="1">Summary!Y9</f>
        <v>0.020000000000000018</v>
      </c>
      <c r="J22" s="121">
        <f ca="1">Summary!Z9</f>
        <v>0.020000000000000018</v>
      </c>
      <c r="K22" s="122">
        <f ca="1">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 ca="1">Summary!C11</f>
        <v>Gross Profit</v>
      </c>
      <c r="C24" s="16"/>
      <c r="D24" s="205">
        <f ca="1">Summary!T11</f>
        <v>22908</v>
      </c>
      <c r="E24" s="116">
        <f ca="1">Summary!U11</f>
        <v>22943</v>
      </c>
      <c r="F24" s="117">
        <f ca="1">Summary!V11</f>
        <v>29583</v>
      </c>
      <c r="G24" s="116">
        <f ca="1">Summary!W11</f>
        <v>27859.373</v>
      </c>
      <c r="H24" s="116">
        <f ca="1">Summary!X11</f>
        <v>14241.705219263196</v>
      </c>
      <c r="I24" s="116">
        <f ca="1">Summary!Y11</f>
        <v>14920.476530537955</v>
      </c>
      <c r="J24" s="116">
        <f ca="1">Summary!Z11</f>
        <v>15328.374450077841</v>
      </c>
      <c r="K24" s="117">
        <f ca="1">Summary!AA11</f>
        <v>15858.298252494831</v>
      </c>
      <c r="L24" s="116"/>
      <c r="M24" s="119">
        <f ca="1">Summary!AC11</f>
        <v>0.13639030398729335</v>
      </c>
      <c r="N24" s="207"/>
      <c r="O24" s="119">
        <f ca="1">Summary!AE11</f>
        <v>-0.1172395373691637</v>
      </c>
      <c r="P24" s="4"/>
      <c r="Q24" s="4"/>
      <c r="R24" s="84" t="s">
        <v>147</v>
      </c>
      <c r="S24" s="211">
        <f ca="1">Valuation!D12</f>
        <v>12.4849</v>
      </c>
      <c r="T24" s="211">
        <f ca="1">Valuation!D11</f>
        <v>18.6398</v>
      </c>
      <c r="U24" s="211">
        <f t="shared" ref="U24:U28" si="0" ca="1">IF($S$21=$S$23,S24,T24)</f>
        <v>18.6398</v>
      </c>
      <c r="W24" s="16"/>
      <c r="X24" s="16"/>
      <c r="Y24" s="16"/>
      <c r="Z24" s="16"/>
      <c r="AA24" s="16"/>
      <c r="AB24" s="16"/>
      <c r="AC24" s="16"/>
      <c r="AD24" s="16"/>
    </row>
    <row r="25" ht="15.75" customHeight="1" spans="1:30" x14ac:dyDescent="0.25">
      <c r="A25" s="4"/>
      <c r="B25" s="120" t="str">
        <f ca="1">Summary!C12</f>
        <v>% Margin</v>
      </c>
      <c r="C25" s="16"/>
      <c r="D25" s="205"/>
      <c r="E25" s="121">
        <f ca="1">Summary!U12</f>
        <v>0.3179991129345235</v>
      </c>
      <c r="F25" s="122">
        <f ca="1">Summary!V12</f>
        <v>0.3301784657968459</v>
      </c>
      <c r="G25" s="121">
        <f ca="1">Summary!W12</f>
        <v>0.28815440500361494</v>
      </c>
      <c r="H25" s="121">
        <f ca="1">Summary!X12</f>
        <v>0.13533005878561802</v>
      </c>
      <c r="I25" s="121">
        <f ca="1">Summary!Y12</f>
        <v>0.13899999999999996</v>
      </c>
      <c r="J25" s="121">
        <f ca="1">Summary!Z12</f>
        <v>0.13999999999999996</v>
      </c>
      <c r="K25" s="122">
        <f ca="1">Summary!AA12</f>
        <v>0.14200000000000007</v>
      </c>
      <c r="L25" s="121"/>
      <c r="M25" s="119"/>
      <c r="N25" s="207"/>
      <c r="O25" s="119"/>
      <c r="P25" s="4"/>
      <c r="Q25" s="4"/>
      <c r="R25" s="84" t="str">
        <f ca="1">Model!Y25</f>
        <v>2026e</v>
      </c>
      <c r="S25" s="212">
        <f ca="1">(Comparables!H10*S30)/(Model!Y61)</f>
        <v>-1.7956760147593527</v>
      </c>
      <c r="T25" s="212">
        <f ca="1">(Comparables!$G$10*S30)/Summary!W19</f>
        <v>-1.9834550303385587</v>
      </c>
      <c r="U25" s="212">
        <f ca="1">IF($S$21=$S$23,S25,T25)</f>
      </c>
      <c r="W25" s="16"/>
      <c r="X25" s="16"/>
      <c r="Y25" s="16"/>
      <c r="Z25" s="16"/>
      <c r="AA25" s="16"/>
      <c r="AB25" s="16"/>
      <c r="AC25" s="16"/>
      <c r="AD25" s="16"/>
    </row>
    <row r="26" ht="15.75" customHeight="1" spans="1:30" x14ac:dyDescent="0.25">
      <c r="A26" s="4"/>
      <c r="B26" s="120" t="str">
        <f ca="1">Summary!C13</f>
        <v>YoY % Growth</v>
      </c>
      <c r="C26" s="16"/>
      <c r="D26" s="205"/>
      <c r="E26" s="121">
        <f ca="1">Summary!U13</f>
        <v>0.0015278505325651004</v>
      </c>
      <c r="F26" s="122">
        <f ca="1">Summary!V13</f>
        <v>0.28941289282133975</v>
      </c>
      <c r="G26" s="121">
        <f ca="1">Summary!W13</f>
        <v>-0.05826410438427476</v>
      </c>
      <c r="H26" s="121">
        <f ca="1">Summary!X13</f>
        <v>-0.4888002246402603</v>
      </c>
      <c r="I26" s="121">
        <f ca="1">Summary!Y13</f>
        <v>0.047660817354698404</v>
      </c>
      <c r="J26" s="121">
        <f ca="1">Summary!Z13</f>
        <v>0.027338129496402797</v>
      </c>
      <c r="K26" s="122">
        <f ca="1">Summary!AA13</f>
        <v>0.03457142857142936</v>
      </c>
      <c r="L26" s="121"/>
      <c r="M26" s="119"/>
      <c r="N26" s="207"/>
      <c r="O26" s="119"/>
      <c r="P26" s="4"/>
      <c r="Q26" s="4"/>
      <c r="R26" s="84" t="str">
        <f ca="1">Summary!AA6</f>
        <v>2030e</v>
      </c>
      <c r="S26" s="212">
        <f ca="1">(Comparables!H10*S30)/(Model!AG61)</f>
        <v>-23.089353333369743</v>
      </c>
      <c r="T26" s="212">
        <f ca="1">(Comparables!$G$10*S30)/Summary!AA19</f>
        <v>-15.419023928300408</v>
      </c>
      <c r="U26" s="212">
        <f ca="1">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 ca="1">Valuation!K60</f>
        <v>13</v>
      </c>
      <c r="T27" s="212">
        <f ca="1">Valuation!K72/Summary!AA19</f>
        <v>11.170488851865125</v>
      </c>
      <c r="U27" s="212">
        <f ca="1">IF($S$21=$S$23,S27,T27)</f>
      </c>
      <c r="W27" s="16"/>
      <c r="X27" s="16"/>
      <c r="Y27" s="16"/>
      <c r="Z27" s="16"/>
      <c r="AA27" s="16"/>
      <c r="AB27" s="16"/>
      <c r="AC27" s="16"/>
      <c r="AD27" s="16"/>
    </row>
    <row r="28" ht="15.75" customHeight="1" spans="1:30" x14ac:dyDescent="0.25">
      <c r="A28" s="4"/>
      <c r="B28" s="16" t="str">
        <f ca="1">Summary!C27</f>
        <v>EBITDA</v>
      </c>
      <c r="C28" s="16"/>
      <c r="D28" s="205">
        <f ca="1">Summary!T27</f>
        <v>7341.59</v>
      </c>
      <c r="E28" s="116">
        <f ca="1">Summary!U27</f>
        <v>7764.5</v>
      </c>
      <c r="F28" s="117">
        <f ca="1">Summary!V27</f>
        <v>13111.87</v>
      </c>
      <c r="G28" s="116">
        <f ca="1">Summary!W27</f>
        <v>-91903.489</v>
      </c>
      <c r="H28" s="116">
        <f ca="1">Summary!X27</f>
        <v>-9185.290011615205</v>
      </c>
      <c r="I28" s="116">
        <f ca="1">Summary!Y27</f>
        <v>-8157.958390797736</v>
      </c>
      <c r="J28" s="116">
        <f ca="1">Summary!Z27</f>
        <v>-7773.675613968058</v>
      </c>
      <c r="K28" s="117">
        <f ca="1">Summary!AA27</f>
        <v>-7147.402029293433</v>
      </c>
      <c r="L28" s="116"/>
      <c r="M28" s="119">
        <f ca="1">Summary!AC27</f>
        <v>0.3364024211504246</v>
      </c>
      <c r="N28" s="207"/>
      <c r="O28" s="119" t="str">
        <f ca="1">Summary!AE27</f>
        <v>N/A</v>
      </c>
      <c r="P28" s="4"/>
      <c r="Q28" s="4"/>
      <c r="R28" s="84" t="s">
        <v>149</v>
      </c>
      <c r="S28" s="212">
        <f ca="1">Valuation!K79</f>
        <v>1e-12</v>
      </c>
      <c r="T28" s="212">
        <f ca="1">Valuation!R72/Summary!AA19</f>
        <v>4.515819487394538</v>
      </c>
      <c r="U28" s="212">
        <f ca="1">IF($S$21=$S$23,S28,T28)</f>
      </c>
      <c r="W28" s="16"/>
      <c r="X28" s="16"/>
      <c r="Y28" s="16"/>
      <c r="Z28" s="16"/>
      <c r="AA28" s="16"/>
      <c r="AB28" s="16"/>
      <c r="AC28" s="16"/>
      <c r="AD28" s="16"/>
    </row>
    <row r="29" ht="15.75" customHeight="1" spans="1:30" x14ac:dyDescent="0.25">
      <c r="A29" s="4"/>
      <c r="B29" s="120" t="str">
        <f ca="1">Summary!C28</f>
        <v>Margin</v>
      </c>
      <c r="C29" s="16"/>
      <c r="D29" s="205"/>
      <c r="E29" s="121">
        <f ca="1">Summary!U28</f>
        <v>0.10761906081942674</v>
      </c>
      <c r="F29" s="122">
        <f ca="1">Summary!V28</f>
        <v>0.14634273468977757</v>
      </c>
      <c r="G29" s="121">
        <f ca="1">Summary!W28</f>
        <v>-2.056461923334251</v>
      </c>
      <c r="H29" s="121">
        <f ca="1">Summary!X28</f>
        <v>-0.08728209284612236</v>
      </c>
      <c r="I29" s="121">
        <f ca="1">Summary!Y28</f>
        <v>-0.07600000000000003</v>
      </c>
      <c r="J29" s="121">
        <f ca="1">Summary!Z28</f>
        <v>-0.07100000000000008</v>
      </c>
      <c r="K29" s="122">
        <f ca="1">Summary!AA28</f>
        <v>-0.06399999999999993</v>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 ca="1">Summary!C29</f>
        <v>YoY % Growth</v>
      </c>
      <c r="C30" s="16"/>
      <c r="D30" s="205"/>
      <c r="E30" s="121">
        <f ca="1">Summary!U17</f>
        <v>0.5714285714285714</v>
      </c>
      <c r="F30" s="122">
        <f ca="1">Summary!V17</f>
        <v>0.7250554323725056</v>
      </c>
      <c r="G30" s="121">
        <f ca="1">Summary!W29</f>
        <v>-0.6643383479791671</v>
      </c>
      <c r="H30" s="121">
        <f ca="1">Summary!X29</f>
        <v>-0.9000550456619203</v>
      </c>
      <c r="I30" s="121">
        <f ca="1">Summary!Y29</f>
        <v>-0.11184531130953546</v>
      </c>
      <c r="J30" s="121">
        <f ca="1">Summary!Z29</f>
        <v>-0.047105263157894095</v>
      </c>
      <c r="K30" s="122">
        <f ca="1">Summary!AA29</f>
        <v>-0.08056338028169219</v>
      </c>
      <c r="L30" s="121"/>
      <c r="M30" s="119"/>
      <c r="N30" s="207"/>
      <c r="O30" s="119"/>
      <c r="P30" s="4"/>
      <c r="Q30" s="4"/>
      <c r="R30" s="16" t="s">
        <v>150</v>
      </c>
      <c r="S30" s="84">
        <f ca="1">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 ca="1">Summary!C19</f>
        <v>Net Income (Loss)</v>
      </c>
      <c r="C32" s="16"/>
      <c r="D32" s="205">
        <f ca="1">Summary!T19</f>
        <v>2314</v>
      </c>
      <c r="E32" s="116">
        <f ca="1">Summary!U19</f>
        <v>4281</v>
      </c>
      <c r="F32" s="117">
        <f ca="1">Summary!V19</f>
        <v>5835</v>
      </c>
      <c r="G32" s="116">
        <f ca="1">Summary!W19</f>
        <v>-71880.576413</v>
      </c>
      <c r="H32" s="116">
        <f ca="1">Summary!X19</f>
        <v>-8690.829908397225</v>
      </c>
      <c r="I32" s="116">
        <f ca="1">Summary!Y19</f>
        <v>-8440.837259522876</v>
      </c>
      <c r="J32" s="116">
        <f ca="1">Summary!Z19</f>
        <v>-8966.603905972755</v>
      </c>
      <c r="K32" s="117">
        <f ca="1">Summary!AA19</f>
        <v>-9246.492614121993</v>
      </c>
      <c r="L32" s="116"/>
      <c r="M32" s="119">
        <f ca="1">Summary!AC19</f>
        <v>0.5879570541665378</v>
      </c>
      <c r="N32" s="207"/>
      <c r="O32" s="119" t="str">
        <f ca="1">Summary!AE19</f>
        <v>N/A</v>
      </c>
      <c r="P32" s="4"/>
      <c r="Q32" s="4"/>
      <c r="R32" s="16"/>
      <c r="S32" s="16"/>
      <c r="T32" s="16"/>
      <c r="U32" s="16"/>
      <c r="V32" s="16"/>
      <c r="W32" s="16"/>
      <c r="X32" s="16"/>
      <c r="Y32" s="16"/>
      <c r="Z32" s="16"/>
      <c r="AA32" s="16"/>
      <c r="AB32" s="16"/>
      <c r="AC32" s="16"/>
      <c r="AD32" s="16"/>
    </row>
    <row r="33" ht="15.75" customHeight="1" spans="1:30" x14ac:dyDescent="0.25">
      <c r="A33" s="4"/>
      <c r="B33" s="120" t="str">
        <f ca="1">Summary!C20</f>
        <v>Margin</v>
      </c>
      <c r="C33" s="16"/>
      <c r="D33" s="205"/>
      <c r="E33" s="121">
        <f ca="1">Summary!U20</f>
        <v>0.059336364140378114</v>
      </c>
      <c r="F33" s="122">
        <f ca="1">Summary!V20</f>
        <v>0.06512494837996807</v>
      </c>
      <c r="G33" s="121">
        <f ca="1">Summary!W20</f>
        <v>-1.6084228142922035</v>
      </c>
      <c r="H33" s="121">
        <f ca="1">Summary!X20</f>
        <v>-0.08258354630233328</v>
      </c>
      <c r="I33" s="121">
        <f ca="1">Summary!Y20</f>
        <v>-0.07863531547885336</v>
      </c>
      <c r="J33" s="121">
        <f ca="1">Summary!Z20</f>
        <v>-0.08189547762710159</v>
      </c>
      <c r="K33" s="122">
        <f ca="1">Summary!AA20</f>
        <v>-0.08279589211274684</v>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 ca="1">Summary!C21</f>
        <v>YoY % Growth</v>
      </c>
      <c r="C34" s="16"/>
      <c r="D34" s="205"/>
      <c r="E34" s="121">
        <f ca="1">Summary!U21</f>
        <v>0.8500432152117545</v>
      </c>
      <c r="F34" s="122">
        <f ca="1">Summary!V21</f>
        <v>0.362999299229152</v>
      </c>
      <c r="G34" s="121">
        <f ca="1">Summary!W21</f>
        <v>-0.7344316949868288</v>
      </c>
      <c r="H34" s="121">
        <f ca="1">Summary!X21</f>
        <v>-0.8790934861392481</v>
      </c>
      <c r="I34" s="121">
        <f ca="1">Summary!Y21</f>
        <v>-0.028765106613443447</v>
      </c>
      <c r="J34" s="121">
        <f ca="1">Summary!Z21</f>
        <v>0.0622884472576124</v>
      </c>
      <c r="K34" s="122">
        <f ca="1">Summary!AA21</f>
        <v>0.031214572549903785</v>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 ca="1">Summary!C23</f>
        <v>Adj. EPS (Diluted)</v>
      </c>
      <c r="C36" s="16"/>
      <c r="D36" s="205">
        <f ca="1">Summary!T23</f>
        <v>5.194244694132335</v>
      </c>
      <c r="E36" s="116">
        <f ca="1">Summary!U23</f>
        <v>5.579900124843945</v>
      </c>
      <c r="F36" s="117">
        <f ca="1">Summary!V23</f>
        <v>8.875826666666669</v>
      </c>
      <c r="G36" s="116">
        <f ca="1">Summary!W23</f>
        <v>-102.92904503921115</v>
      </c>
      <c r="H36" s="116">
        <f ca="1">Summary!X23</f>
        <v>-12.984675115760767</v>
      </c>
      <c r="I36" s="116">
        <f ca="1">Summary!Y23</f>
        <v>-12.816468595195266</v>
      </c>
      <c r="J36" s="116">
        <f ca="1">Summary!Z23</f>
        <v>-13.886050132764892</v>
      </c>
      <c r="K36" s="117">
        <f ca="1">Summary!AA23</f>
        <v>-14.610601672926913</v>
      </c>
      <c r="L36" s="116"/>
      <c r="M36" s="119">
        <f ca="1">Summary!AC23</f>
        <v>0.30720350543331</v>
      </c>
      <c r="N36" s="207"/>
      <c r="O36" s="119" t="str">
        <f ca="1">Summary!AE23</f>
        <v>N/A</v>
      </c>
      <c r="P36" s="4"/>
      <c r="Q36" s="4"/>
      <c r="R36" s="16"/>
      <c r="S36" s="16"/>
      <c r="T36" s="16"/>
      <c r="U36" s="16"/>
      <c r="V36" s="16"/>
      <c r="W36" s="16"/>
      <c r="X36" s="16"/>
      <c r="Y36" s="16"/>
      <c r="Z36" s="16"/>
      <c r="AA36" s="16"/>
      <c r="AB36" s="16"/>
      <c r="AC36" s="16"/>
      <c r="AD36" s="16"/>
    </row>
    <row r="37" ht="15.75" customHeight="1" spans="1:30" x14ac:dyDescent="0.25">
      <c r="A37" s="4"/>
      <c r="B37" s="120" t="str">
        <f ca="1">Summary!C24</f>
        <v>YoY % Growth</v>
      </c>
      <c r="C37" s="16"/>
      <c r="D37" s="205"/>
      <c r="E37" s="121">
        <f ca="1">Summary!U24</f>
        <v>0.07424668136009549</v>
      </c>
      <c r="F37" s="122">
        <f ca="1">Summary!V24</f>
        <v>0.5906784114554204</v>
      </c>
      <c r="G37" s="121" t="str">
        <f ca="1">Summary!W24</f>
        <v>NA</v>
      </c>
      <c r="H37" s="121" t="str">
        <f ca="1">Summary!X24</f>
        <v>NA</v>
      </c>
      <c r="I37" s="121" t="str">
        <f ca="1">Summary!Y24</f>
        <v>NA</v>
      </c>
      <c r="J37" s="121" t="str">
        <f ca="1">Summary!Z24</f>
        <v>NA</v>
      </c>
      <c r="K37" s="122" t="str">
        <f ca="1">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 ca="1">Model!J112</f>
        <v>3799</v>
      </c>
      <c r="E39" s="116">
        <f ca="1">Model!O112</f>
        <v>2821</v>
      </c>
      <c r="F39" s="117">
        <f ca="1">Model!T112</f>
        <v>5715</v>
      </c>
      <c r="G39" s="116">
        <f ca="1">Model!Y112</f>
        <v>-28861.606406478266</v>
      </c>
      <c r="H39" s="116">
        <f ca="1">Model!AD112</f>
        <v>-10302.481718451776</v>
      </c>
      <c r="I39" s="116">
        <f ca="1">Model!AE112</f>
        <v>-8706.461929552856</v>
      </c>
      <c r="J39" s="116">
        <f ca="1">Model!AF112</f>
        <v>-9826.821872056396</v>
      </c>
      <c r="K39" s="117">
        <f ca="1">Model!AG112</f>
        <v>-10204.03858521899</v>
      </c>
      <c r="L39" s="4"/>
      <c r="M39" s="119">
        <f ca="1">IFERROR((F39/D39)^(1/2)-1,"N/A")</f>
        <v>0.22651671338927004</v>
      </c>
      <c r="N39" s="4"/>
      <c r="O39" s="119" t="str">
        <f ca="1">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 ca="1">E39/D39-1</f>
        <v>-0.257436167412477</v>
      </c>
      <c r="F40" s="122">
        <f ca="1">F39/E39-1</f>
        <v>1.0258773484579935</v>
      </c>
      <c r="G40" s="121">
        <f ca="1">G39/F39-1</f>
        <v>-0.8964528039548154</v>
      </c>
      <c r="H40" s="121">
        <f ca="1">H39/G39-1</f>
        <v>-0.6430385206784857</v>
      </c>
      <c r="I40" s="121">
        <f ca="1">I39/H39-1</f>
        <v>-0.15491605154129462</v>
      </c>
      <c r="J40" s="121">
        <f ca="1">J39/I39-1</f>
        <v>0.1286814266884504</v>
      </c>
      <c r="K40" s="122">
        <f ca="1">K39/J39-1</f>
        <v>0.03838644050679796</v>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 ca="1">E19</f>
        <v>2024</v>
      </c>
      <c r="F43" s="201">
        <f ca="1">F19</f>
        <v>2025</v>
      </c>
      <c r="G43" s="201" t="str">
        <f ca="1">G19</f>
        <v>2026e</v>
      </c>
      <c r="H43" s="201" t="str">
        <f ca="1">H19</f>
        <v>2027e</v>
      </c>
      <c r="I43" s="201" t="str">
        <f ca="1">I19</f>
        <v>2028e</v>
      </c>
      <c r="J43" s="201" t="str">
        <f ca="1">J19</f>
        <v>2029e</v>
      </c>
      <c r="K43" s="201" t="str">
        <f ca="1">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 ca="1">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 ca="1">Summary!C92</f>
        <v>Total Debt / EBITDA</v>
      </c>
      <c r="C45" s="4"/>
      <c r="D45" s="205">
        <f ca="1">Summary!T92</f>
        <v>2.111395487898398</v>
      </c>
      <c r="E45" s="156">
        <f ca="1">Summary!U92</f>
        <v>2.236460815248889</v>
      </c>
      <c r="F45" s="157">
        <f ca="1">Summary!V92</f>
        <v>1.9990283613245097</v>
      </c>
      <c r="G45" s="156" t="str">
        <f ca="1">Summary!W92</f>
        <v>NA</v>
      </c>
      <c r="H45" s="156" t="str">
        <f ca="1">Summary!X92</f>
        <v>NA</v>
      </c>
      <c r="I45" s="156" t="str">
        <f ca="1">Summary!Y92</f>
        <v>NA</v>
      </c>
      <c r="J45" s="156" t="str">
        <f ca="1">Summary!Z92</f>
        <v>NA</v>
      </c>
      <c r="K45" s="157" t="str">
        <f ca="1">Summary!AA92</f>
        <v>NA</v>
      </c>
      <c r="L45" s="4"/>
      <c r="M45" s="219">
        <f t="shared" ref="M45:M47" si="3" ca="1">AVERAGE(D45:F45)</f>
        <v>2.115628221490599</v>
      </c>
      <c r="N45" s="207"/>
      <c r="O45" s="219">
        <f ca="1">AVERAGE(G45:K45)</f>
      </c>
      <c r="P45" s="4"/>
      <c r="Q45" s="4"/>
      <c r="R45" s="16"/>
      <c r="S45" s="16"/>
      <c r="T45" s="16"/>
      <c r="U45" s="16"/>
      <c r="V45" s="16"/>
      <c r="W45" s="16"/>
      <c r="X45" s="16"/>
      <c r="Y45" s="16"/>
      <c r="Z45" s="16"/>
      <c r="AA45" s="16"/>
      <c r="AB45" s="16"/>
      <c r="AC45" s="16"/>
      <c r="AD45" s="16"/>
    </row>
    <row r="46" ht="13.5" customHeight="1" spans="1:30" x14ac:dyDescent="0.25">
      <c r="A46" s="4"/>
      <c r="B46" s="139" t="str">
        <f ca="1">Summary!C93</f>
        <v>Total Debt / Equity</v>
      </c>
      <c r="C46" s="4"/>
      <c r="D46" s="205">
        <f ca="1">Summary!T93</f>
        <v>4.25384193194292</v>
      </c>
      <c r="E46" s="156">
        <f ca="1">Summary!U93</f>
        <v>8.80578093306288</v>
      </c>
      <c r="F46" s="157">
        <f ca="1">Summary!V93</f>
        <v>18.24008350730689</v>
      </c>
      <c r="G46" s="156" t="str">
        <f ca="1">Summary!W93</f>
        <v>NA</v>
      </c>
      <c r="H46" s="156" t="str">
        <f ca="1">Summary!X93</f>
        <v>NA</v>
      </c>
      <c r="I46" s="156" t="str">
        <f ca="1">Summary!Y93</f>
        <v>NA</v>
      </c>
      <c r="J46" s="156" t="str">
        <f ca="1">Summary!Z93</f>
        <v>NA</v>
      </c>
      <c r="K46" s="157" t="str">
        <f ca="1">Summary!AA93</f>
        <v>NA</v>
      </c>
      <c r="L46" s="4"/>
      <c r="M46" s="220">
        <f ca="1">AVERAGE(D46:F46)</f>
        <v>10.433235457437563</v>
      </c>
      <c r="N46" s="207"/>
      <c r="O46" s="220">
        <f ca="1">AVERAGE(G46:K46)</f>
      </c>
      <c r="P46" s="4"/>
      <c r="Q46" s="4"/>
      <c r="R46" s="16"/>
      <c r="S46" s="16"/>
      <c r="T46" s="16"/>
      <c r="U46" s="16"/>
      <c r="V46" s="16"/>
      <c r="W46" s="16"/>
      <c r="X46" s="16"/>
      <c r="Y46" s="16"/>
      <c r="Z46" s="16"/>
      <c r="AA46" s="16"/>
      <c r="AB46" s="16"/>
      <c r="AC46" s="16"/>
      <c r="AD46" s="16"/>
    </row>
    <row r="47" ht="13.5" customHeight="1" spans="1:30" x14ac:dyDescent="0.25">
      <c r="A47" s="4"/>
      <c r="B47" s="139" t="str">
        <f ca="1">Summary!C94</f>
        <v>Total Debt / Total Assets</v>
      </c>
      <c r="C47" s="4"/>
      <c r="D47" s="205">
        <f ca="1">Summary!T94</f>
        <v>0.4492001854642402</v>
      </c>
      <c r="E47" s="156">
        <f ca="1">Summary!U94</f>
        <v>0.4399432494742976</v>
      </c>
      <c r="F47" s="157">
        <f ca="1">Summary!V94</f>
        <v>0.5608430512463892</v>
      </c>
      <c r="G47" s="156" t="str">
        <f ca="1">Summary!W94</f>
        <v>NA</v>
      </c>
      <c r="H47" s="156" t="str">
        <f ca="1">Summary!X94</f>
        <v>NA</v>
      </c>
      <c r="I47" s="156" t="str">
        <f ca="1">Summary!Y94</f>
        <v>NA</v>
      </c>
      <c r="J47" s="156" t="str">
        <f ca="1">Summary!Z94</f>
        <v>NA</v>
      </c>
      <c r="K47" s="157" t="str">
        <f ca="1">Summary!AA94</f>
        <v>NA</v>
      </c>
      <c r="L47" s="4"/>
      <c r="M47" s="220">
        <f ca="1">AVERAGE(D47:F47)</f>
        <v>0.483328828728309</v>
      </c>
      <c r="N47" s="207"/>
      <c r="O47" s="220">
        <f ca="1">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 ca="1">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 ca="1">Summary!C104</f>
        <v>Current Ratio</v>
      </c>
      <c r="C50" s="4"/>
      <c r="D50" s="205">
        <f ca="1">Summary!T104</f>
        <v>1.0628221408829461</v>
      </c>
      <c r="E50" s="156">
        <f ca="1">Summary!U104</f>
        <v>1.0502571134727459</v>
      </c>
      <c r="F50" s="157">
        <f ca="1">Summary!V104</f>
        <v>1.320361937429771</v>
      </c>
      <c r="G50" s="156" t="str">
        <f ca="1">Summary!W104</f>
        <v>NA</v>
      </c>
      <c r="H50" s="156" t="str">
        <f ca="1">Summary!X104</f>
        <v>NA</v>
      </c>
      <c r="I50" s="156" t="str">
        <f ca="1">Summary!Y104</f>
        <v>NA</v>
      </c>
      <c r="J50" s="156" t="str">
        <f ca="1">Summary!Z104</f>
        <v>NA</v>
      </c>
      <c r="K50" s="157" t="str">
        <f ca="1">Summary!AA104</f>
        <v>NA</v>
      </c>
      <c r="L50" s="4"/>
      <c r="M50" s="220">
        <f t="shared" ref="M50:M52" si="4" ca="1">AVERAGE(D50:F50)</f>
        <v>1.1444803972618212</v>
      </c>
      <c r="N50" s="207"/>
      <c r="O50" s="220">
        <f ca="1">AVERAGE(G50:K50)</f>
      </c>
      <c r="P50" s="4"/>
      <c r="Q50" s="4"/>
      <c r="R50" s="16"/>
      <c r="S50" s="16"/>
      <c r="T50" s="16"/>
      <c r="U50" s="16"/>
      <c r="V50" s="16"/>
      <c r="W50" s="16"/>
      <c r="X50" s="16"/>
      <c r="Y50" s="16"/>
      <c r="Z50" s="16"/>
      <c r="AA50" s="16"/>
      <c r="AB50" s="16"/>
      <c r="AC50" s="16"/>
      <c r="AD50" s="16"/>
    </row>
    <row r="51" ht="13.5" customHeight="1" spans="1:30" x14ac:dyDescent="0.25">
      <c r="A51" s="4"/>
      <c r="B51" s="139" t="str">
        <f ca="1">Summary!C105</f>
        <v>Quick Ratio</v>
      </c>
      <c r="C51" s="4"/>
      <c r="D51" s="205">
        <f ca="1">Summary!T105</f>
        <v>0.054455815343243445</v>
      </c>
      <c r="E51" s="156">
        <f ca="1">Summary!U105</f>
        <v>0.060061707233459036</v>
      </c>
      <c r="F51" s="157">
        <f ca="1">Summary!V105</f>
        <v>0.307291974688036</v>
      </c>
      <c r="G51" s="156" t="str">
        <f ca="1">Summary!W105</f>
        <v>NA</v>
      </c>
      <c r="H51" s="156" t="str">
        <f ca="1">Summary!X105</f>
        <v>NA</v>
      </c>
      <c r="I51" s="156" t="str">
        <f ca="1">Summary!Y105</f>
        <v>NA</v>
      </c>
      <c r="J51" s="156" t="str">
        <f ca="1">Summary!Z105</f>
        <v>NA</v>
      </c>
      <c r="K51" s="157" t="str">
        <f ca="1">Summary!AA105</f>
        <v>NA</v>
      </c>
      <c r="L51" s="4"/>
      <c r="M51" s="220">
        <f ca="1">AVERAGE(D51:F51)</f>
        <v>0.14060316575491283</v>
      </c>
      <c r="N51" s="207"/>
      <c r="O51" s="220">
        <f ca="1">AVERAGE(G51:K51)</f>
      </c>
      <c r="P51" s="4"/>
      <c r="Q51" s="4"/>
      <c r="R51" s="16"/>
      <c r="S51" s="16"/>
      <c r="T51" s="16"/>
      <c r="U51" s="16"/>
      <c r="V51" s="16"/>
      <c r="W51" s="16"/>
      <c r="X51" s="16"/>
      <c r="Y51" s="16"/>
      <c r="Z51" s="16"/>
      <c r="AA51" s="16"/>
      <c r="AB51" s="16"/>
      <c r="AC51" s="16"/>
      <c r="AD51" s="16"/>
    </row>
    <row r="52" ht="13.5" customHeight="1" spans="1:30" x14ac:dyDescent="0.25">
      <c r="A52" s="4"/>
      <c r="B52" s="139" t="str">
        <f ca="1">Summary!C106</f>
        <v>Cash Ratio</v>
      </c>
      <c r="C52" s="4"/>
      <c r="D52" s="205">
        <f ca="1">Summary!T106</f>
        <v>0.054455815343243445</v>
      </c>
      <c r="E52" s="156">
        <f ca="1">Summary!U106</f>
        <v>0.060061707233459036</v>
      </c>
      <c r="F52" s="157">
        <f ca="1">Summary!V106</f>
        <v>0.307291974688036</v>
      </c>
      <c r="G52" s="156" t="str">
        <f ca="1">Summary!W106</f>
        <v>NA</v>
      </c>
      <c r="H52" s="156" t="str">
        <f ca="1">Summary!X106</f>
        <v>NA</v>
      </c>
      <c r="I52" s="156" t="str">
        <f ca="1">Summary!Y106</f>
        <v>NA</v>
      </c>
      <c r="J52" s="156" t="str">
        <f ca="1">Summary!Z106</f>
        <v>NA</v>
      </c>
      <c r="K52" s="157" t="str">
        <f ca="1">Summary!AA106</f>
        <v>NA</v>
      </c>
      <c r="L52" s="4"/>
      <c r="M52" s="220">
        <f ca="1">AVERAGE(D52:F52)</f>
        <v>0.14060316575491283</v>
      </c>
      <c r="N52" s="207"/>
      <c r="O52" s="220">
        <f ca="1">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 ca="1">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 ca="1">Summary!C80</f>
        <v>Return on Assets (ROA)</v>
      </c>
      <c r="C55" s="4"/>
      <c r="D55" s="205">
        <f ca="1">Summary!T80</f>
        <v>0.06705691433870407</v>
      </c>
      <c r="E55" s="153">
        <f ca="1">Summary!U80</f>
        <v>0.10845937523751616</v>
      </c>
      <c r="F55" s="154">
        <f ca="1">Summary!V80</f>
        <v>0.12485289397667701</v>
      </c>
      <c r="G55" s="153">
        <f ca="1">Summary!W80</f>
        <v>-1.4403363991184643</v>
      </c>
      <c r="H55" s="153">
        <f ca="1">Summary!X80</f>
        <v>-0.17016374256643998</v>
      </c>
      <c r="I55" s="153">
        <f ca="1">Summary!Y80</f>
        <v>-0.16885558150338725</v>
      </c>
      <c r="J55" s="153">
        <f ca="1">Summary!Z80</f>
        <v>-0.1748852918509416</v>
      </c>
      <c r="K55" s="154">
        <f ca="1">Summary!AA80</f>
        <v>-0.17541249204851583</v>
      </c>
      <c r="L55" s="4"/>
      <c r="M55" s="119">
        <f t="shared" ref="M55:M57" si="5" ca="1">AVERAGE(D55:F55)</f>
        <v>0.10012306118429908</v>
      </c>
      <c r="N55" s="207"/>
      <c r="O55" s="119">
        <f ca="1">AVERAGE(G55:K55)</f>
      </c>
      <c r="P55" s="4"/>
      <c r="Q55" s="4"/>
      <c r="R55" s="16"/>
      <c r="S55" s="16"/>
      <c r="T55" s="16"/>
      <c r="U55" s="16"/>
      <c r="V55" s="16"/>
      <c r="W55" s="16"/>
      <c r="X55" s="16"/>
      <c r="Y55" s="16"/>
      <c r="Z55" s="16"/>
      <c r="AA55" s="16"/>
      <c r="AB55" s="16"/>
      <c r="AC55" s="16"/>
      <c r="AD55" s="16"/>
    </row>
    <row r="56" ht="13.5" customHeight="1" spans="1:30" x14ac:dyDescent="0.25">
      <c r="A56" s="4"/>
      <c r="B56" s="139" t="str">
        <f ca="1">Summary!C81</f>
        <v>Return on Equity (ROE)</v>
      </c>
      <c r="C56" s="4"/>
      <c r="D56" s="205">
        <f ca="1">Summary!T81</f>
        <v>0.6350164654226125</v>
      </c>
      <c r="E56" s="153">
        <f ca="1">Summary!U81</f>
        <v>2.170892494929006</v>
      </c>
      <c r="F56" s="154">
        <f ca="1">Summary!V81</f>
        <v>4.060542797494781</v>
      </c>
      <c r="G56" s="153">
        <f ca="1">Summary!W81</f>
        <v>10.497075515504504</v>
      </c>
      <c r="H56" s="153">
        <f ca="1">Summary!X81</f>
        <v>0.38985697526920676</v>
      </c>
      <c r="I56" s="153">
        <f ca="1">Summary!Y81</f>
        <v>0.21653020831182743</v>
      </c>
      <c r="J56" s="153">
        <f ca="1">Summary!Z81</f>
        <v>0.15802111002399216</v>
      </c>
      <c r="K56" s="154">
        <f ca="1">Summary!AA81</f>
        <v>0.12265881833822354</v>
      </c>
      <c r="L56" s="4"/>
      <c r="M56" s="119">
        <f ca="1">AVERAGE(D56:F56)</f>
        <v>2.2888172526154666</v>
      </c>
      <c r="N56" s="207"/>
      <c r="O56" s="119">
        <f ca="1">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 ca="1">Summary!T82</f>
        <v>0.12086706711935231</v>
      </c>
      <c r="E57" s="153">
        <f ca="1">Summary!U82</f>
        <v>0.22138904690489736</v>
      </c>
      <c r="F57" s="154">
        <f ca="1">Summary!V82</f>
        <v>0.21104600694444445</v>
      </c>
      <c r="G57" s="153">
        <f ca="1">Summary!W82</f>
        <v>-4.018969858909716</v>
      </c>
      <c r="H57" s="153">
        <f ca="1">Summary!X82</f>
        <v>-2.5281036330105975</v>
      </c>
      <c r="I57" s="153">
        <f ca="1">Summary!Y82</f>
        <v>-0.8678918289012744</v>
      </c>
      <c r="J57" s="153">
        <f ca="1">Summary!Z82</f>
        <v>-0.9829670028732715</v>
      </c>
      <c r="K57" s="154">
        <f ca="1">Summary!AA82</f>
        <v>-0.8990069850199862</v>
      </c>
      <c r="L57" s="4"/>
      <c r="M57" s="119">
        <f ca="1">AVERAGE(D57:F57)</f>
        <v>0.18443404032289804</v>
      </c>
      <c r="N57" s="207"/>
      <c r="O57" s="119">
        <f ca="1">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 ca="1">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 ca="1">Summary!T85</f>
        <v>624</v>
      </c>
      <c r="E60" s="116">
        <f ca="1">Summary!U85</f>
        <v>691</v>
      </c>
      <c r="F60" s="117">
        <f ca="1">Summary!V85</f>
        <v>849</v>
      </c>
      <c r="G60" s="116">
        <f ca="1">Summary!W85</f>
        <v>673.976675</v>
      </c>
      <c r="H60" s="116">
        <f ca="1">Summary!X85</f>
        <v>895.1488714037838</v>
      </c>
      <c r="I60" s="116">
        <f ca="1">Summary!Y85</f>
        <v>1528.2512641305166</v>
      </c>
      <c r="J60" s="116">
        <f ca="1">Summary!Z85</f>
        <v>2552.0115883159397</v>
      </c>
      <c r="K60" s="117">
        <f ca="1">Summary!AA85</f>
        <v>3494.9147688145877</v>
      </c>
      <c r="L60" s="4"/>
      <c r="M60" s="221">
        <f t="shared" ref="M60:M64" si="6" ca="1">AVERAGE(D60:F60)</f>
        <v>721.3333333333334</v>
      </c>
      <c r="N60" s="116"/>
      <c r="O60" s="221">
        <f ca="1">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 ca="1">Summary!T86</f>
        <v>1174</v>
      </c>
      <c r="E61" s="136">
        <f ca="1">Summary!U86</f>
        <v>1484</v>
      </c>
      <c r="F61" s="137">
        <f ca="1">Summary!V86</f>
        <v>1729</v>
      </c>
      <c r="G61" s="136">
        <f ca="1">Summary!W86</f>
        <v>1626.1257</v>
      </c>
      <c r="H61" s="136">
        <f ca="1">Summary!X86</f>
        <v>2115.30265349424</v>
      </c>
      <c r="I61" s="136">
        <f ca="1">Summary!Y86</f>
        <v>2146.8311554730876</v>
      </c>
      <c r="J61" s="136">
        <f ca="1">Summary!Z86</f>
        <v>2189.7677785825495</v>
      </c>
      <c r="K61" s="137">
        <f ca="1">Summary!AA86</f>
        <v>2345.2412908619103</v>
      </c>
      <c r="L61" s="4"/>
      <c r="M61" s="222">
        <f ca="1">AVERAGE(D61:F61)</f>
        <v>1462.3333333333333</v>
      </c>
      <c r="N61" s="136"/>
      <c r="O61" s="222">
        <f ca="1">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 ca="1">Summary!T87</f>
        <v>6.439102564102564</v>
      </c>
      <c r="E62" s="156">
        <f ca="1">Summary!U87</f>
        <v>9.137481910274964</v>
      </c>
      <c r="F62" s="157">
        <f ca="1">Summary!V87</f>
        <v>12.829210836277975</v>
      </c>
      <c r="G62" s="156" t="str">
        <f ca="1">Summary!W87</f>
        <v>N/A</v>
      </c>
      <c r="H62" s="156" t="str">
        <f ca="1">Summary!X87</f>
        <v>N/A</v>
      </c>
      <c r="I62" s="156" t="str">
        <f ca="1">Summary!Y87</f>
        <v>N/A</v>
      </c>
      <c r="J62" s="156" t="str">
        <f ca="1">Summary!Z87</f>
        <v>N/A</v>
      </c>
      <c r="K62" s="157" t="str">
        <f ca="1">Summary!AA87</f>
        <v>N/A</v>
      </c>
      <c r="L62" s="4"/>
      <c r="M62" s="220">
        <f ca="1">AVERAGE(D62:F62)</f>
        <v>9.468598436885168</v>
      </c>
      <c r="N62" s="156"/>
      <c r="O62" s="220">
        <f ca="1">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 ca="1">Summary!T88</f>
        <v>11.76536858974359</v>
      </c>
      <c r="E63" s="156">
        <f ca="1">Summary!U88</f>
        <v>11.236613603473227</v>
      </c>
      <c r="F63" s="157">
        <f ca="1">Summary!V88</f>
        <v>15.44389870435807</v>
      </c>
      <c r="G63" s="156" t="str">
        <f ca="1">Summary!W88</f>
        <v>N/A</v>
      </c>
      <c r="H63" s="156" t="str">
        <f ca="1">Summary!X88</f>
        <v>N/A</v>
      </c>
      <c r="I63" s="156" t="str">
        <f ca="1">Summary!Y88</f>
        <v>N/A</v>
      </c>
      <c r="J63" s="156" t="str">
        <f ca="1">Summary!Z88</f>
        <v>N/A</v>
      </c>
      <c r="K63" s="157" t="str">
        <f ca="1">Summary!AA88</f>
        <v>N/A</v>
      </c>
      <c r="L63" s="4"/>
      <c r="M63" s="220">
        <f ca="1">AVERAGE(D63:F63)</f>
        <v>12.815293632524963</v>
      </c>
      <c r="N63" s="156"/>
      <c r="O63" s="220">
        <f ca="1">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 ca="1">Summary!T89</f>
        <v>9.883958333333334</v>
      </c>
      <c r="E64" s="156">
        <f ca="1">Summary!U89</f>
        <v>9.089001447178003</v>
      </c>
      <c r="F64" s="157">
        <f ca="1">Summary!V89</f>
        <v>13.407385159010602</v>
      </c>
      <c r="G64" s="156" t="str">
        <f ca="1">Summary!W89</f>
        <v>N/A</v>
      </c>
      <c r="H64" s="156" t="str">
        <f ca="1">Summary!X89</f>
        <v>N/A</v>
      </c>
      <c r="I64" s="156" t="str">
        <f ca="1">Summary!Y89</f>
        <v>N/A</v>
      </c>
      <c r="J64" s="156" t="str">
        <f ca="1">Summary!Z89</f>
        <v>N/A</v>
      </c>
      <c r="K64" s="157" t="str">
        <f ca="1">Summary!AA89</f>
        <v>N/A</v>
      </c>
      <c r="L64" s="4"/>
      <c r="M64" s="220">
        <f ca="1">AVERAGE(D64:F64)</f>
        <v>10.79344831317398</v>
      </c>
      <c r="N64" s="156"/>
      <c r="O64" s="220">
        <f ca="1">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 ca="1">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 ca="1">Summary!C97</f>
        <v>Asset Turnover</v>
      </c>
      <c r="C67" s="16"/>
      <c r="D67" s="205">
        <f ca="1">Summary!T97</f>
        <v>2.066448359800626</v>
      </c>
      <c r="E67" s="160">
        <f ca="1">Summary!U97</f>
        <v>1.8278736287400876</v>
      </c>
      <c r="F67" s="161">
        <f ca="1">Summary!V97</f>
        <v>1.9171284904247352</v>
      </c>
      <c r="G67" s="160">
        <f ca="1">Summary!W97</f>
        <v>0.895496125968776</v>
      </c>
      <c r="H67" s="160">
        <f ca="1">Summary!X97</f>
        <v>2.0605041825581214</v>
      </c>
      <c r="I67" s="160">
        <f ca="1">Summary!Y97</f>
        <v>2.147325034243628</v>
      </c>
      <c r="J67" s="160">
        <f ca="1">Summary!Z97</f>
        <v>2.1354694656920468</v>
      </c>
      <c r="K67" s="161">
        <f ca="1">Summary!AA97</f>
        <v>2.1186134670745362</v>
      </c>
      <c r="L67" s="4"/>
      <c r="M67" s="220">
        <f t="shared" ref="M67:M71" si="7" ca="1">AVERAGE(D67:F67)</f>
        <v>1.9371501596551497</v>
      </c>
      <c r="N67" s="160"/>
      <c r="O67" s="220">
        <f ca="1">AVERAGE(G67:K67)</f>
      </c>
      <c r="P67" s="4"/>
      <c r="Q67" s="4"/>
      <c r="R67" s="16"/>
      <c r="S67" s="16"/>
      <c r="T67" s="16"/>
      <c r="U67" s="16"/>
      <c r="V67" s="16"/>
      <c r="W67" s="16"/>
      <c r="X67" s="16"/>
      <c r="Y67" s="16"/>
      <c r="Z67" s="16"/>
      <c r="AA67" s="16"/>
      <c r="AB67" s="16"/>
      <c r="AC67" s="16"/>
      <c r="AD67" s="16"/>
    </row>
    <row r="68" ht="13.5" customHeight="1" spans="1:30" x14ac:dyDescent="0.25">
      <c r="A68" s="4"/>
      <c r="B68" s="139" t="str">
        <f ca="1">Summary!C98</f>
        <v>Days Sales Outstanding</v>
      </c>
      <c r="C68" s="4"/>
      <c r="D68" s="205">
        <f ca="1">Summary!T98</f>
        <v>1e-12</v>
      </c>
      <c r="E68" s="162">
        <f ca="1">Summary!U98</f>
        <v>1e-12</v>
      </c>
      <c r="F68" s="163">
        <f ca="1">Summary!V98</f>
        <v>1e-12</v>
      </c>
      <c r="G68" s="162">
        <f ca="1">Summary!W98</f>
        <v>1e-12</v>
      </c>
      <c r="H68" s="162">
        <f ca="1">Summary!X98</f>
        <v>1e-12</v>
      </c>
      <c r="I68" s="162">
        <f ca="1">Summary!Y98</f>
        <v>1e-12</v>
      </c>
      <c r="J68" s="162">
        <f ca="1">Summary!Z98</f>
        <v>1e-12</v>
      </c>
      <c r="K68" s="163">
        <f ca="1">Summary!AA98</f>
        <v>1e-12</v>
      </c>
      <c r="L68" s="4"/>
      <c r="M68" s="223">
        <f ca="1">AVERAGE(D68:F68)</f>
      </c>
      <c r="N68" s="162"/>
      <c r="O68" s="223">
        <f ca="1">AVERAGE(G68:K68)</f>
      </c>
      <c r="P68" s="4"/>
      <c r="Q68" s="4"/>
      <c r="R68" s="16"/>
      <c r="S68" s="16"/>
      <c r="T68" s="16"/>
      <c r="U68" s="16"/>
      <c r="V68" s="16"/>
      <c r="W68" s="16"/>
      <c r="X68" s="16"/>
      <c r="Y68" s="16"/>
      <c r="Z68" s="16"/>
      <c r="AA68" s="16"/>
      <c r="AB68" s="16"/>
      <c r="AC68" s="16"/>
      <c r="AD68" s="16"/>
    </row>
    <row r="69" ht="13.5" customHeight="1" spans="1:30" x14ac:dyDescent="0.25">
      <c r="A69" s="4"/>
      <c r="B69" s="139" t="str">
        <f ca="1">Summary!C99</f>
        <v>Days Inventory Outstanding</v>
      </c>
      <c r="C69" s="4"/>
      <c r="D69" s="205">
        <f ca="1">Summary!T99</f>
        <v>94.5511972893122</v>
      </c>
      <c r="E69" s="162">
        <f ca="1">Summary!U99</f>
        <v>95.46895640686921</v>
      </c>
      <c r="F69" s="163">
        <f ca="1">Summary!V99</f>
        <v>89.31899223514513</v>
      </c>
      <c r="G69" s="162">
        <f ca="1">Summary!W99</f>
        <v>92.07624734938022</v>
      </c>
      <c r="H69" s="162">
        <f ca="1">Summary!X99</f>
        <v>78.93300806770992</v>
      </c>
      <c r="I69" s="162">
        <f ca="1">Summary!Y99</f>
        <v>84</v>
      </c>
      <c r="J69" s="162">
        <f ca="1">Summary!Z99</f>
        <v>84</v>
      </c>
      <c r="K69" s="163">
        <f ca="1">Summary!AA99</f>
        <v>84</v>
      </c>
      <c r="L69" s="4"/>
      <c r="M69" s="223">
        <f ca="1">AVERAGE(D69:F69)</f>
        <v>93.11304864377551</v>
      </c>
      <c r="N69" s="162"/>
      <c r="O69" s="223">
        <f ca="1">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 ca="1">Summary!C100</f>
        <v>Days Payables Outstanding</v>
      </c>
      <c r="C70" s="4"/>
      <c r="D70" s="205">
        <f ca="1">Summary!T100</f>
        <v>69.28524204045371</v>
      </c>
      <c r="E70" s="162">
        <f ca="1">Summary!U100</f>
        <v>59.11360634081902</v>
      </c>
      <c r="F70" s="163">
        <f ca="1">Summary!V100</f>
        <v>56.38846769087213</v>
      </c>
      <c r="G70" s="162">
        <f ca="1">Summary!W100</f>
        <v>58.889473853616515</v>
      </c>
      <c r="H70" s="162">
        <f ca="1">Summary!X100</f>
        <v>48.236838263600504</v>
      </c>
      <c r="I70" s="162">
        <f ca="1">Summary!Y100</f>
        <v>54</v>
      </c>
      <c r="J70" s="162">
        <f ca="1">Summary!Z100</f>
        <v>54</v>
      </c>
      <c r="K70" s="163">
        <f ca="1">Summary!AA100</f>
        <v>54</v>
      </c>
      <c r="L70" s="4"/>
      <c r="M70" s="223">
        <f ca="1">AVERAGE(D70:F70)</f>
        <v>61.59577202404828</v>
      </c>
      <c r="N70" s="162"/>
      <c r="O70" s="223">
        <f ca="1">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 ca="1">Summary!C101</f>
        <v>Cash Conversion Cycle</v>
      </c>
      <c r="C71" s="4"/>
      <c r="D71" s="205">
        <f ca="1">Summary!T101</f>
        <v>25.26595524885849</v>
      </c>
      <c r="E71" s="162">
        <f ca="1">Summary!U101</f>
        <v>36.35535006605019</v>
      </c>
      <c r="F71" s="163">
        <f ca="1">Summary!V101</f>
        <v>32.930524544273</v>
      </c>
      <c r="G71" s="162">
        <f ca="1">Summary!W101</f>
        <v>33.18677349576371</v>
      </c>
      <c r="H71" s="162">
        <f ca="1">Summary!X101</f>
        <v>30.696169804109417</v>
      </c>
      <c r="I71" s="162">
        <f ca="1">Summary!Y101</f>
        <v>30</v>
      </c>
      <c r="J71" s="162">
        <f ca="1">Summary!Z101</f>
        <v>30</v>
      </c>
      <c r="K71" s="163">
        <f ca="1">Summary!AA101</f>
        <v>30</v>
      </c>
      <c r="L71" s="4"/>
      <c r="M71" s="224">
        <f ca="1">AVERAGE(D71:F71)</f>
        <v>31.517276619727227</v>
      </c>
      <c r="N71" s="162"/>
      <c r="O71" s="224">
        <f ca="1">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 ca="1">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 ca="1">TEXT(Valuation!E108,"0.0%")&amp;" - "&amp;TEXT(Valuation!E110,"0.0%")&amp;" WACC"&amp;" &amp; "&amp;TEXT(Valuation!G106,"0.0%")&amp;" - "&amp;TEXT(Valuation!I106,"0.0%")&amp;" PGR"</f>
        <v>8.4% - 9.4% WACC &amp; 1.5% - 2.5% PGR</v>
      </c>
      <c r="P5" s="16"/>
      <c r="Q5" s="16"/>
      <c r="R5" s="16"/>
      <c r="S5" s="16"/>
      <c r="T5" s="231">
        <f ca="1">Valuation!G108</f>
        <v>195.04954830416227</v>
      </c>
      <c r="U5" s="232">
        <f t="shared" ref="U5:U6" si="0" ca="1">V5-T5</f>
        <v>20.38591593197205</v>
      </c>
      <c r="V5" s="231">
        <f ca="1">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 ca="1">TEXT(Valuation!E100,"0.0%")&amp;" - "&amp;TEXT(Valuation!E102,"0.0%")&amp;" WACC"&amp;" &amp; "&amp;TEXT(Valuation!G98,"0.0x")&amp;" - "&amp;TEXT(Valuation!I98,"0.0x")&amp;" Exit Multiple"</f>
        <v>8.4% - 9.4% WACC &amp; 12.0x - 14.0x Exit Multiple</v>
      </c>
      <c r="P6" s="16"/>
      <c r="Q6" s="16"/>
      <c r="R6" s="16"/>
      <c r="S6" s="16"/>
      <c r="T6" s="59">
        <f ca="1">Valuation!G100</f>
        <v>250.7826183405888</v>
      </c>
      <c r="U6" s="143">
        <f ca="1">V6-T6</f>
        <v>27.264040885164633</v>
      </c>
      <c r="V6" s="59">
        <f ca="1">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 ca="1">Valuation!F184&amp;": "&amp;TEXT(Valuation!G185,"0.0x")&amp;" - "&amp;TEXT(Valuation!I185,"0.0x")</f>
        <v>NTM EV/EBITDA Spread to Comps: 12.0x - 14.0x</v>
      </c>
      <c r="P8" s="16"/>
      <c r="Q8" s="16"/>
      <c r="R8" s="16"/>
      <c r="S8" s="16"/>
      <c r="T8" s="59">
        <f ca="1">Valuation!G187</f>
        <v>209.23348011234188</v>
      </c>
      <c r="U8" s="143">
        <f t="shared" ref="U8:U11" si="1" ca="1">V8-T8</f>
        <v>100.49024724596924</v>
      </c>
      <c r="V8" s="59">
        <f ca="1">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 ca="1">Valuation!F176&amp;": "&amp;TEXT(Valuation!G177,"0.0x")&amp;" - "&amp;TEXT(Valuation!I177,"0.0x")</f>
        <v>NTM EV/EBITDA: 11.4x - 13.4x</v>
      </c>
      <c r="P9" s="16"/>
      <c r="Q9" s="16"/>
      <c r="R9" s="16"/>
      <c r="S9" s="16"/>
      <c r="T9" s="59">
        <f ca="1">Valuation!G179</f>
        <v>197.97413940238593</v>
      </c>
      <c r="U9" s="143">
        <f ca="1">V9-T9</f>
        <v>97.98817153264574</v>
      </c>
      <c r="V9" s="59">
        <f ca="1">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 ca="1">Valuation!F168&amp;": "&amp;TEXT(Valuation!G169,"0.0x")&amp;" - "&amp;TEXT(Valuation!I169,"0.0x")</f>
        <v>NTM P/E Spread to Comps: 18.3x - 20.3x</v>
      </c>
      <c r="P10" s="16"/>
      <c r="Q10" s="16"/>
      <c r="R10" s="16"/>
      <c r="S10" s="16"/>
      <c r="T10" s="59">
        <f ca="1">Valuation!G171</f>
        <v>241.42389782472316</v>
      </c>
      <c r="U10" s="143">
        <f ca="1">V10-T10</f>
        <v>85.92656726380312</v>
      </c>
      <c r="V10" s="59">
        <f ca="1">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 ca="1">Valuation!F160&amp;": "&amp;TEXT(Valuation!G161,"0.0x")&amp;" - "&amp;TEXT(Valuation!I161,"0.0x")</f>
        <v>NTM P/E: 17.8x - 19.8x</v>
      </c>
      <c r="P11" s="16"/>
      <c r="Q11" s="16"/>
      <c r="R11" s="16"/>
      <c r="S11" s="16"/>
      <c r="T11" s="59">
        <f ca="1">Valuation!G163</f>
        <v>234.48845213961636</v>
      </c>
      <c r="U11" s="143">
        <f ca="1">V11-T11</f>
        <v>84.3853571115572</v>
      </c>
      <c r="V11" s="59">
        <f ca="1">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 ca="1">Valuation!F260&amp;": "&amp;TEXT(Valuation!G261,"0.0x")&amp;" - "&amp;TEXT(Valuation!I261,"0.0x")</f>
        <v>2009-2018 Early Cycle EV/EBITDA Spread to Comps: 11.7x - 13.7x</v>
      </c>
      <c r="P13" s="16"/>
      <c r="Q13" s="16"/>
      <c r="R13" s="16"/>
      <c r="S13" s="16"/>
      <c r="T13" s="59">
        <f ca="1">Valuation!G263</f>
        <v>202.21364140726214</v>
      </c>
      <c r="U13" s="143">
        <f t="shared" ref="U13:U16" si="2" ca="1">V13-T13</f>
        <v>39.30033149926629</v>
      </c>
      <c r="V13" s="59">
        <f ca="1">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 ca="1">Valuation!F252&amp;": "&amp;TEXT(Valuation!G253,"0.0x")&amp;" - "&amp;TEXT(Valuation!I253,"0.0x")</f>
        <v>2009-2018 Early Cycle EV/EBITDA: 6.4x - 8.4x</v>
      </c>
      <c r="P14" s="16"/>
      <c r="Q14" s="16"/>
      <c r="R14" s="16"/>
      <c r="S14" s="16"/>
      <c r="T14" s="59">
        <f ca="1">Valuation!G255</f>
        <v>99.10310229774737</v>
      </c>
      <c r="U14" s="143">
        <f ca="1">V14-T14</f>
        <v>39.30033149926635</v>
      </c>
      <c r="V14" s="59">
        <f ca="1">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 ca="1">Valuation!F244&amp;": "&amp;TEXT(Valuation!G245,"0.0x")&amp;" - "&amp;TEXT(Valuation!I245,"0.0x")</f>
        <v>2009-2018 Early Cycle P/E Spread to Comps: 20.2x - 22.2x</v>
      </c>
      <c r="P15" s="16"/>
      <c r="Q15" s="16"/>
      <c r="R15" s="16"/>
      <c r="S15" s="16"/>
      <c r="T15" s="59">
        <f ca="1">Valuation!G247</f>
        <v>267.04260782546874</v>
      </c>
      <c r="U15" s="143">
        <f ca="1">V15-T15</f>
        <v>26.408300884071082</v>
      </c>
      <c r="V15" s="59">
        <f ca="1">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 ca="1">Valuation!F236&amp;": "&amp;TEXT(Valuation!G237,"0.0x")&amp;" - "&amp;TEXT(Valuation!I237,"0.0x")</f>
        <v>2009-2018 Early Cycle P/E: 15.5x - 17.5x</v>
      </c>
      <c r="P16" s="16"/>
      <c r="Q16" s="16"/>
      <c r="R16" s="16"/>
      <c r="S16" s="16"/>
      <c r="T16" s="59">
        <f ca="1">Valuation!G239</f>
        <v>205.30918954876387</v>
      </c>
      <c r="U16" s="143">
        <f ca="1">V16-T16</f>
        <v>26.40830088407111</v>
      </c>
      <c r="V16" s="59">
        <f ca="1">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 ca="1">Share_Price_Low</f>
        <v>146.72</v>
      </c>
      <c r="U18" s="234">
        <f ca="1">V18-T18</f>
        <v>68.5</v>
      </c>
      <c r="V18" s="235">
        <f ca="1">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 ca="1">MEDIAN(T5:T18)</f>
        <v>205.30918954876387</v>
      </c>
      <c r="U19" s="237">
        <f ca="1">MEDIAN(U5:U18)</f>
        <v>39.30033149926635</v>
      </c>
      <c r="V19" s="238">
        <f ca="1">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 ca="1">T19/Share_Price-1</f>
        <v>-0.11952487542343315</v>
      </c>
      <c r="U20" s="121"/>
      <c r="V20" s="121">
        <f ca="1">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 ca="1">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 ca="1">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 ca="1">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 ca="1">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 ca="1">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 ca="1">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 ca="1">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 ca="1">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 ca="1">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 ca="1">'Revenue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 ca="1">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 ca="1">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 ca="1">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 ca="1">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 ca="1">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 ca="1">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 ca="1">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 ca="1">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 ca="1">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 ca="1">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 ca="1">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 ca="1">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 ca="1">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 ca="1">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 ca="1">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 ca="1">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 ca="1">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 ca="1">Model!F$25</f>
        <v>1Q23</v>
      </c>
      <c r="G28" s="201" t="str">
        <f ca="1">Model!G$25</f>
        <v>2Q23</v>
      </c>
      <c r="H28" s="201" t="str">
        <f ca="1">Model!H$25</f>
        <v>3Q23</v>
      </c>
      <c r="I28" s="201" t="str">
        <f ca="1">Model!I$25</f>
        <v>4Q23</v>
      </c>
      <c r="J28" s="201">
        <f ca="1">Model!J$25</f>
        <v>2023</v>
      </c>
      <c r="K28" s="201" t="str">
        <f ca="1">Model!K$25</f>
        <v>1Q24</v>
      </c>
      <c r="L28" s="201" t="str">
        <f ca="1">Model!L$25</f>
        <v>2Q24</v>
      </c>
      <c r="M28" s="201" t="str">
        <f ca="1">Model!M$25</f>
        <v>3Q24</v>
      </c>
      <c r="N28" s="201" t="str">
        <f ca="1">Model!N$25</f>
        <v>4Q24</v>
      </c>
      <c r="O28" s="201">
        <f ca="1">Model!O$25</f>
        <v>2024</v>
      </c>
      <c r="P28" s="201" t="str">
        <f ca="1">Model!P$25</f>
        <v>1Q25</v>
      </c>
      <c r="Q28" s="201" t="str">
        <f ca="1">Model!Q$25</f>
        <v>2Q25</v>
      </c>
      <c r="R28" s="201" t="str">
        <f ca="1">Model!R$25</f>
        <v>3Q25</v>
      </c>
      <c r="S28" s="201" t="str">
        <f ca="1">Model!S$25</f>
        <v>4Q25</v>
      </c>
      <c r="T28" s="201">
        <f ca="1">Model!T$25</f>
        <v>2025</v>
      </c>
      <c r="U28" s="201" t="str">
        <f ca="1">Model!U$25</f>
        <v>1Q26</v>
      </c>
      <c r="V28" s="201" t="str">
        <f ca="1">Model!V$25</f>
        <v>2Q26</v>
      </c>
      <c r="W28" s="201" t="str">
        <f ca="1">Model!W$25</f>
        <v>3Q26e</v>
      </c>
      <c r="X28" s="201" t="str">
        <f ca="1">Model!X$25</f>
        <v>4Q26e</v>
      </c>
      <c r="Y28" s="201" t="str">
        <f ca="1">Model!Y$25</f>
        <v>2026e</v>
      </c>
      <c r="Z28" s="201" t="str">
        <f ca="1">Model!Z$25</f>
        <v>1Q27e</v>
      </c>
      <c r="AA28" s="201" t="str">
        <f ca="1">Model!AA$25</f>
        <v>2Q27e</v>
      </c>
      <c r="AB28" s="201" t="str">
        <f ca="1">Model!AB$25</f>
        <v>3Q27e</v>
      </c>
      <c r="AC28" s="201" t="str">
        <f ca="1">Model!AC$25</f>
        <v>4Q27e</v>
      </c>
      <c r="AD28" s="201" t="str">
        <f ca="1">Model!AD$25</f>
        <v>2027e</v>
      </c>
      <c r="AE28" s="201" t="str">
        <f ca="1">Model!AE$25</f>
        <v>2028e</v>
      </c>
      <c r="AF28" s="201" t="str">
        <f ca="1">Model!AF$25</f>
        <v>2029e</v>
      </c>
      <c r="AG28" s="202" t="str">
        <f ca="1">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 ca="1">'Segment Analysis'!F7</f>
        <v>17360</v>
      </c>
      <c r="G30" s="284">
        <f ca="1">'Segment Analysis'!G7</f>
        <v>20888</v>
      </c>
      <c r="H30" s="284">
        <f ca="1">'Segment Analysis'!H7</f>
        <v>17415</v>
      </c>
      <c r="I30" s="284">
        <f ca="1">'Segment Analysis'!I7</f>
        <v>15646</v>
      </c>
      <c r="J30" s="285">
        <f ca="1">'Segment Analysis'!J7</f>
        <v>71309</v>
      </c>
      <c r="K30" s="284">
        <f ca="1">'Segment Analysis'!K7</f>
        <v>17741</v>
      </c>
      <c r="L30" s="284">
        <f ca="1">'Segment Analysis'!L7</f>
        <v>20992</v>
      </c>
      <c r="M30" s="284">
        <f ca="1">'Segment Analysis'!M7</f>
        <v>17388</v>
      </c>
      <c r="N30" s="284">
        <f ca="1">'Segment Analysis'!N7</f>
        <v>16027</v>
      </c>
      <c r="O30" s="285">
        <f ca="1">'Segment Analysis'!O7</f>
        <v>72148</v>
      </c>
      <c r="P30" s="284">
        <f ca="1">'Segment Analysis'!P7</f>
        <v>19675</v>
      </c>
      <c r="Q30" s="284">
        <f ca="1">'Segment Analysis'!Q7</f>
        <v>27302</v>
      </c>
      <c r="R30" s="284">
        <f ca="1">'Segment Analysis'!R7</f>
        <v>22309</v>
      </c>
      <c r="S30" s="284">
        <f ca="1">'Segment Analysis'!S7</f>
        <v>20311</v>
      </c>
      <c r="T30" s="285">
        <f ca="1">'Segment Analysis'!T7</f>
        <v>89597</v>
      </c>
      <c r="U30" s="284">
        <f ca="1">'Segment Analysis'!U7</f>
        <v>24422</v>
      </c>
      <c r="V30" s="284">
        <f ca="1">'Segment Analysis'!V7</f>
        <v>27570</v>
      </c>
      <c r="W30" s="284">
        <f ca="1">'Segment Analysis'!W7</f>
        <v>22918</v>
      </c>
      <c r="X30" s="286">
        <f ca="1">SUM(X32,X35,X38,X41,X44,X47,)</f>
        <v>21772.1</v>
      </c>
      <c r="Y30" s="287">
        <f ca="1">SUM(U30:X30)</f>
        <v>96682.1</v>
      </c>
      <c r="Z30" s="286">
        <f t="shared" ref="Z30:AC30" si="0" ca="1">SUM(Z32,Z35,Z38,Z41,Z44,Z47,)</f>
        <v>25691.077999999998</v>
      </c>
      <c r="AA30" s="286">
        <f ca="1">SUM(AA32,AA35,AA38,AA41,AA44,AA47,)</f>
        <v>29287.82892</v>
      </c>
      <c r="AB30" s="286">
        <f ca="1">SUM(AB32,AB35,AB38,AB41,AB44,AB47,)</f>
        <v>25773.2894496</v>
      </c>
      <c r="AC30" s="286">
        <f ca="1">SUM(AC32,AC35,AC38,AC41,AC44,AC47,)</f>
        <v>24484.62497712</v>
      </c>
      <c r="AD30" s="287">
        <f ca="1">SUM(Z30:AC30)</f>
        <v>105236.82134671998</v>
      </c>
      <c r="AE30" s="287">
        <f t="shared" ref="AE30:AG30" si="1" ca="1">SUM(AE32,AE35,AE38,AE41,AE44,AE47,)</f>
        <v>107341.55777365438</v>
      </c>
      <c r="AF30" s="287">
        <f ca="1">SUM(AF32,AF35,AF38,AF41,AF44,AF47,)</f>
        <v>109488.38892912747</v>
      </c>
      <c r="AG30" s="287">
        <f ca="1">SUM(AG32,AG35,AG38,AG41,AG44,AG47,)</f>
        <v>111678.15670771002</v>
      </c>
      <c r="AH30" s="16"/>
      <c r="AI30" s="288">
        <f ca="1">IFERROR((T30/J30)^(1/3)-1,"--")</f>
        <v>0.07907022065064795</v>
      </c>
      <c r="AJ30" s="289">
        <f ca="1">IFERROR((AG30/T30)^(1/5)-1,"--")</f>
        <v>0.04504490866789568</v>
      </c>
    </row>
    <row r="31" ht="12.75" customHeight="1" spans="1:36" x14ac:dyDescent="0.25">
      <c r="A31" s="290"/>
      <c r="B31" s="291"/>
      <c r="C31" s="292" t="str">
        <f ca="1">IF($C$25="Quarterly","% Growth QoQ","% Growth YoY")</f>
        <v>% Growth QoQ</v>
      </c>
      <c r="D31" s="291"/>
      <c r="E31" s="291"/>
      <c r="F31" s="293"/>
      <c r="G31" s="294">
        <f ca="1">IF($C$25="Annual",'Segment Analysis'!G172,'Segment Analysis'!G192)</f>
        <v>0.2032258064516128</v>
      </c>
      <c r="H31" s="294">
        <f ca="1">IF($C$25="Annual",'Segment Analysis'!H172,'Segment Analysis'!H192)</f>
        <v>-0.16626771351972425</v>
      </c>
      <c r="I31" s="294">
        <f ca="1">IF($C$25="Annual",'Segment Analysis'!I172,'Segment Analysis'!I192)</f>
        <v>-0.10157909847832325</v>
      </c>
      <c r="J31" s="295"/>
      <c r="K31" s="294">
        <f ca="1">IF($C$25="Annual",'Segment Analysis'!K172,'Segment Analysis'!K192)</f>
        <v>0.13390003834845965</v>
      </c>
      <c r="L31" s="294">
        <f ca="1">IF($C$25="Annual",'Segment Analysis'!L172,'Segment Analysis'!L192)</f>
        <v>0.18324784397722782</v>
      </c>
      <c r="M31" s="294">
        <f ca="1">IF($C$25="Annual",'Segment Analysis'!M172,'Segment Analysis'!M192)</f>
        <v>-0.17168445121951215</v>
      </c>
      <c r="N31" s="294">
        <f ca="1">IF($C$25="Annual",'Segment Analysis'!N172,'Segment Analysis'!N192)</f>
        <v>-0.07827237175063262</v>
      </c>
      <c r="O31" s="295">
        <f ca="1">IF($C$25="Annual",'Segment Analysis'!O172,'Segment Analysis'!O192)</f>
        <v>1e-12</v>
      </c>
      <c r="P31" s="294">
        <f ca="1">IF($C$25="Annual",'Segment Analysis'!P172,'Segment Analysis'!P192)</f>
        <v>0.22761589817183503</v>
      </c>
      <c r="Q31" s="294">
        <f ca="1">IF($C$25="Annual",'Segment Analysis'!Q172,'Segment Analysis'!Q192)</f>
        <v>0.3876493011435833</v>
      </c>
      <c r="R31" s="294">
        <f ca="1">IF($C$25="Annual",'Segment Analysis'!R172,'Segment Analysis'!R192)</f>
        <v>-0.18288037506409782</v>
      </c>
      <c r="S31" s="294">
        <f ca="1">IF($C$25="Annual",'Segment Analysis'!S172,'Segment Analysis'!S192)</f>
        <v>-0.08956026715675292</v>
      </c>
      <c r="T31" s="295">
        <f ca="1">IF($C$25="Annual",'Segment Analysis'!T172,'Segment Analysis'!T192)</f>
        <v>1e-12</v>
      </c>
      <c r="U31" s="294">
        <f ca="1">IF($C$25="Annual",'Segment Analysis'!U172,'Segment Analysis'!U192)</f>
        <v>0.20240263896410804</v>
      </c>
      <c r="V31" s="294">
        <f ca="1">IF($C$25="Annual",'Segment Analysis'!V172,'Segment Analysis'!V192)</f>
        <v>0.12890017197608716</v>
      </c>
      <c r="W31" s="294">
        <f ca="1">IF($C$25="Annual",'Segment Analysis'!W172,'Segment Analysis'!W192)</f>
        <v>-0.16873413130214</v>
      </c>
      <c r="X31" s="296">
        <f ca="1">IFERROR(X30/W30-1,"--")</f>
        <v>-0.050000000000000044</v>
      </c>
      <c r="Y31" s="297">
        <f ca="1">IFERROR(Y30/T30-1,"--")</f>
        <v>0.07907742446733712</v>
      </c>
      <c r="Z31" s="296">
        <f ca="1">IFERROR(Z30/X30-1,"--")</f>
        <v>0.17999999999999994</v>
      </c>
      <c r="AA31" s="296">
        <f t="shared" ref="AA31:AC31" si="2" ca="1">IFERROR(AA30/Z30-1,"--")</f>
        <v>0.14000000000000012</v>
      </c>
      <c r="AB31" s="296">
        <f ca="1">IFERROR(AB30/AA30-1,"--")</f>
        <v>-0.12</v>
      </c>
      <c r="AC31" s="296">
        <f ca="1">IFERROR(AC30/AB30-1,"--")</f>
        <v>-0.050000000000000044</v>
      </c>
      <c r="AD31" s="297">
        <f ca="1">IFERROR(AD30/Y30-1,"--")</f>
        <v>0.08848299061273979</v>
      </c>
      <c r="AE31" s="297">
        <f t="shared" ref="AE31:AG31" si="3" ca="1">IFERROR(AE30/AD30-1,"--")</f>
        <v>0.020000000000000018</v>
      </c>
      <c r="AF31" s="297">
        <f ca="1">IFERROR(AF30/AE30-1,"--")</f>
        <v>0.020000000000000018</v>
      </c>
      <c r="AG31" s="297">
        <f ca="1">IFERROR(AG30/AF30-1,"--")</f>
        <v>0.020000000000000018</v>
      </c>
      <c r="AH31" s="291"/>
      <c r="AI31" s="298"/>
      <c r="AJ31" s="299"/>
    </row>
    <row r="32" ht="12.75" customHeight="1" spans="1:36" x14ac:dyDescent="0.25">
      <c r="A32" s="16"/>
      <c r="B32" s="16"/>
      <c r="C32" s="16" t="str">
        <f ca="1">'Segment Analysis'!C8</f>
        <v>Home Improvement Retail Revenue</v>
      </c>
      <c r="D32" s="16"/>
      <c r="E32" s="16"/>
      <c r="F32" s="284">
        <f ca="1">'Segment Analysis'!F8</f>
        <v>17360</v>
      </c>
      <c r="G32" s="284">
        <f ca="1">'Segment Analysis'!G8</f>
        <v>20888</v>
      </c>
      <c r="H32" s="284">
        <f ca="1">'Segment Analysis'!H8</f>
        <v>17415</v>
      </c>
      <c r="I32" s="284">
        <f ca="1">'Segment Analysis'!I8</f>
        <v>15646</v>
      </c>
      <c r="J32" s="285">
        <f ca="1">'Segment Analysis'!J8</f>
        <v>71309</v>
      </c>
      <c r="K32" s="284">
        <f ca="1">'Segment Analysis'!K8</f>
        <v>17741</v>
      </c>
      <c r="L32" s="284">
        <f ca="1">'Segment Analysis'!L8</f>
        <v>20992</v>
      </c>
      <c r="M32" s="284">
        <f ca="1">'Segment Analysis'!M8</f>
        <v>17388</v>
      </c>
      <c r="N32" s="284">
        <f ca="1">'Segment Analysis'!N8</f>
        <v>16027</v>
      </c>
      <c r="O32" s="285">
        <f ca="1">'Segment Analysis'!O8</f>
        <v>72148</v>
      </c>
      <c r="P32" s="284">
        <f ca="1">'Segment Analysis'!P8</f>
        <v>19675</v>
      </c>
      <c r="Q32" s="284">
        <f ca="1">'Segment Analysis'!Q8</f>
        <v>27302</v>
      </c>
      <c r="R32" s="284">
        <f ca="1">'Segment Analysis'!R8</f>
        <v>22309</v>
      </c>
      <c r="S32" s="284">
        <f ca="1">'Segment Analysis'!S8</f>
        <v>20311</v>
      </c>
      <c r="T32" s="285">
        <f ca="1">'Segment Analysis'!T8</f>
        <v>89597</v>
      </c>
      <c r="U32" s="284">
        <f ca="1">'Segment Analysis'!U8</f>
        <v>24422</v>
      </c>
      <c r="V32" s="284">
        <f ca="1">'Segment Analysis'!V8</f>
        <v>27570</v>
      </c>
      <c r="W32" s="284">
        <f ca="1">'Segment Analysis'!W8</f>
        <v>22918</v>
      </c>
      <c r="X32" s="286">
        <f ca="1">IF(Segment1_Rev_Methodology="Segment",X53,IF(Segment1_Rev_Methodology="Activity-Based",X91,IF(Segment1_Rev_Methodology="Backlog",X165,"--")))</f>
        <v>21772.1</v>
      </c>
      <c r="Y32" s="287">
        <f ca="1">SUM(U32:X32)</f>
        <v>96682.1</v>
      </c>
      <c r="Z32" s="286">
        <f ca="1">IF(Segment1_Rev_Methodology="Segment",Z53,IF(Segment1_Rev_Methodology="Activity-Based",Z91,IF(Segment1_Rev_Methodology="Backlog",Z165,"--")))</f>
        <v>25691.077999999998</v>
      </c>
      <c r="AA32" s="286">
        <f ca="1">IF(Segment1_Rev_Methodology="Segment",AA53,IF(Segment1_Rev_Methodology="Activity-Based",AA91,IF(Segment1_Rev_Methodology="Backlog",AA165,"--")))</f>
        <v>29287.82892</v>
      </c>
      <c r="AB32" s="286">
        <f ca="1">IF(Segment1_Rev_Methodology="Segment",AB53,IF(Segment1_Rev_Methodology="Activity-Based",AB91,IF(Segment1_Rev_Methodology="Backlog",AB165,"--")))</f>
        <v>25773.2894496</v>
      </c>
      <c r="AC32" s="286">
        <f ca="1">IF(Segment1_Rev_Methodology="Segment",AC53,IF(Segment1_Rev_Methodology="Activity-Based",AC91,IF(Segment1_Rev_Methodology="Backlog",AC165,"--")))</f>
        <v>24484.62497712</v>
      </c>
      <c r="AD32" s="287">
        <f ca="1">SUM(Z32:AC32)</f>
        <v>105236.82134671998</v>
      </c>
      <c r="AE32" s="287">
        <f ca="1">IF(Segment1_Rev_Methodology="Segment",AE53,IF(Segment1_Rev_Methodology="Activity-Based",AE91,IF(Segment1_Rev_Methodology="Backlog",AE165,"--")))</f>
        <v>107341.55777365438</v>
      </c>
      <c r="AF32" s="287">
        <f ca="1">IF(Segment1_Rev_Methodology="Segment",AF53,IF(Segment1_Rev_Methodology="Activity-Based",AF91,IF(Segment1_Rev_Methodology="Backlog",AF165,"--")))</f>
        <v>109488.38892912747</v>
      </c>
      <c r="AG32" s="287">
        <f ca="1">IF(Segment1_Rev_Methodology="Segment",AG53,IF(Segment1_Rev_Methodology="Activity-Based",AG91,IF(Segment1_Rev_Methodology="Backlog",AG165,"--")))</f>
        <v>111678.15670771002</v>
      </c>
      <c r="AH32" s="16"/>
      <c r="AI32" s="288">
        <f ca="1">IFERROR((T32/J32)^(1/3)-1,"--")</f>
        <v>0.07907022065064795</v>
      </c>
      <c r="AJ32" s="289">
        <f ca="1">IFERROR((AG32/T32)^(1/5)-1,"--")</f>
        <v>0.04504490866789568</v>
      </c>
    </row>
    <row r="33" ht="12.75" customHeight="1" spans="1:36" x14ac:dyDescent="0.25">
      <c r="A33" s="290"/>
      <c r="B33" s="291"/>
      <c r="C33" s="292" t="str">
        <f ca="1">IF($C$25="Quarterly","% Growth QoQ","% Growth YoY")</f>
        <v>% Growth QoQ</v>
      </c>
      <c r="D33" s="291"/>
      <c r="E33" s="291"/>
      <c r="F33" s="293"/>
      <c r="G33" s="294">
        <f ca="1">IF($C$25="Annual",'Segment Analysis'!G173,'Segment Analysis'!G193)</f>
        <v>0.2032258064516128</v>
      </c>
      <c r="H33" s="294">
        <f ca="1">IF($C$25="Annual",'Segment Analysis'!H173,'Segment Analysis'!H193)</f>
        <v>-0.16626771351972425</v>
      </c>
      <c r="I33" s="294">
        <f ca="1">IF($C$25="Annual",'Segment Analysis'!I173,'Segment Analysis'!I193)</f>
        <v>-0.10157909847832325</v>
      </c>
      <c r="J33" s="295"/>
      <c r="K33" s="294">
        <f ca="1">IF($C$25="Annual",'Segment Analysis'!K173,'Segment Analysis'!K193)</f>
        <v>0.13390003834845965</v>
      </c>
      <c r="L33" s="294">
        <f ca="1">IF($C$25="Annual",'Segment Analysis'!L173,'Segment Analysis'!L193)</f>
        <v>0.18324784397722782</v>
      </c>
      <c r="M33" s="294">
        <f ca="1">IF($C$25="Annual",'Segment Analysis'!M173,'Segment Analysis'!M193)</f>
        <v>-0.17168445121951215</v>
      </c>
      <c r="N33" s="294">
        <f ca="1">IF($C$25="Annual",'Segment Analysis'!N173,'Segment Analysis'!N193)</f>
        <v>-0.07827237175063262</v>
      </c>
      <c r="O33" s="295">
        <f ca="1">IF($C$25="Annual",'Segment Analysis'!O173,'Segment Analysis'!O193)</f>
        <v>1e-12</v>
      </c>
      <c r="P33" s="294">
        <f ca="1">IF($C$25="Annual",'Segment Analysis'!P173,'Segment Analysis'!P193)</f>
        <v>0.22761589817183503</v>
      </c>
      <c r="Q33" s="294">
        <f ca="1">IF($C$25="Annual",'Segment Analysis'!Q173,'Segment Analysis'!Q193)</f>
        <v>0.3876493011435833</v>
      </c>
      <c r="R33" s="294">
        <f ca="1">IF($C$25="Annual",'Segment Analysis'!R173,'Segment Analysis'!R193)</f>
        <v>-0.18288037506409782</v>
      </c>
      <c r="S33" s="294">
        <f ca="1">IF($C$25="Annual",'Segment Analysis'!S173,'Segment Analysis'!S193)</f>
        <v>-0.08956026715675292</v>
      </c>
      <c r="T33" s="295">
        <f ca="1">IF($C$25="Annual",'Segment Analysis'!T173,'Segment Analysis'!T193)</f>
        <v>1e-12</v>
      </c>
      <c r="U33" s="294">
        <f ca="1">IF($C$25="Annual",'Segment Analysis'!U173,'Segment Analysis'!U193)</f>
        <v>0.20240263896410804</v>
      </c>
      <c r="V33" s="294">
        <f ca="1">IF($C$25="Annual",'Segment Analysis'!V173,'Segment Analysis'!V193)</f>
        <v>0.12890017197608716</v>
      </c>
      <c r="W33" s="294">
        <f ca="1">IF($C$25="Annual",'Segment Analysis'!W173,'Segment Analysis'!W193)</f>
        <v>-0.16873413130214</v>
      </c>
      <c r="X33" s="296">
        <f ca="1">IFERROR(X32/W32-1,"--")</f>
        <v>-0.050000000000000044</v>
      </c>
      <c r="Y33" s="297">
        <f ca="1">IFERROR(Y32/T32-1,"--")</f>
        <v>0.07907742446733712</v>
      </c>
      <c r="Z33" s="296">
        <f ca="1">IFERROR(Z32/X32-1,"--")</f>
        <v>0.17999999999999994</v>
      </c>
      <c r="AA33" s="296">
        <f t="shared" ref="AA33:AC33" si="4" ca="1">IFERROR(AA32/Z32-1,"--")</f>
        <v>0.14000000000000012</v>
      </c>
      <c r="AB33" s="296">
        <f ca="1">IFERROR(AB32/AA32-1,"--")</f>
        <v>-0.12</v>
      </c>
      <c r="AC33" s="296">
        <f ca="1">IFERROR(AC32/AB32-1,"--")</f>
        <v>-0.050000000000000044</v>
      </c>
      <c r="AD33" s="297">
        <f ca="1">IFERROR(AD32/Y32-1,"--")</f>
        <v>0.08848299061273979</v>
      </c>
      <c r="AE33" s="297">
        <f t="shared" ref="AE33:AG33" si="5" ca="1">IFERROR(AE32/AD32-1,"--")</f>
        <v>0.020000000000000018</v>
      </c>
      <c r="AF33" s="297">
        <f ca="1">IFERROR(AF32/AE32-1,"--")</f>
        <v>0.020000000000000018</v>
      </c>
      <c r="AG33" s="297">
        <f ca="1">IFERROR(AG32/AF32-1,"--")</f>
        <v>0.020000000000000018</v>
      </c>
      <c r="AH33" s="291"/>
      <c r="AI33" s="298"/>
      <c r="AJ33" s="299"/>
    </row>
    <row r="34" ht="12.75" customHeight="1" spans="1:36" x14ac:dyDescent="0.25">
      <c r="A34" s="290"/>
      <c r="B34" s="291"/>
      <c r="C34" s="120" t="s">
        <v>248</v>
      </c>
      <c r="D34" s="291"/>
      <c r="E34" s="291"/>
      <c r="F34" s="294">
        <f ca="1">'Segment Analysis'!F16</f>
        <v>1</v>
      </c>
      <c r="G34" s="294">
        <f ca="1">'Segment Analysis'!G16</f>
        <v>1</v>
      </c>
      <c r="H34" s="294">
        <f ca="1">'Segment Analysis'!H16</f>
        <v>1</v>
      </c>
      <c r="I34" s="294">
        <f ca="1">'Segment Analysis'!I16</f>
        <v>1</v>
      </c>
      <c r="J34" s="295">
        <f ca="1">'Segment Analysis'!J16</f>
        <v>1</v>
      </c>
      <c r="K34" s="294">
        <f ca="1">'Segment Analysis'!K16</f>
        <v>1</v>
      </c>
      <c r="L34" s="294">
        <f ca="1">'Segment Analysis'!L16</f>
        <v>1</v>
      </c>
      <c r="M34" s="294">
        <f ca="1">'Segment Analysis'!M16</f>
        <v>1</v>
      </c>
      <c r="N34" s="294">
        <f ca="1">'Segment Analysis'!N16</f>
        <v>1</v>
      </c>
      <c r="O34" s="295">
        <f ca="1">'Segment Analysis'!O16</f>
        <v>1</v>
      </c>
      <c r="P34" s="294">
        <f ca="1">'Segment Analysis'!P16</f>
        <v>1</v>
      </c>
      <c r="Q34" s="294">
        <f ca="1">'Segment Analysis'!Q16</f>
        <v>1</v>
      </c>
      <c r="R34" s="294">
        <f ca="1">'Segment Analysis'!R16</f>
        <v>1</v>
      </c>
      <c r="S34" s="294">
        <f ca="1">'Segment Analysis'!S16</f>
        <v>1</v>
      </c>
      <c r="T34" s="295">
        <f ca="1">'Segment Analysis'!T16</f>
        <v>1</v>
      </c>
      <c r="U34" s="294">
        <f ca="1">'Segment Analysis'!U16</f>
        <v>1</v>
      </c>
      <c r="V34" s="294">
        <f ca="1">'Segment Analysis'!V16</f>
        <v>1</v>
      </c>
      <c r="W34" s="294">
        <f ca="1">'Segment Analysis'!W16</f>
        <v>1</v>
      </c>
      <c r="X34" s="296">
        <f t="shared" ref="X34:AG34" si="6" ca="1">X32/X$30</f>
        <v>1</v>
      </c>
      <c r="Y34" s="297">
        <f ca="1">Y32/Y$30</f>
        <v>1</v>
      </c>
      <c r="Z34" s="296">
        <f ca="1">Z32/Z$30</f>
        <v>1</v>
      </c>
      <c r="AA34" s="296">
        <f ca="1">AA32/AA$30</f>
        <v>1</v>
      </c>
      <c r="AB34" s="296">
        <f ca="1">AB32/AB$30</f>
        <v>1</v>
      </c>
      <c r="AC34" s="296">
        <f ca="1">AC32/AC$30</f>
        <v>1</v>
      </c>
      <c r="AD34" s="297">
        <f ca="1">AD32/AD$30</f>
        <v>1</v>
      </c>
      <c r="AE34" s="297">
        <f ca="1">AE32/AE$30</f>
        <v>1</v>
      </c>
      <c r="AF34" s="297">
        <f ca="1">AF32/AF$30</f>
        <v>1</v>
      </c>
      <c r="AG34" s="297">
        <f ca="1">AG32/AG$30</f>
        <v>1</v>
      </c>
      <c r="AH34" s="291"/>
      <c r="AI34" s="300"/>
      <c r="AJ34" s="301"/>
    </row>
    <row r="35" ht="12.75" customHeight="1" spans="1:36" x14ac:dyDescent="0.25" outlineLevel="1" collapsed="1">
      <c r="A35" s="16"/>
      <c r="B35" s="16"/>
      <c r="C35" s="16" t="str">
        <f ca="1">'Segment Analysis'!C9</f>
        <v>Segment 2 Revenue</v>
      </c>
      <c r="D35" s="16"/>
      <c r="E35" s="16"/>
      <c r="F35" s="284">
        <f ca="1">'Segment Analysis'!F9</f>
        <v>1e-12</v>
      </c>
      <c r="G35" s="284">
        <f ca="1">'Segment Analysis'!G9</f>
        <v>1e-12</v>
      </c>
      <c r="H35" s="284">
        <f ca="1">'Segment Analysis'!H9</f>
        <v>1e-12</v>
      </c>
      <c r="I35" s="284">
        <f ca="1">'Segment Analysis'!I9</f>
        <v>1e-12</v>
      </c>
      <c r="J35" s="285">
        <f ca="1">'Segment Analysis'!J9</f>
        <v>1e-12</v>
      </c>
      <c r="K35" s="284">
        <f ca="1">'Segment Analysis'!K9</f>
        <v>1e-12</v>
      </c>
      <c r="L35" s="284">
        <f ca="1">'Segment Analysis'!L9</f>
        <v>1e-12</v>
      </c>
      <c r="M35" s="284">
        <f ca="1">'Segment Analysis'!M9</f>
        <v>1e-12</v>
      </c>
      <c r="N35" s="284">
        <f ca="1">'Segment Analysis'!N9</f>
        <v>1e-12</v>
      </c>
      <c r="O35" s="285">
        <f ca="1">'Segment Analysis'!O9</f>
        <v>1e-12</v>
      </c>
      <c r="P35" s="284">
        <f ca="1">'Segment Analysis'!P9</f>
        <v>1e-12</v>
      </c>
      <c r="Q35" s="284">
        <f ca="1">'Segment Analysis'!Q9</f>
        <v>1e-12</v>
      </c>
      <c r="R35" s="284">
        <f ca="1">'Segment Analysis'!R9</f>
        <v>1e-12</v>
      </c>
      <c r="S35" s="284">
        <f ca="1">'Segment Analysis'!S9</f>
        <v>1e-12</v>
      </c>
      <c r="T35" s="285">
        <f ca="1">'Segment Analysis'!T9</f>
        <v>1e-12</v>
      </c>
      <c r="U35" s="284">
        <f ca="1">'Segment Analysis'!U9</f>
        <v>1e-12</v>
      </c>
      <c r="V35" s="284">
        <f ca="1">'Segment Analysis'!V9</f>
        <v>1e-12</v>
      </c>
      <c r="W35" s="284">
        <f ca="1">'Segment Analysis'!W9</f>
        <v>1e-12</v>
      </c>
      <c r="X35" s="286">
        <f ca="1">IF(Segment2_Rev_Methodology="Segment",X59,IF(Segment2_Rev_Methodology="Activity-Based",X103,IF(Segment2_Rev_Methodology="Backlog",X177,"--")))</f>
        <v>0</v>
      </c>
      <c r="Y35" s="287">
        <f ca="1">SUM(U35:X35)</f>
        <v>1e-12</v>
      </c>
      <c r="Z35" s="286">
        <f ca="1">IF(Segment2_Rev_Methodology="Segment",Z59,IF(Segment2_Rev_Methodology="Activity-Based",Z103,IF(Segment2_Rev_Methodology="Backlog",Z177,"--")))</f>
        <v>0</v>
      </c>
      <c r="AA35" s="286">
        <f ca="1">IF(Segment2_Rev_Methodology="Segment",AA59,IF(Segment2_Rev_Methodology="Activity-Based",AA103,IF(Segment2_Rev_Methodology="Backlog",AA177,"--")))</f>
        <v>0</v>
      </c>
      <c r="AB35" s="286">
        <f ca="1">IF(Segment2_Rev_Methodology="Segment",AB59,IF(Segment2_Rev_Methodology="Activity-Based",AB103,IF(Segment2_Rev_Methodology="Backlog",AB177,"--")))</f>
        <v>0</v>
      </c>
      <c r="AC35" s="286">
        <f ca="1">IF(Segment2_Rev_Methodology="Segment",AC59,IF(Segment2_Rev_Methodology="Activity-Based",AC103,IF(Segment2_Rev_Methodology="Backlog",AC177,"--")))</f>
        <v>0</v>
      </c>
      <c r="AD35" s="287">
        <f ca="1">SUM(Z35:AC35)</f>
        <v>1e-12</v>
      </c>
      <c r="AE35" s="287">
        <f ca="1">IF(Segment2_Rev_Methodology="Segment",AE59,IF(Segment2_Rev_Methodology="Activity-Based",AE103,IF(Segment2_Rev_Methodology="Backlog",AE177,"--")))</f>
        <v>0</v>
      </c>
      <c r="AF35" s="287">
        <f ca="1">IF(Segment2_Rev_Methodology="Segment",AF59,IF(Segment2_Rev_Methodology="Activity-Based",AF103,IF(Segment2_Rev_Methodology="Backlog",AF177,"--")))</f>
        <v>0</v>
      </c>
      <c r="AG35" s="287">
        <f ca="1">IF(Segment2_Rev_Methodology="Segment",AG59,IF(Segment2_Rev_Methodology="Activity-Based",AG103,IF(Segment2_Rev_Methodology="Backlog",AG177,"--")))</f>
        <v>0</v>
      </c>
      <c r="AH35" s="16"/>
      <c r="AI35" s="288" t="str">
        <f ca="1">IFERROR((T35/J35)^(1/3)-1,"--")</f>
        <v>--</v>
      </c>
      <c r="AJ35" s="289" t="str">
        <f ca="1">IFERROR((AG35/T35)^(1/5)-1,"--")</f>
        <v>--</v>
      </c>
    </row>
    <row r="36" ht="12.75" customHeight="1" spans="1:36" x14ac:dyDescent="0.25" outlineLevel="1" collapsed="1">
      <c r="A36" s="290"/>
      <c r="B36" s="291"/>
      <c r="C36" s="120" t="s">
        <v>249</v>
      </c>
      <c r="D36" s="291"/>
      <c r="E36" s="291"/>
      <c r="F36" s="293"/>
      <c r="G36" s="294" t="str">
        <f ca="1">IF($C$25="Annual",'Segment Analysis'!G174,'Segment Analysis'!G194)</f>
        <v>N/A</v>
      </c>
      <c r="H36" s="294" t="str">
        <f ca="1">IF($C$25="Annual",'Segment Analysis'!H174,'Segment Analysis'!H194)</f>
        <v>N/A</v>
      </c>
      <c r="I36" s="294" t="str">
        <f ca="1">IF($C$25="Annual",'Segment Analysis'!I174,'Segment Analysis'!I194)</f>
        <v>N/A</v>
      </c>
      <c r="J36" s="295"/>
      <c r="K36" s="294" t="str">
        <f ca="1">IF($C$25="Annual",'Segment Analysis'!K174,'Segment Analysis'!K194)</f>
        <v>N/A</v>
      </c>
      <c r="L36" s="294" t="str">
        <f ca="1">IF($C$25="Annual",'Segment Analysis'!L174,'Segment Analysis'!L194)</f>
        <v>N/A</v>
      </c>
      <c r="M36" s="294" t="str">
        <f ca="1">IF($C$25="Annual",'Segment Analysis'!M174,'Segment Analysis'!M194)</f>
        <v>N/A</v>
      </c>
      <c r="N36" s="294" t="str">
        <f ca="1">IF($C$25="Annual",'Segment Analysis'!N174,'Segment Analysis'!N194)</f>
        <v>N/A</v>
      </c>
      <c r="O36" s="295" t="str">
        <f ca="1">'Segment Analysis'!O174</f>
        <v>N/A</v>
      </c>
      <c r="P36" s="294" t="str">
        <f ca="1">IF($C$25="Annual",'Segment Analysis'!P174,'Segment Analysis'!P194)</f>
        <v>N/A</v>
      </c>
      <c r="Q36" s="294" t="str">
        <f ca="1">IF($C$25="Annual",'Segment Analysis'!Q174,'Segment Analysis'!Q194)</f>
        <v>N/A</v>
      </c>
      <c r="R36" s="294" t="str">
        <f ca="1">IF($C$25="Annual",'Segment Analysis'!R174,'Segment Analysis'!R194)</f>
        <v>N/A</v>
      </c>
      <c r="S36" s="294" t="str">
        <f ca="1">IF($C$25="Annual",'Segment Analysis'!S174,'Segment Analysis'!S194)</f>
        <v>N/A</v>
      </c>
      <c r="T36" s="295" t="str">
        <f ca="1">'Segment Analysis'!T174</f>
        <v>N/A</v>
      </c>
      <c r="U36" s="294" t="str">
        <f ca="1">IF($C$25="Annual",'Segment Analysis'!U174,'Segment Analysis'!U194)</f>
        <v>N/A</v>
      </c>
      <c r="V36" s="294" t="str">
        <f ca="1">IF($C$25="Annual",'Segment Analysis'!V174,'Segment Analysis'!V194)</f>
        <v>N/A</v>
      </c>
      <c r="W36" s="294" t="str">
        <f ca="1">IF($C$25="Annual",'Segment Analysis'!W174,'Segment Analysis'!W194)</f>
        <v>N/A</v>
      </c>
      <c r="X36" s="296" t="str">
        <f ca="1">IFERROR(X35/W35-1,"--")</f>
        <v>--</v>
      </c>
      <c r="Y36" s="297" t="str">
        <f ca="1">IFERROR(Y35/T35-1,"--")</f>
        <v>--</v>
      </c>
      <c r="Z36" s="296" t="str">
        <f ca="1">IFERROR(Z35/X35-1,"--")</f>
        <v>--</v>
      </c>
      <c r="AA36" s="296" t="str">
        <f t="shared" ref="AA36:AC36" si="7" ca="1">IFERROR(AA35/Z35-1,"--")</f>
        <v>--</v>
      </c>
      <c r="AB36" s="296" t="str">
        <f ca="1">IFERROR(AB35/AA35-1,"--")</f>
        <v>--</v>
      </c>
      <c r="AC36" s="296" t="str">
        <f ca="1">IFERROR(AC35/AB35-1,"--")</f>
        <v>--</v>
      </c>
      <c r="AD36" s="297" t="str">
        <f ca="1">IFERROR(AD35/Y35-1,"--")</f>
        <v>--</v>
      </c>
      <c r="AE36" s="297" t="str">
        <f t="shared" ref="AE36:AG36" si="8" ca="1">IFERROR(AE35/AD35-1,"--")</f>
        <v>--</v>
      </c>
      <c r="AF36" s="297" t="str">
        <f ca="1">IFERROR(AF35/AE35-1,"--")</f>
        <v>--</v>
      </c>
      <c r="AG36" s="297" t="str">
        <f ca="1">IFERROR(AG35/AF35-1,"--")</f>
        <v>--</v>
      </c>
      <c r="AH36" s="291"/>
      <c r="AI36" s="298"/>
      <c r="AJ36" s="299"/>
    </row>
    <row r="37" ht="12.75" customHeight="1" spans="1:36" x14ac:dyDescent="0.25" outlineLevel="1" collapsed="1">
      <c r="A37" s="290"/>
      <c r="B37" s="291"/>
      <c r="C37" s="120" t="s">
        <v>248</v>
      </c>
      <c r="D37" s="291"/>
      <c r="E37" s="291"/>
      <c r="F37" s="294">
        <f ca="1">'Segment Analysis'!F17</f>
        <v>1e-12</v>
      </c>
      <c r="G37" s="294">
        <f ca="1">'Segment Analysis'!G17</f>
        <v>1e-12</v>
      </c>
      <c r="H37" s="294">
        <f ca="1">'Segment Analysis'!H17</f>
        <v>1e-12</v>
      </c>
      <c r="I37" s="294">
        <f ca="1">'Segment Analysis'!I17</f>
        <v>1e-12</v>
      </c>
      <c r="J37" s="295">
        <f ca="1">'Segment Analysis'!J17</f>
        <v>1e-12</v>
      </c>
      <c r="K37" s="294">
        <f ca="1">'Segment Analysis'!K17</f>
        <v>1e-12</v>
      </c>
      <c r="L37" s="294">
        <f ca="1">'Segment Analysis'!L17</f>
        <v>1e-12</v>
      </c>
      <c r="M37" s="294">
        <f ca="1">'Segment Analysis'!M17</f>
        <v>1e-12</v>
      </c>
      <c r="N37" s="294">
        <f ca="1">'Segment Analysis'!N17</f>
        <v>1e-12</v>
      </c>
      <c r="O37" s="295">
        <f ca="1">'Segment Analysis'!O17</f>
        <v>1e-12</v>
      </c>
      <c r="P37" s="294">
        <f ca="1">'Segment Analysis'!P17</f>
        <v>1e-12</v>
      </c>
      <c r="Q37" s="294">
        <f ca="1">'Segment Analysis'!Q17</f>
        <v>1e-12</v>
      </c>
      <c r="R37" s="294">
        <f ca="1">'Segment Analysis'!R17</f>
        <v>1e-12</v>
      </c>
      <c r="S37" s="294">
        <f ca="1">'Segment Analysis'!S17</f>
        <v>1e-12</v>
      </c>
      <c r="T37" s="295">
        <f ca="1">'Segment Analysis'!T17</f>
        <v>1e-12</v>
      </c>
      <c r="U37" s="294">
        <f ca="1">'Segment Analysis'!U17</f>
        <v>1e-12</v>
      </c>
      <c r="V37" s="294">
        <f ca="1">'Segment Analysis'!V17</f>
        <v>1e-12</v>
      </c>
      <c r="W37" s="294">
        <f ca="1">'Segment Analysis'!W17</f>
        <v>1e-12</v>
      </c>
      <c r="X37" s="296">
        <f t="shared" ref="X37:AG37" si="9" ca="1">X35/X$30</f>
        <v>1e-12</v>
      </c>
      <c r="Y37" s="297">
        <f ca="1">Y35/Y$30</f>
        <v>1e-12</v>
      </c>
      <c r="Z37" s="296">
        <f ca="1">Z35/Z$30</f>
        <v>1e-12</v>
      </c>
      <c r="AA37" s="296">
        <f ca="1">AA35/AA$30</f>
        <v>1e-12</v>
      </c>
      <c r="AB37" s="296">
        <f ca="1">AB35/AB$30</f>
        <v>1e-12</v>
      </c>
      <c r="AC37" s="296">
        <f ca="1">AC35/AC$30</f>
        <v>1e-12</v>
      </c>
      <c r="AD37" s="297">
        <f ca="1">AD35/AD$30</f>
        <v>1e-12</v>
      </c>
      <c r="AE37" s="297">
        <f ca="1">AE35/AE$30</f>
        <v>1e-12</v>
      </c>
      <c r="AF37" s="297">
        <f ca="1">AF35/AF$30</f>
        <v>1e-12</v>
      </c>
      <c r="AG37" s="297">
        <f ca="1">AG35/AG$30</f>
        <v>1e-12</v>
      </c>
      <c r="AH37" s="291"/>
      <c r="AI37" s="298"/>
      <c r="AJ37" s="299"/>
    </row>
    <row r="38" ht="12.75" customHeight="1" spans="1:36" x14ac:dyDescent="0.25" outlineLevel="1" collapsed="1">
      <c r="A38" s="16"/>
      <c r="B38" s="16"/>
      <c r="C38" s="16" t="str">
        <f ca="1">'Segment Analysis'!C10</f>
        <v>Segment 3 Revenue</v>
      </c>
      <c r="D38" s="16"/>
      <c r="E38" s="16"/>
      <c r="F38" s="284">
        <f ca="1">'Segment Analysis'!F10</f>
        <v>1e-12</v>
      </c>
      <c r="G38" s="284">
        <f ca="1">'Segment Analysis'!G10</f>
        <v>1e-12</v>
      </c>
      <c r="H38" s="284">
        <f ca="1">'Segment Analysis'!H10</f>
        <v>1e-12</v>
      </c>
      <c r="I38" s="284">
        <f ca="1">'Segment Analysis'!I10</f>
        <v>1e-12</v>
      </c>
      <c r="J38" s="285">
        <f ca="1">'Segment Analysis'!J10</f>
        <v>1e-12</v>
      </c>
      <c r="K38" s="284">
        <f ca="1">'Segment Analysis'!K10</f>
        <v>1e-12</v>
      </c>
      <c r="L38" s="284">
        <f ca="1">'Segment Analysis'!L10</f>
        <v>1e-12</v>
      </c>
      <c r="M38" s="284">
        <f ca="1">'Segment Analysis'!M10</f>
        <v>1e-12</v>
      </c>
      <c r="N38" s="284">
        <f ca="1">'Segment Analysis'!N10</f>
        <v>1e-12</v>
      </c>
      <c r="O38" s="285">
        <f ca="1">'Segment Analysis'!O10</f>
        <v>1e-12</v>
      </c>
      <c r="P38" s="284">
        <f ca="1">'Segment Analysis'!P10</f>
        <v>1e-12</v>
      </c>
      <c r="Q38" s="284">
        <f ca="1">'Segment Analysis'!Q10</f>
        <v>1e-12</v>
      </c>
      <c r="R38" s="284">
        <f ca="1">'Segment Analysis'!R10</f>
        <v>1e-12</v>
      </c>
      <c r="S38" s="284">
        <f ca="1">'Segment Analysis'!S10</f>
        <v>1e-12</v>
      </c>
      <c r="T38" s="285">
        <f ca="1">'Segment Analysis'!T10</f>
        <v>1e-12</v>
      </c>
      <c r="U38" s="284">
        <f ca="1">'Segment Analysis'!U10</f>
        <v>1e-12</v>
      </c>
      <c r="V38" s="284">
        <f ca="1">'Segment Analysis'!V10</f>
        <v>1e-12</v>
      </c>
      <c r="W38" s="284">
        <f ca="1">'Segment Analysis'!W10</f>
        <v>1e-12</v>
      </c>
      <c r="X38" s="286">
        <f ca="1">IF(Segment3_Rev_Methodology="Segment",X65,IF(Segment3_Rev_Methodology="Activity-Based",X115,IF(Segment3_Rev_Methodology="Backlog",X189,"--")))</f>
        <v>0</v>
      </c>
      <c r="Y38" s="287">
        <f ca="1">SUM(U38:X38)</f>
        <v>1e-12</v>
      </c>
      <c r="Z38" s="286">
        <f ca="1">IF(Segment3_Rev_Methodology="Segment",Z65,IF(Segment3_Rev_Methodology="Activity-Based",Z115,IF(Segment3_Rev_Methodology="Backlog",Z189,"--")))</f>
        <v>0</v>
      </c>
      <c r="AA38" s="286">
        <f ca="1">IF(Segment3_Rev_Methodology="Segment",AA65,IF(Segment3_Rev_Methodology="Activity-Based",AA115,IF(Segment3_Rev_Methodology="Backlog",AA189,"--")))</f>
        <v>0</v>
      </c>
      <c r="AB38" s="286">
        <f ca="1">IF(Segment3_Rev_Methodology="Segment",AB65,IF(Segment3_Rev_Methodology="Activity-Based",AB115,IF(Segment3_Rev_Methodology="Backlog",AB189,"--")))</f>
        <v>0</v>
      </c>
      <c r="AC38" s="286">
        <f ca="1">IF(Segment3_Rev_Methodology="Segment",AC65,IF(Segment3_Rev_Methodology="Activity-Based",AC115,IF(Segment3_Rev_Methodology="Backlog",AC189,"--")))</f>
        <v>0</v>
      </c>
      <c r="AD38" s="287">
        <f ca="1">SUM(Z38:AC38)</f>
        <v>1e-12</v>
      </c>
      <c r="AE38" s="287">
        <f ca="1">IF(Segment3_Rev_Methodology="Segment",AE65,IF(Segment3_Rev_Methodology="Activity-Based",AE115,IF(Segment3_Rev_Methodology="Backlog",AE189,"--")))</f>
        <v>0</v>
      </c>
      <c r="AF38" s="287">
        <f ca="1">IF(Segment3_Rev_Methodology="Segment",AF65,IF(Segment3_Rev_Methodology="Activity-Based",AF115,IF(Segment3_Rev_Methodology="Backlog",AF189,"--")))</f>
        <v>0</v>
      </c>
      <c r="AG38" s="287">
        <f ca="1">IF(Segment3_Rev_Methodology="Segment",AG65,IF(Segment3_Rev_Methodology="Activity-Based",AG115,IF(Segment3_Rev_Methodology="Backlog",AG189,"--")))</f>
        <v>0</v>
      </c>
      <c r="AH38" s="16"/>
      <c r="AI38" s="288" t="str">
        <f ca="1">IFERROR((T38/J38)^(1/3)-1,"--")</f>
        <v>--</v>
      </c>
      <c r="AJ38" s="289" t="str">
        <f ca="1">IFERROR((AG38/T38)^(1/5)-1,"--")</f>
        <v>--</v>
      </c>
    </row>
    <row r="39" ht="12.75" customHeight="1" spans="1:36" x14ac:dyDescent="0.25" outlineLevel="1" collapsed="1">
      <c r="A39" s="290"/>
      <c r="B39" s="291"/>
      <c r="C39" s="120" t="s">
        <v>249</v>
      </c>
      <c r="D39" s="291"/>
      <c r="E39" s="291"/>
      <c r="F39" s="293"/>
      <c r="G39" s="294" t="str">
        <f ca="1">IF($C$25="Annual",'Segment Analysis'!G175,'Segment Analysis'!G195)</f>
        <v>N/A</v>
      </c>
      <c r="H39" s="294" t="str">
        <f ca="1">IF($C$25="Annual",'Segment Analysis'!H175,'Segment Analysis'!H195)</f>
        <v>N/A</v>
      </c>
      <c r="I39" s="294" t="str">
        <f ca="1">IF($C$25="Annual",'Segment Analysis'!I175,'Segment Analysis'!I195)</f>
        <v>N/A</v>
      </c>
      <c r="J39" s="295"/>
      <c r="K39" s="294" t="str">
        <f ca="1">IF($C$25="Annual",'Segment Analysis'!K175,'Segment Analysis'!K195)</f>
        <v>N/A</v>
      </c>
      <c r="L39" s="294" t="str">
        <f ca="1">IF($C$25="Annual",'Segment Analysis'!L175,'Segment Analysis'!L195)</f>
        <v>N/A</v>
      </c>
      <c r="M39" s="294" t="str">
        <f ca="1">IF($C$25="Annual",'Segment Analysis'!M175,'Segment Analysis'!M195)</f>
        <v>N/A</v>
      </c>
      <c r="N39" s="294" t="str">
        <f ca="1">IF($C$25="Annual",'Segment Analysis'!N175,'Segment Analysis'!N195)</f>
        <v>N/A</v>
      </c>
      <c r="O39" s="295">
        <f ca="1">IF($C$25="Annual",'Segment Analysis'!O175,'Segment Analysis'!O195)</f>
        <v>1e-12</v>
      </c>
      <c r="P39" s="294" t="str">
        <f ca="1">IF($C$25="Annual",'Segment Analysis'!P175,'Segment Analysis'!P195)</f>
        <v>N/A</v>
      </c>
      <c r="Q39" s="294" t="str">
        <f ca="1">IF($C$25="Annual",'Segment Analysis'!Q175,'Segment Analysis'!Q195)</f>
        <v>N/A</v>
      </c>
      <c r="R39" s="294" t="str">
        <f ca="1">IF($C$25="Annual",'Segment Analysis'!R175,'Segment Analysis'!R195)</f>
        <v>N/A</v>
      </c>
      <c r="S39" s="294" t="str">
        <f ca="1">IF($C$25="Annual",'Segment Analysis'!S175,'Segment Analysis'!S195)</f>
        <v>N/A</v>
      </c>
      <c r="T39" s="295">
        <f ca="1">IF($C$25="Annual",'Segment Analysis'!T175,'Segment Analysis'!T195)</f>
        <v>1e-12</v>
      </c>
      <c r="U39" s="294" t="str">
        <f ca="1">IF($C$25="Annual",'Segment Analysis'!U175,'Segment Analysis'!U195)</f>
        <v>N/A</v>
      </c>
      <c r="V39" s="294" t="str">
        <f ca="1">IF($C$25="Annual",'Segment Analysis'!V175,'Segment Analysis'!V195)</f>
        <v>N/A</v>
      </c>
      <c r="W39" s="294" t="str">
        <f ca="1">IF($C$25="Annual",'Segment Analysis'!W175,'Segment Analysis'!W195)</f>
        <v>N/A</v>
      </c>
      <c r="X39" s="296" t="str">
        <f ca="1">IFERROR(X38/W38-1,"--")</f>
        <v>--</v>
      </c>
      <c r="Y39" s="297" t="str">
        <f ca="1">IFERROR(Y38/T38-1,"--")</f>
        <v>--</v>
      </c>
      <c r="Z39" s="296" t="str">
        <f ca="1">IFERROR(Z38/X38-1,"--")</f>
        <v>--</v>
      </c>
      <c r="AA39" s="296" t="str">
        <f t="shared" ref="AA39:AC39" si="10" ca="1">IFERROR(AA38/Z38-1,"--")</f>
        <v>--</v>
      </c>
      <c r="AB39" s="296" t="str">
        <f ca="1">IFERROR(AB38/AA38-1,"--")</f>
        <v>--</v>
      </c>
      <c r="AC39" s="296" t="str">
        <f ca="1">IFERROR(AC38/AB38-1,"--")</f>
        <v>--</v>
      </c>
      <c r="AD39" s="297" t="str">
        <f ca="1">IFERROR(AD38/Y38-1,"--")</f>
        <v>--</v>
      </c>
      <c r="AE39" s="297" t="str">
        <f t="shared" ref="AE39:AG39" si="11" ca="1">IFERROR(AE38/AD38-1,"--")</f>
        <v>--</v>
      </c>
      <c r="AF39" s="297" t="str">
        <f ca="1">IFERROR(AF38/AE38-1,"--")</f>
        <v>--</v>
      </c>
      <c r="AG39" s="297" t="str">
        <f ca="1">IFERROR(AG38/AF38-1,"--")</f>
        <v>--</v>
      </c>
      <c r="AH39" s="291"/>
      <c r="AI39" s="298"/>
      <c r="AJ39" s="299"/>
    </row>
    <row r="40" ht="12.75" customHeight="1" spans="1:36" x14ac:dyDescent="0.25" outlineLevel="1" collapsed="1">
      <c r="A40" s="290"/>
      <c r="B40" s="291"/>
      <c r="C40" s="120" t="s">
        <v>248</v>
      </c>
      <c r="D40" s="291"/>
      <c r="E40" s="291"/>
      <c r="F40" s="294">
        <f ca="1">'Segment Analysis'!F18</f>
        <v>1e-12</v>
      </c>
      <c r="G40" s="294">
        <f ca="1">'Segment Analysis'!G18</f>
        <v>1e-12</v>
      </c>
      <c r="H40" s="294">
        <f ca="1">'Segment Analysis'!H18</f>
        <v>1e-12</v>
      </c>
      <c r="I40" s="294">
        <f ca="1">'Segment Analysis'!I18</f>
        <v>1e-12</v>
      </c>
      <c r="J40" s="295">
        <f ca="1">'Segment Analysis'!J18</f>
        <v>1e-12</v>
      </c>
      <c r="K40" s="294">
        <f ca="1">'Segment Analysis'!K18</f>
        <v>1e-12</v>
      </c>
      <c r="L40" s="294">
        <f ca="1">'Segment Analysis'!L18</f>
        <v>1e-12</v>
      </c>
      <c r="M40" s="294">
        <f ca="1">'Segment Analysis'!M18</f>
        <v>1e-12</v>
      </c>
      <c r="N40" s="294">
        <f ca="1">'Segment Analysis'!N18</f>
        <v>1e-12</v>
      </c>
      <c r="O40" s="295">
        <f ca="1">'Segment Analysis'!O18</f>
        <v>1e-12</v>
      </c>
      <c r="P40" s="294">
        <f ca="1">'Segment Analysis'!P18</f>
        <v>1e-12</v>
      </c>
      <c r="Q40" s="294">
        <f ca="1">'Segment Analysis'!Q18</f>
        <v>1e-12</v>
      </c>
      <c r="R40" s="294">
        <f ca="1">'Segment Analysis'!R18</f>
        <v>1e-12</v>
      </c>
      <c r="S40" s="294">
        <f ca="1">'Segment Analysis'!S18</f>
        <v>1e-12</v>
      </c>
      <c r="T40" s="295">
        <f ca="1">'Segment Analysis'!T18</f>
        <v>1e-12</v>
      </c>
      <c r="U40" s="294">
        <f ca="1">'Segment Analysis'!U18</f>
        <v>1e-12</v>
      </c>
      <c r="V40" s="294">
        <f ca="1">'Segment Analysis'!V18</f>
        <v>1e-12</v>
      </c>
      <c r="W40" s="294">
        <f ca="1">'Segment Analysis'!W18</f>
        <v>1e-12</v>
      </c>
      <c r="X40" s="296">
        <f t="shared" ref="X40:AG40" si="12" ca="1">X38/X$30</f>
        <v>1e-12</v>
      </c>
      <c r="Y40" s="297">
        <f ca="1">Y38/Y$30</f>
        <v>1e-12</v>
      </c>
      <c r="Z40" s="296">
        <f ca="1">Z38/Z$30</f>
        <v>1e-12</v>
      </c>
      <c r="AA40" s="296">
        <f ca="1">AA38/AA$30</f>
        <v>1e-12</v>
      </c>
      <c r="AB40" s="296">
        <f ca="1">AB38/AB$30</f>
        <v>1e-12</v>
      </c>
      <c r="AC40" s="296">
        <f ca="1">AC38/AC$30</f>
        <v>1e-12</v>
      </c>
      <c r="AD40" s="297">
        <f ca="1">AD38/AD$30</f>
        <v>1e-12</v>
      </c>
      <c r="AE40" s="297">
        <f ca="1">AE38/AE$30</f>
        <v>1e-12</v>
      </c>
      <c r="AF40" s="297">
        <f ca="1">AF38/AF$30</f>
        <v>1e-12</v>
      </c>
      <c r="AG40" s="297">
        <f ca="1">AG38/AG$30</f>
        <v>1e-12</v>
      </c>
      <c r="AH40" s="291"/>
      <c r="AI40" s="298"/>
      <c r="AJ40" s="299"/>
    </row>
    <row r="41" ht="12.75" customHeight="1" spans="1:36" x14ac:dyDescent="0.25" outlineLevel="1" collapsed="1">
      <c r="A41" s="16"/>
      <c r="B41" s="16"/>
      <c r="C41" s="16" t="str">
        <f ca="1">'Segment Analysis'!C11</f>
        <v>Segment 4 Revenue</v>
      </c>
      <c r="D41" s="16"/>
      <c r="E41" s="16"/>
      <c r="F41" s="284">
        <f ca="1">'Segment Analysis'!F11</f>
        <v>1e-12</v>
      </c>
      <c r="G41" s="284">
        <f ca="1">'Segment Analysis'!G11</f>
        <v>1e-12</v>
      </c>
      <c r="H41" s="284">
        <f ca="1">'Segment Analysis'!H11</f>
        <v>1e-12</v>
      </c>
      <c r="I41" s="284">
        <f ca="1">'Segment Analysis'!I11</f>
        <v>1e-12</v>
      </c>
      <c r="J41" s="285">
        <f ca="1">'Segment Analysis'!J11</f>
        <v>1e-12</v>
      </c>
      <c r="K41" s="284">
        <f ca="1">'Segment Analysis'!K11</f>
        <v>1e-12</v>
      </c>
      <c r="L41" s="284">
        <f ca="1">'Segment Analysis'!L11</f>
        <v>1e-12</v>
      </c>
      <c r="M41" s="284">
        <f ca="1">'Segment Analysis'!M11</f>
        <v>1e-12</v>
      </c>
      <c r="N41" s="284">
        <f ca="1">'Segment Analysis'!N11</f>
        <v>1e-12</v>
      </c>
      <c r="O41" s="285">
        <f ca="1">'Segment Analysis'!O11</f>
        <v>1e-12</v>
      </c>
      <c r="P41" s="284">
        <f ca="1">'Segment Analysis'!P11</f>
        <v>1e-12</v>
      </c>
      <c r="Q41" s="284">
        <f ca="1">'Segment Analysis'!Q11</f>
        <v>1e-12</v>
      </c>
      <c r="R41" s="284">
        <f ca="1">'Segment Analysis'!R11</f>
        <v>1e-12</v>
      </c>
      <c r="S41" s="284">
        <f ca="1">'Segment Analysis'!S11</f>
        <v>1e-12</v>
      </c>
      <c r="T41" s="285">
        <f ca="1">'Segment Analysis'!T11</f>
        <v>1e-12</v>
      </c>
      <c r="U41" s="284">
        <f ca="1">'Segment Analysis'!U11</f>
        <v>1e-12</v>
      </c>
      <c r="V41" s="284">
        <f ca="1">'Segment Analysis'!V11</f>
        <v>1e-12</v>
      </c>
      <c r="W41" s="284">
        <f ca="1">'Segment Analysis'!W11</f>
        <v>1e-12</v>
      </c>
      <c r="X41" s="286">
        <f ca="1">IF(Segment4_Rev_Methodology="Segment",X71,IF(Segment4_Rev_Methodology="Activity-Based",X127,IF(Segment4_Rev_Methodology="Backlog",X201,"--")))</f>
        <v>0</v>
      </c>
      <c r="Y41" s="287">
        <f ca="1">SUM(U41:X41)</f>
        <v>1e-12</v>
      </c>
      <c r="Z41" s="286">
        <f ca="1">IF(Segment4_Rev_Methodology="Segment",Z71,IF(Segment4_Rev_Methodology="Activity-Based",Z127,IF(Segment4_Rev_Methodology="Backlog",Z201,"--")))</f>
        <v>0</v>
      </c>
      <c r="AA41" s="286">
        <f ca="1">IF(Segment4_Rev_Methodology="Segment",AA71,IF(Segment4_Rev_Methodology="Activity-Based",AA127,IF(Segment4_Rev_Methodology="Backlog",AA201,"--")))</f>
        <v>0</v>
      </c>
      <c r="AB41" s="286">
        <f ca="1">IF(Segment4_Rev_Methodology="Segment",AB71,IF(Segment4_Rev_Methodology="Activity-Based",AB127,IF(Segment4_Rev_Methodology="Backlog",AB201,"--")))</f>
        <v>0</v>
      </c>
      <c r="AC41" s="286">
        <f ca="1">IF(Segment4_Rev_Methodology="Segment",AC71,IF(Segment4_Rev_Methodology="Activity-Based",AC127,IF(Segment4_Rev_Methodology="Backlog",AC201,"--")))</f>
        <v>0</v>
      </c>
      <c r="AD41" s="287">
        <f ca="1">SUM(Z41:AC41)</f>
        <v>1e-12</v>
      </c>
      <c r="AE41" s="287">
        <f ca="1">IF(Segment4_Rev_Methodology="Segment",AE71,IF(Segment4_Rev_Methodology="Activity-Based",AE127,IF(Segment4_Rev_Methodology="Backlog",AE201,"--")))</f>
        <v>0</v>
      </c>
      <c r="AF41" s="287">
        <f ca="1">IF(Segment4_Rev_Methodology="Segment",AF71,IF(Segment4_Rev_Methodology="Activity-Based",AF127,IF(Segment4_Rev_Methodology="Backlog",AF201,"--")))</f>
        <v>0</v>
      </c>
      <c r="AG41" s="287">
        <f ca="1">IF(Segment4_Rev_Methodology="Segment",AG71,IF(Segment4_Rev_Methodology="Activity-Based",AG127,IF(Segment4_Rev_Methodology="Backlog",AG201,"--")))</f>
        <v>0</v>
      </c>
      <c r="AH41" s="16"/>
      <c r="AI41" s="288" t="str">
        <f ca="1">IFERROR((T41/J41)^(1/3)-1,"--")</f>
        <v>--</v>
      </c>
      <c r="AJ41" s="289" t="str">
        <f ca="1">IFERROR((AG41/T41)^(1/5)-1,"--")</f>
        <v>--</v>
      </c>
    </row>
    <row r="42" ht="12.75" customHeight="1" spans="1:36" x14ac:dyDescent="0.25" outlineLevel="1" collapsed="1">
      <c r="A42" s="290"/>
      <c r="B42" s="291"/>
      <c r="C42" s="120" t="s">
        <v>249</v>
      </c>
      <c r="D42" s="291"/>
      <c r="E42" s="291"/>
      <c r="F42" s="293"/>
      <c r="G42" s="294" t="str">
        <f ca="1">IF($C$25="Annual",'Segment Analysis'!G176,'Segment Analysis'!G196)</f>
        <v>N/A</v>
      </c>
      <c r="H42" s="294" t="str">
        <f ca="1">IF($C$25="Annual",'Segment Analysis'!H176,'Segment Analysis'!H196)</f>
        <v>N/A</v>
      </c>
      <c r="I42" s="294" t="str">
        <f ca="1">IF($C$25="Annual",'Segment Analysis'!I176,'Segment Analysis'!I196)</f>
        <v>N/A</v>
      </c>
      <c r="J42" s="295"/>
      <c r="K42" s="294" t="str">
        <f ca="1">IF($C$25="Annual",'Segment Analysis'!K176,'Segment Analysis'!K196)</f>
        <v>N/A</v>
      </c>
      <c r="L42" s="294" t="str">
        <f ca="1">IF($C$25="Annual",'Segment Analysis'!L176,'Segment Analysis'!L196)</f>
        <v>N/A</v>
      </c>
      <c r="M42" s="294" t="str">
        <f ca="1">IF($C$25="Annual",'Segment Analysis'!M176,'Segment Analysis'!M196)</f>
        <v>N/A</v>
      </c>
      <c r="N42" s="294" t="str">
        <f ca="1">IF($C$25="Annual",'Segment Analysis'!N176,'Segment Analysis'!N196)</f>
        <v>N/A</v>
      </c>
      <c r="O42" s="295">
        <f ca="1">IF($C$25="Annual",'Segment Analysis'!O176,'Segment Analysis'!O196)</f>
        <v>1e-12</v>
      </c>
      <c r="P42" s="294" t="str">
        <f ca="1">IF($C$25="Annual",'Segment Analysis'!P176,'Segment Analysis'!P196)</f>
        <v>N/A</v>
      </c>
      <c r="Q42" s="294" t="str">
        <f ca="1">IF($C$25="Annual",'Segment Analysis'!Q176,'Segment Analysis'!Q196)</f>
        <v>N/A</v>
      </c>
      <c r="R42" s="294" t="str">
        <f ca="1">IF($C$25="Annual",'Segment Analysis'!R176,'Segment Analysis'!R196)</f>
        <v>N/A</v>
      </c>
      <c r="S42" s="294" t="str">
        <f ca="1">IF($C$25="Annual",'Segment Analysis'!S176,'Segment Analysis'!S196)</f>
        <v>N/A</v>
      </c>
      <c r="T42" s="295">
        <f ca="1">IF($C$25="Annual",'Segment Analysis'!T176,'Segment Analysis'!T196)</f>
        <v>1e-12</v>
      </c>
      <c r="U42" s="294" t="str">
        <f ca="1">IF($C$25="Annual",'Segment Analysis'!U176,'Segment Analysis'!U196)</f>
        <v>N/A</v>
      </c>
      <c r="V42" s="294" t="str">
        <f ca="1">IF($C$25="Annual",'Segment Analysis'!V176,'Segment Analysis'!V196)</f>
        <v>N/A</v>
      </c>
      <c r="W42" s="294" t="str">
        <f ca="1">IF($C$25="Annual",'Segment Analysis'!W176,'Segment Analysis'!W196)</f>
        <v>N/A</v>
      </c>
      <c r="X42" s="296" t="str">
        <f ca="1">IFERROR(X41/W41-1,"--")</f>
        <v>--</v>
      </c>
      <c r="Y42" s="297" t="str">
        <f ca="1">IFERROR(Y41/T41-1,"--")</f>
        <v>--</v>
      </c>
      <c r="Z42" s="296" t="str">
        <f ca="1">IFERROR(Z41/X41-1,"--")</f>
        <v>--</v>
      </c>
      <c r="AA42" s="296" t="str">
        <f t="shared" ref="AA42:AC42" si="13" ca="1">IFERROR(AA41/Z41-1,"--")</f>
        <v>--</v>
      </c>
      <c r="AB42" s="296" t="str">
        <f ca="1">IFERROR(AB41/AA41-1,"--")</f>
        <v>--</v>
      </c>
      <c r="AC42" s="296" t="str">
        <f ca="1">IFERROR(AC41/AB41-1,"--")</f>
        <v>--</v>
      </c>
      <c r="AD42" s="297" t="str">
        <f ca="1">IFERROR(AD41/Y41-1,"--")</f>
        <v>--</v>
      </c>
      <c r="AE42" s="297" t="str">
        <f t="shared" ref="AE42:AG42" si="14" ca="1">IFERROR(AE41/AD41-1,"--")</f>
        <v>--</v>
      </c>
      <c r="AF42" s="297" t="str">
        <f ca="1">IFERROR(AF41/AE41-1,"--")</f>
        <v>--</v>
      </c>
      <c r="AG42" s="297" t="str">
        <f ca="1">IFERROR(AG41/AF41-1,"--")</f>
        <v>--</v>
      </c>
      <c r="AH42" s="291"/>
      <c r="AI42" s="298"/>
      <c r="AJ42" s="299"/>
    </row>
    <row r="43" ht="12.75" customHeight="1" spans="1:36" x14ac:dyDescent="0.25" outlineLevel="1" collapsed="1">
      <c r="A43" s="290"/>
      <c r="B43" s="291"/>
      <c r="C43" s="120" t="s">
        <v>248</v>
      </c>
      <c r="D43" s="291"/>
      <c r="E43" s="291"/>
      <c r="F43" s="294">
        <f ca="1">'Segment Analysis'!F19</f>
        <v>1e-12</v>
      </c>
      <c r="G43" s="294">
        <f ca="1">'Segment Analysis'!G19</f>
        <v>1e-12</v>
      </c>
      <c r="H43" s="294">
        <f ca="1">'Segment Analysis'!H19</f>
        <v>1e-12</v>
      </c>
      <c r="I43" s="294">
        <f ca="1">'Segment Analysis'!I19</f>
        <v>1e-12</v>
      </c>
      <c r="J43" s="295">
        <f ca="1">'Segment Analysis'!J19</f>
        <v>1e-12</v>
      </c>
      <c r="K43" s="294">
        <f ca="1">'Segment Analysis'!K19</f>
        <v>1e-12</v>
      </c>
      <c r="L43" s="294">
        <f ca="1">'Segment Analysis'!L19</f>
        <v>1e-12</v>
      </c>
      <c r="M43" s="294">
        <f ca="1">'Segment Analysis'!M19</f>
        <v>1e-12</v>
      </c>
      <c r="N43" s="294">
        <f ca="1">'Segment Analysis'!N19</f>
        <v>1e-12</v>
      </c>
      <c r="O43" s="295">
        <f ca="1">'Segment Analysis'!O19</f>
        <v>1e-12</v>
      </c>
      <c r="P43" s="294">
        <f ca="1">'Segment Analysis'!P19</f>
        <v>1e-12</v>
      </c>
      <c r="Q43" s="294">
        <f ca="1">'Segment Analysis'!Q19</f>
        <v>1e-12</v>
      </c>
      <c r="R43" s="294">
        <f ca="1">'Segment Analysis'!R19</f>
        <v>1e-12</v>
      </c>
      <c r="S43" s="294">
        <f ca="1">'Segment Analysis'!S19</f>
        <v>1e-12</v>
      </c>
      <c r="T43" s="295">
        <f ca="1">'Segment Analysis'!T19</f>
        <v>1e-12</v>
      </c>
      <c r="U43" s="294">
        <f ca="1">'Segment Analysis'!U19</f>
        <v>1e-12</v>
      </c>
      <c r="V43" s="294">
        <f ca="1">'Segment Analysis'!V19</f>
        <v>1e-12</v>
      </c>
      <c r="W43" s="294">
        <f ca="1">'Segment Analysis'!W19</f>
        <v>1e-12</v>
      </c>
      <c r="X43" s="296">
        <f t="shared" ref="X43:AG43" si="15" ca="1">X41/X$30</f>
        <v>1e-12</v>
      </c>
      <c r="Y43" s="297">
        <f ca="1">Y41/Y$30</f>
        <v>1e-12</v>
      </c>
      <c r="Z43" s="296">
        <f ca="1">Z41/Z$30</f>
        <v>1e-12</v>
      </c>
      <c r="AA43" s="296">
        <f ca="1">AA41/AA$30</f>
        <v>1e-12</v>
      </c>
      <c r="AB43" s="296">
        <f ca="1">AB41/AB$30</f>
        <v>1e-12</v>
      </c>
      <c r="AC43" s="296">
        <f ca="1">AC41/AC$30</f>
        <v>1e-12</v>
      </c>
      <c r="AD43" s="297">
        <f ca="1">AD41/AD$30</f>
        <v>1e-12</v>
      </c>
      <c r="AE43" s="297">
        <f ca="1">AE41/AE$30</f>
        <v>1e-12</v>
      </c>
      <c r="AF43" s="297">
        <f ca="1">AF41/AF$30</f>
        <v>1e-12</v>
      </c>
      <c r="AG43" s="297">
        <f ca="1">AG41/AG$30</f>
        <v>1e-12</v>
      </c>
      <c r="AH43" s="291"/>
      <c r="AI43" s="298"/>
      <c r="AJ43" s="299"/>
    </row>
    <row r="44" ht="12.75" customHeight="1" spans="1:36" x14ac:dyDescent="0.25" outlineLevel="1" collapsed="1">
      <c r="A44" s="16"/>
      <c r="B44" s="16"/>
      <c r="C44" s="16" t="str">
        <f ca="1">'Segment Analysis'!C12</f>
        <v>Segment 5 Revenue</v>
      </c>
      <c r="D44" s="16"/>
      <c r="E44" s="16"/>
      <c r="F44" s="284">
        <f ca="1">'Segment Analysis'!F12</f>
        <v>1e-12</v>
      </c>
      <c r="G44" s="284">
        <f ca="1">'Segment Analysis'!G12</f>
        <v>1e-12</v>
      </c>
      <c r="H44" s="284">
        <f ca="1">'Segment Analysis'!H12</f>
        <v>1e-12</v>
      </c>
      <c r="I44" s="284">
        <f ca="1">'Segment Analysis'!I12</f>
        <v>1e-12</v>
      </c>
      <c r="J44" s="285">
        <f ca="1">'Segment Analysis'!J12</f>
        <v>1e-12</v>
      </c>
      <c r="K44" s="284">
        <f ca="1">'Segment Analysis'!K12</f>
        <v>1e-12</v>
      </c>
      <c r="L44" s="284">
        <f ca="1">'Segment Analysis'!L12</f>
        <v>1e-12</v>
      </c>
      <c r="M44" s="284">
        <f ca="1">'Segment Analysis'!M12</f>
        <v>1e-12</v>
      </c>
      <c r="N44" s="284">
        <f ca="1">'Segment Analysis'!N12</f>
        <v>1e-12</v>
      </c>
      <c r="O44" s="285">
        <f ca="1">'Segment Analysis'!O12</f>
        <v>1e-12</v>
      </c>
      <c r="P44" s="284">
        <f ca="1">'Segment Analysis'!P12</f>
        <v>1e-12</v>
      </c>
      <c r="Q44" s="284">
        <f ca="1">'Segment Analysis'!Q12</f>
        <v>1e-12</v>
      </c>
      <c r="R44" s="284">
        <f ca="1">'Segment Analysis'!R12</f>
        <v>1e-12</v>
      </c>
      <c r="S44" s="284">
        <f ca="1">'Segment Analysis'!S12</f>
        <v>1e-12</v>
      </c>
      <c r="T44" s="285">
        <f ca="1">'Segment Analysis'!T12</f>
        <v>1e-12</v>
      </c>
      <c r="U44" s="284">
        <f ca="1">'Segment Analysis'!U12</f>
        <v>1e-12</v>
      </c>
      <c r="V44" s="284">
        <f ca="1">'Segment Analysis'!V12</f>
        <v>1e-12</v>
      </c>
      <c r="W44" s="284">
        <f ca="1">'Segment Analysis'!W12</f>
        <v>1e-12</v>
      </c>
      <c r="X44" s="286">
        <f ca="1">IF(Segment5_Rev_Methodology="Segment",X77,IF(Segment5_Rev_Methodology="Activity-Based",X139,IF(Segment5_Rev_Methodology="Backlog",X213,"--")))</f>
        <v>0</v>
      </c>
      <c r="Y44" s="287">
        <f ca="1">SUM(U44:X44)</f>
        <v>1e-12</v>
      </c>
      <c r="Z44" s="286">
        <f ca="1">IF(Segment5_Rev_Methodology="Segment",Z77,IF(Segment5_Rev_Methodology="Activity-Based",Z139,IF(Segment5_Rev_Methodology="Backlog",Z213,"--")))</f>
        <v>0</v>
      </c>
      <c r="AA44" s="286">
        <f ca="1">IF(Segment5_Rev_Methodology="Segment",AA77,IF(Segment5_Rev_Methodology="Activity-Based",AA139,IF(Segment5_Rev_Methodology="Backlog",AA213,"--")))</f>
        <v>0</v>
      </c>
      <c r="AB44" s="286">
        <f ca="1">IF(Segment5_Rev_Methodology="Segment",AB77,IF(Segment5_Rev_Methodology="Activity-Based",AB139,IF(Segment5_Rev_Methodology="Backlog",AB213,"--")))</f>
        <v>0</v>
      </c>
      <c r="AC44" s="286">
        <f ca="1">IF(Segment5_Rev_Methodology="Segment",AC77,IF(Segment5_Rev_Methodology="Activity-Based",AC139,IF(Segment5_Rev_Methodology="Backlog",AC213,"--")))</f>
        <v>0</v>
      </c>
      <c r="AD44" s="287">
        <f ca="1">SUM(Z44:AC44)</f>
        <v>1e-12</v>
      </c>
      <c r="AE44" s="287">
        <f ca="1">IF(Segment5_Rev_Methodology="Segment",AE77,IF(Segment5_Rev_Methodology="Activity-Based",AE139,IF(Segment5_Rev_Methodology="Backlog",AE213,"--")))</f>
        <v>0</v>
      </c>
      <c r="AF44" s="287">
        <f ca="1">IF(Segment5_Rev_Methodology="Segment",AF77,IF(Segment5_Rev_Methodology="Activity-Based",AF139,IF(Segment5_Rev_Methodology="Backlog",AF213,"--")))</f>
        <v>0</v>
      </c>
      <c r="AG44" s="287">
        <f ca="1">IF(Segment5_Rev_Methodology="Segment",AG77,IF(Segment5_Rev_Methodology="Activity-Based",AG139,IF(Segment5_Rev_Methodology="Backlog",AG213,"--")))</f>
        <v>0</v>
      </c>
      <c r="AH44" s="16"/>
      <c r="AI44" s="288" t="str">
        <f ca="1">IFERROR((T44/J44)^(1/3)-1,"--")</f>
        <v>--</v>
      </c>
      <c r="AJ44" s="289" t="str">
        <f ca="1">IFERROR((AG44/T44)^(1/5)-1,"--")</f>
        <v>--</v>
      </c>
    </row>
    <row r="45" ht="12.75" customHeight="1" spans="1:36" x14ac:dyDescent="0.25" outlineLevel="1" collapsed="1">
      <c r="A45" s="290"/>
      <c r="B45" s="291"/>
      <c r="C45" s="120" t="s">
        <v>249</v>
      </c>
      <c r="D45" s="291"/>
      <c r="E45" s="291"/>
      <c r="F45" s="293"/>
      <c r="G45" s="294" t="str">
        <f ca="1">IF($C$25="Annual",'Segment Analysis'!G177,'Segment Analysis'!G197)</f>
        <v>N/A</v>
      </c>
      <c r="H45" s="294" t="str">
        <f ca="1">IF($C$25="Annual",'Segment Analysis'!H177,'Segment Analysis'!H197)</f>
        <v>N/A</v>
      </c>
      <c r="I45" s="294" t="str">
        <f ca="1">IF($C$25="Annual",'Segment Analysis'!I177,'Segment Analysis'!I197)</f>
        <v>N/A</v>
      </c>
      <c r="J45" s="295"/>
      <c r="K45" s="294" t="str">
        <f ca="1">IF($C$25="Annual",'Segment Analysis'!K177,'Segment Analysis'!K197)</f>
        <v>N/A</v>
      </c>
      <c r="L45" s="294" t="str">
        <f ca="1">IF($C$25="Annual",'Segment Analysis'!L177,'Segment Analysis'!L197)</f>
        <v>N/A</v>
      </c>
      <c r="M45" s="294" t="str">
        <f ca="1">IF($C$25="Annual",'Segment Analysis'!M177,'Segment Analysis'!M197)</f>
        <v>N/A</v>
      </c>
      <c r="N45" s="294" t="str">
        <f ca="1">IF($C$25="Annual",'Segment Analysis'!N177,'Segment Analysis'!N197)</f>
        <v>N/A</v>
      </c>
      <c r="O45" s="295">
        <f ca="1">IF($C$25="Annual",'Segment Analysis'!O177,'Segment Analysis'!O197)</f>
        <v>1e-12</v>
      </c>
      <c r="P45" s="294" t="str">
        <f ca="1">IF($C$25="Annual",'Segment Analysis'!P177,'Segment Analysis'!P197)</f>
        <v>N/A</v>
      </c>
      <c r="Q45" s="294" t="str">
        <f ca="1">IF($C$25="Annual",'Segment Analysis'!Q177,'Segment Analysis'!Q197)</f>
        <v>N/A</v>
      </c>
      <c r="R45" s="294" t="str">
        <f ca="1">IF($C$25="Annual",'Segment Analysis'!R177,'Segment Analysis'!R197)</f>
        <v>N/A</v>
      </c>
      <c r="S45" s="294" t="str">
        <f ca="1">IF($C$25="Annual",'Segment Analysis'!S177,'Segment Analysis'!S197)</f>
        <v>N/A</v>
      </c>
      <c r="T45" s="295">
        <f ca="1">IF($C$25="Annual",'Segment Analysis'!T177,'Segment Analysis'!T197)</f>
        <v>1e-12</v>
      </c>
      <c r="U45" s="294" t="str">
        <f ca="1">IF($C$25="Annual",'Segment Analysis'!U177,'Segment Analysis'!U197)</f>
        <v>N/A</v>
      </c>
      <c r="V45" s="294" t="str">
        <f ca="1">IF($C$25="Annual",'Segment Analysis'!V177,'Segment Analysis'!V197)</f>
        <v>N/A</v>
      </c>
      <c r="W45" s="294" t="str">
        <f ca="1">IF($C$25="Annual",'Segment Analysis'!W177,'Segment Analysis'!W197)</f>
        <v>N/A</v>
      </c>
      <c r="X45" s="296" t="str">
        <f ca="1">IFERROR(X44/W44-1,"--")</f>
        <v>--</v>
      </c>
      <c r="Y45" s="297" t="str">
        <f ca="1">IFERROR(Y44/T44-1,"--")</f>
        <v>--</v>
      </c>
      <c r="Z45" s="296" t="str">
        <f ca="1">IFERROR(Z44/X44-1,"--")</f>
        <v>--</v>
      </c>
      <c r="AA45" s="296" t="str">
        <f t="shared" ref="AA45:AC45" si="16" ca="1">IFERROR(AA44/Z44-1,"--")</f>
        <v>--</v>
      </c>
      <c r="AB45" s="296" t="str">
        <f ca="1">IFERROR(AB44/AA44-1,"--")</f>
        <v>--</v>
      </c>
      <c r="AC45" s="296" t="str">
        <f ca="1">IFERROR(AC44/AB44-1,"--")</f>
        <v>--</v>
      </c>
      <c r="AD45" s="297" t="str">
        <f ca="1">IFERROR(AD44/Y44-1,"--")</f>
        <v>--</v>
      </c>
      <c r="AE45" s="297" t="str">
        <f t="shared" ref="AE45:AG45" si="17" ca="1">IFERROR(AE44/AD44-1,"--")</f>
        <v>--</v>
      </c>
      <c r="AF45" s="297" t="str">
        <f ca="1">IFERROR(AF44/AE44-1,"--")</f>
        <v>--</v>
      </c>
      <c r="AG45" s="297" t="str">
        <f ca="1">IFERROR(AG44/AF44-1,"--")</f>
        <v>--</v>
      </c>
      <c r="AH45" s="291"/>
      <c r="AI45" s="298"/>
      <c r="AJ45" s="299"/>
    </row>
    <row r="46" ht="12.75" customHeight="1" spans="1:36" x14ac:dyDescent="0.25" outlineLevel="1" collapsed="1">
      <c r="A46" s="290"/>
      <c r="B46" s="291"/>
      <c r="C46" s="120" t="s">
        <v>248</v>
      </c>
      <c r="D46" s="291"/>
      <c r="E46" s="291"/>
      <c r="F46" s="294">
        <f ca="1">'Segment Analysis'!F20</f>
        <v>1e-12</v>
      </c>
      <c r="G46" s="294">
        <f ca="1">'Segment Analysis'!G20</f>
        <v>1e-12</v>
      </c>
      <c r="H46" s="294">
        <f ca="1">'Segment Analysis'!H20</f>
        <v>1e-12</v>
      </c>
      <c r="I46" s="294">
        <f ca="1">'Segment Analysis'!I20</f>
        <v>1e-12</v>
      </c>
      <c r="J46" s="295">
        <f ca="1">'Segment Analysis'!J20</f>
        <v>1e-12</v>
      </c>
      <c r="K46" s="294">
        <f ca="1">'Segment Analysis'!K20</f>
        <v>1e-12</v>
      </c>
      <c r="L46" s="294">
        <f ca="1">'Segment Analysis'!L20</f>
        <v>1e-12</v>
      </c>
      <c r="M46" s="294">
        <f ca="1">'Segment Analysis'!M20</f>
        <v>1e-12</v>
      </c>
      <c r="N46" s="294">
        <f ca="1">'Segment Analysis'!N20</f>
        <v>1e-12</v>
      </c>
      <c r="O46" s="295">
        <f ca="1">'Segment Analysis'!O20</f>
        <v>1e-12</v>
      </c>
      <c r="P46" s="294">
        <f ca="1">'Segment Analysis'!P20</f>
        <v>1e-12</v>
      </c>
      <c r="Q46" s="294">
        <f ca="1">'Segment Analysis'!Q20</f>
        <v>1e-12</v>
      </c>
      <c r="R46" s="294">
        <f ca="1">'Segment Analysis'!R20</f>
        <v>1e-12</v>
      </c>
      <c r="S46" s="294">
        <f ca="1">'Segment Analysis'!S20</f>
        <v>1e-12</v>
      </c>
      <c r="T46" s="295">
        <f ca="1">'Segment Analysis'!T20</f>
        <v>1e-12</v>
      </c>
      <c r="U46" s="294">
        <f ca="1">'Segment Analysis'!U20</f>
        <v>1e-12</v>
      </c>
      <c r="V46" s="294">
        <f ca="1">'Segment Analysis'!V20</f>
        <v>1e-12</v>
      </c>
      <c r="W46" s="294">
        <f ca="1">'Segment Analysis'!W20</f>
        <v>1e-12</v>
      </c>
      <c r="X46" s="296">
        <f t="shared" ref="X46:AG46" si="18" ca="1">X44/X$30</f>
        <v>1e-12</v>
      </c>
      <c r="Y46" s="297">
        <f ca="1">Y44/Y$30</f>
        <v>1e-12</v>
      </c>
      <c r="Z46" s="296">
        <f ca="1">Z44/Z$30</f>
        <v>1e-12</v>
      </c>
      <c r="AA46" s="296">
        <f ca="1">AA44/AA$30</f>
        <v>1e-12</v>
      </c>
      <c r="AB46" s="296">
        <f ca="1">AB44/AB$30</f>
        <v>1e-12</v>
      </c>
      <c r="AC46" s="296">
        <f ca="1">AC44/AC$30</f>
        <v>1e-12</v>
      </c>
      <c r="AD46" s="297">
        <f ca="1">AD44/AD$30</f>
        <v>1e-12</v>
      </c>
      <c r="AE46" s="297">
        <f ca="1">AE44/AE$30</f>
        <v>1e-12</v>
      </c>
      <c r="AF46" s="297">
        <f ca="1">AF44/AF$30</f>
        <v>1e-12</v>
      </c>
      <c r="AG46" s="297">
        <f ca="1">AG44/AG$30</f>
        <v>1e-12</v>
      </c>
      <c r="AH46" s="291"/>
      <c r="AI46" s="298"/>
      <c r="AJ46" s="299"/>
    </row>
    <row r="47" ht="12.75" customHeight="1" spans="1:36" x14ac:dyDescent="0.25" outlineLevel="1" collapsed="1">
      <c r="A47" s="16"/>
      <c r="B47" s="16"/>
      <c r="C47" s="16" t="str">
        <f ca="1">'Segment Analysis'!C13</f>
        <v>Segment 6 Revenue</v>
      </c>
      <c r="D47" s="16"/>
      <c r="E47" s="16"/>
      <c r="F47" s="284">
        <f ca="1">'Segment Analysis'!F13</f>
        <v>1e-12</v>
      </c>
      <c r="G47" s="284">
        <f ca="1">'Segment Analysis'!G13</f>
        <v>1e-12</v>
      </c>
      <c r="H47" s="284">
        <f ca="1">'Segment Analysis'!H13</f>
        <v>1e-12</v>
      </c>
      <c r="I47" s="284">
        <f ca="1">'Segment Analysis'!I13</f>
        <v>1e-12</v>
      </c>
      <c r="J47" s="285">
        <f ca="1">'Segment Analysis'!J13</f>
        <v>1e-12</v>
      </c>
      <c r="K47" s="284">
        <f ca="1">'Segment Analysis'!K13</f>
        <v>1e-12</v>
      </c>
      <c r="L47" s="284">
        <f ca="1">'Segment Analysis'!L13</f>
        <v>1e-12</v>
      </c>
      <c r="M47" s="284">
        <f ca="1">'Segment Analysis'!M13</f>
        <v>1e-12</v>
      </c>
      <c r="N47" s="284">
        <f ca="1">'Segment Analysis'!N13</f>
        <v>1e-12</v>
      </c>
      <c r="O47" s="285">
        <f ca="1">'Segment Analysis'!O13</f>
        <v>1e-12</v>
      </c>
      <c r="P47" s="284">
        <f ca="1">'Segment Analysis'!P13</f>
        <v>1e-12</v>
      </c>
      <c r="Q47" s="284">
        <f ca="1">'Segment Analysis'!Q13</f>
        <v>1e-12</v>
      </c>
      <c r="R47" s="284">
        <f ca="1">'Segment Analysis'!R13</f>
        <v>1e-12</v>
      </c>
      <c r="S47" s="284">
        <f ca="1">'Segment Analysis'!S13</f>
        <v>1e-12</v>
      </c>
      <c r="T47" s="285">
        <f ca="1">'Segment Analysis'!T13</f>
        <v>1e-12</v>
      </c>
      <c r="U47" s="284">
        <f ca="1">'Segment Analysis'!U13</f>
        <v>1e-12</v>
      </c>
      <c r="V47" s="284">
        <f ca="1">'Segment Analysis'!V13</f>
        <v>1e-12</v>
      </c>
      <c r="W47" s="284">
        <f ca="1">'Segment Analysis'!W13</f>
        <v>1e-12</v>
      </c>
      <c r="X47" s="286">
        <f ca="1">IF(Segment6_Rev_Methodology="Segment",X83,IF(Segment6_Rev_Methodology="Activity-Based",X151,IF(Segment6_Rev_Methodology="Backlog",X225,"--")))</f>
        <v>0</v>
      </c>
      <c r="Y47" s="287">
        <f ca="1">SUM(U47:X47)</f>
        <v>1e-12</v>
      </c>
      <c r="Z47" s="286">
        <f ca="1">IF(Segment6_Rev_Methodology="Segment",Z83,IF(Segment6_Rev_Methodology="Activity-Based",Z151,IF(Segment6_Rev_Methodology="Backlog",Z225,"--")))</f>
        <v>0</v>
      </c>
      <c r="AA47" s="286">
        <f ca="1">IF(Segment6_Rev_Methodology="Segment",AA83,IF(Segment6_Rev_Methodology="Activity-Based",AA151,IF(Segment6_Rev_Methodology="Backlog",AA225,"--")))</f>
        <v>0</v>
      </c>
      <c r="AB47" s="286">
        <f ca="1">IF(Segment6_Rev_Methodology="Segment",AB83,IF(Segment6_Rev_Methodology="Activity-Based",AB151,IF(Segment6_Rev_Methodology="Backlog",AB225,"--")))</f>
        <v>0</v>
      </c>
      <c r="AC47" s="286">
        <f ca="1">IF(Segment6_Rev_Methodology="Segment",AC83,IF(Segment6_Rev_Methodology="Activity-Based",AC151,IF(Segment6_Rev_Methodology="Backlog",AC225,"--")))</f>
        <v>0</v>
      </c>
      <c r="AD47" s="287">
        <f ca="1">SUM(Z47:AC47)</f>
        <v>1e-12</v>
      </c>
      <c r="AE47" s="287">
        <f ca="1">IF(Segment6_Rev_Methodology="Segment",AE83,IF(Segment6_Rev_Methodology="Activity-Based",AE151,IF(Segment6_Rev_Methodology="Backlog",AE225,"--")))</f>
        <v>0</v>
      </c>
      <c r="AF47" s="287">
        <f ca="1">IF(Segment6_Rev_Methodology="Segment",AF83,IF(Segment6_Rev_Methodology="Activity-Based",AF151,IF(Segment6_Rev_Methodology="Backlog",AF225,"--")))</f>
        <v>0</v>
      </c>
      <c r="AG47" s="287">
        <f ca="1">IF(Segment6_Rev_Methodology="Segment",AG83,IF(Segment6_Rev_Methodology="Activity-Based",AG151,IF(Segment6_Rev_Methodology="Backlog",AG225,"--")))</f>
        <v>0</v>
      </c>
      <c r="AH47" s="16"/>
      <c r="AI47" s="288" t="str">
        <f ca="1">IFERROR((T47/J47)^(1/3)-1,"--")</f>
        <v>--</v>
      </c>
      <c r="AJ47" s="289" t="str">
        <f ca="1">IFERROR((AG47/T47)^(1/5)-1,"--")</f>
        <v>--</v>
      </c>
    </row>
    <row r="48" ht="12.75" customHeight="1" spans="1:36" x14ac:dyDescent="0.25" outlineLevel="1" collapsed="1">
      <c r="A48" s="302"/>
      <c r="B48" s="303"/>
      <c r="C48" s="120" t="s">
        <v>249</v>
      </c>
      <c r="D48" s="303"/>
      <c r="E48" s="303"/>
      <c r="F48" s="304"/>
      <c r="G48" s="294" t="str">
        <f ca="1">IF($C$25="Annual",'Segment Analysis'!G198,'Segment Analysis'!G198)</f>
        <v>N/A</v>
      </c>
      <c r="H48" s="294" t="str">
        <f ca="1">IF($C$25="Annual",'Segment Analysis'!H198,'Segment Analysis'!H198)</f>
        <v>N/A</v>
      </c>
      <c r="I48" s="294" t="str">
        <f ca="1">IF($C$25="Annual",'Segment Analysis'!I198,'Segment Analysis'!I198)</f>
        <v>N/A</v>
      </c>
      <c r="J48" s="295"/>
      <c r="K48" s="294" t="str">
        <f ca="1">IF($C$25="Annual",'Segment Analysis'!K198,'Segment Analysis'!K198)</f>
        <v>N/A</v>
      </c>
      <c r="L48" s="294" t="str">
        <f ca="1">IF($C$25="Annual",'Segment Analysis'!L198,'Segment Analysis'!L198)</f>
        <v>N/A</v>
      </c>
      <c r="M48" s="294" t="str">
        <f ca="1">IF($C$25="Annual",'Segment Analysis'!M198,'Segment Analysis'!M198)</f>
        <v>N/A</v>
      </c>
      <c r="N48" s="294" t="str">
        <f ca="1">IF($C$25="Annual",'Segment Analysis'!N198,'Segment Analysis'!N198)</f>
        <v>N/A</v>
      </c>
      <c r="O48" s="295">
        <f ca="1">IF($C$25="Annual",'Segment Analysis'!O198,'Segment Analysis'!O198)</f>
        <v>1e-12</v>
      </c>
      <c r="P48" s="294" t="str">
        <f ca="1">IF($C$25="Annual",'Segment Analysis'!P198,'Segment Analysis'!P198)</f>
        <v>N/A</v>
      </c>
      <c r="Q48" s="294" t="str">
        <f ca="1">IF($C$25="Annual",'Segment Analysis'!Q198,'Segment Analysis'!Q198)</f>
        <v>N/A</v>
      </c>
      <c r="R48" s="294" t="str">
        <f ca="1">IF($C$25="Annual",'Segment Analysis'!R198,'Segment Analysis'!R198)</f>
        <v>N/A</v>
      </c>
      <c r="S48" s="294" t="str">
        <f ca="1">IF($C$25="Annual",'Segment Analysis'!S198,'Segment Analysis'!S198)</f>
        <v>N/A</v>
      </c>
      <c r="T48" s="295">
        <f ca="1">IF($C$25="Annual",'Segment Analysis'!T198,'Segment Analysis'!T198)</f>
        <v>1e-12</v>
      </c>
      <c r="U48" s="294" t="str">
        <f ca="1">IF($C$25="Annual",'Segment Analysis'!U198,'Segment Analysis'!U198)</f>
        <v>N/A</v>
      </c>
      <c r="V48" s="294" t="str">
        <f ca="1">IF($C$25="Annual",'Segment Analysis'!V198,'Segment Analysis'!V198)</f>
        <v>N/A</v>
      </c>
      <c r="W48" s="294" t="str">
        <f ca="1">IF($C$25="Annual",'Segment Analysis'!W198,'Segment Analysis'!W198)</f>
        <v>N/A</v>
      </c>
      <c r="X48" s="305" t="str">
        <f ca="1">IFERROR(X47/W47-1,"--")</f>
        <v>--</v>
      </c>
      <c r="Y48" s="306" t="str">
        <f ca="1">IFERROR(Y47/T47-1,"--")</f>
        <v>--</v>
      </c>
      <c r="Z48" s="305" t="str">
        <f ca="1">IFERROR(Z47/X47-1,"--")</f>
        <v>--</v>
      </c>
      <c r="AA48" s="305" t="str">
        <f t="shared" ref="AA48:AC48" si="19" ca="1">IFERROR(AA47/Z47-1,"--")</f>
        <v>--</v>
      </c>
      <c r="AB48" s="305" t="str">
        <f ca="1">IFERROR(AB47/AA47-1,"--")</f>
        <v>--</v>
      </c>
      <c r="AC48" s="305" t="str">
        <f ca="1">IFERROR(AC47/AB47-1,"--")</f>
        <v>--</v>
      </c>
      <c r="AD48" s="306" t="str">
        <f ca="1">IFERROR(AD47/Y47-1,"--")</f>
        <v>--</v>
      </c>
      <c r="AE48" s="306" t="str">
        <f t="shared" ref="AE48:AG48" si="20" ca="1">IFERROR(AE47/AD47-1,"--")</f>
        <v>--</v>
      </c>
      <c r="AF48" s="306" t="str">
        <f ca="1">IFERROR(AF47/AE47-1,"--")</f>
        <v>--</v>
      </c>
      <c r="AG48" s="306" t="str">
        <f ca="1">IFERROR(AG47/AF47-1,"--")</f>
        <v>--</v>
      </c>
      <c r="AH48" s="303"/>
      <c r="AI48" s="307"/>
      <c r="AJ48" s="308"/>
    </row>
    <row r="49" ht="12.75" customHeight="1" spans="1:36" x14ac:dyDescent="0.25" outlineLevel="1" collapsed="1">
      <c r="A49" s="302"/>
      <c r="B49" s="303"/>
      <c r="C49" s="120" t="s">
        <v>248</v>
      </c>
      <c r="D49" s="303"/>
      <c r="E49" s="303"/>
      <c r="F49" s="309">
        <f ca="1">'Segment Analysis'!F21</f>
        <v>1e-12</v>
      </c>
      <c r="G49" s="309">
        <f ca="1">'Segment Analysis'!G21</f>
        <v>1e-12</v>
      </c>
      <c r="H49" s="309">
        <f ca="1">'Segment Analysis'!H21</f>
        <v>1e-12</v>
      </c>
      <c r="I49" s="309">
        <f ca="1">'Segment Analysis'!I21</f>
        <v>1e-12</v>
      </c>
      <c r="J49" s="310">
        <f ca="1">'Segment Analysis'!J21</f>
        <v>1e-12</v>
      </c>
      <c r="K49" s="309">
        <f ca="1">'Segment Analysis'!K21</f>
        <v>1e-12</v>
      </c>
      <c r="L49" s="309">
        <f ca="1">'Segment Analysis'!L21</f>
        <v>1e-12</v>
      </c>
      <c r="M49" s="309">
        <f ca="1">'Segment Analysis'!M21</f>
        <v>1e-12</v>
      </c>
      <c r="N49" s="309">
        <f ca="1">'Segment Analysis'!N21</f>
        <v>1e-12</v>
      </c>
      <c r="O49" s="310">
        <f ca="1">'Segment Analysis'!O21</f>
        <v>1e-12</v>
      </c>
      <c r="P49" s="309">
        <f ca="1">'Segment Analysis'!P21</f>
        <v>1e-12</v>
      </c>
      <c r="Q49" s="309">
        <f ca="1">'Segment Analysis'!Q21</f>
        <v>1e-12</v>
      </c>
      <c r="R49" s="309">
        <f ca="1">'Segment Analysis'!R21</f>
        <v>1e-12</v>
      </c>
      <c r="S49" s="309">
        <f ca="1">'Segment Analysis'!S21</f>
        <v>1e-12</v>
      </c>
      <c r="T49" s="310">
        <f ca="1">'Segment Analysis'!T21</f>
        <v>1e-12</v>
      </c>
      <c r="U49" s="309">
        <f ca="1">'Segment Analysis'!U21</f>
        <v>1e-12</v>
      </c>
      <c r="V49" s="309">
        <f ca="1">'Segment Analysis'!V21</f>
        <v>1e-12</v>
      </c>
      <c r="W49" s="309">
        <f ca="1">'Segment Analysis'!W21</f>
        <v>1e-12</v>
      </c>
      <c r="X49" s="305">
        <f t="shared" ref="X49:AG49" si="21" ca="1">X47/X$30</f>
        <v>1e-12</v>
      </c>
      <c r="Y49" s="306">
        <f ca="1">Y47/Y$30</f>
        <v>1e-12</v>
      </c>
      <c r="Z49" s="305">
        <f ca="1">Z47/Z$30</f>
        <v>1e-12</v>
      </c>
      <c r="AA49" s="305">
        <f ca="1">AA47/AA$30</f>
        <v>1e-12</v>
      </c>
      <c r="AB49" s="305">
        <f ca="1">AB47/AB$30</f>
        <v>1e-12</v>
      </c>
      <c r="AC49" s="305">
        <f ca="1">AC47/AC$30</f>
        <v>1e-12</v>
      </c>
      <c r="AD49" s="306">
        <f ca="1">AD47/AD$30</f>
        <v>1e-12</v>
      </c>
      <c r="AE49" s="306">
        <f ca="1">AE47/AE$30</f>
        <v>1e-12</v>
      </c>
      <c r="AF49" s="306">
        <f ca="1">AF47/AF$30</f>
        <v>1e-12</v>
      </c>
      <c r="AG49" s="306">
        <f ca="1">AG47/AG$30</f>
        <v>1e-12</v>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 ca="1">F$28</f>
        <v>1Q23</v>
      </c>
      <c r="G51" s="313" t="str">
        <f ca="1">G$28</f>
        <v>2Q23</v>
      </c>
      <c r="H51" s="313" t="str">
        <f ca="1">H$28</f>
        <v>3Q23</v>
      </c>
      <c r="I51" s="313" t="str">
        <f ca="1">I$28</f>
        <v>4Q23</v>
      </c>
      <c r="J51" s="313">
        <f ca="1">J$28</f>
        <v>2023</v>
      </c>
      <c r="K51" s="313" t="str">
        <f ca="1">K$28</f>
        <v>1Q24</v>
      </c>
      <c r="L51" s="313" t="str">
        <f ca="1">L$28</f>
        <v>2Q24</v>
      </c>
      <c r="M51" s="313" t="str">
        <f ca="1">M$28</f>
        <v>3Q24</v>
      </c>
      <c r="N51" s="313" t="str">
        <f ca="1">N$28</f>
        <v>4Q24</v>
      </c>
      <c r="O51" s="313">
        <f ca="1">O$28</f>
        <v>2024</v>
      </c>
      <c r="P51" s="313" t="str">
        <f ca="1">P$28</f>
        <v>1Q25</v>
      </c>
      <c r="Q51" s="313" t="str">
        <f ca="1">Q$28</f>
        <v>2Q25</v>
      </c>
      <c r="R51" s="313" t="str">
        <f ca="1">R$28</f>
        <v>3Q25</v>
      </c>
      <c r="S51" s="313" t="str">
        <f ca="1">S$28</f>
        <v>4Q25</v>
      </c>
      <c r="T51" s="313">
        <f ca="1">T$28</f>
        <v>2025</v>
      </c>
      <c r="U51" s="313" t="str">
        <f ca="1">U$28</f>
        <v>1Q26</v>
      </c>
      <c r="V51" s="313" t="str">
        <f ca="1">V$28</f>
        <v>2Q26</v>
      </c>
      <c r="W51" s="313" t="str">
        <f ca="1">W$28</f>
        <v>3Q26e</v>
      </c>
      <c r="X51" s="313" t="str">
        <f ca="1">X$28</f>
        <v>4Q26e</v>
      </c>
      <c r="Y51" s="313" t="str">
        <f ca="1">Y$28</f>
        <v>2026e</v>
      </c>
      <c r="Z51" s="313" t="str">
        <f ca="1">Z$28</f>
        <v>1Q27e</v>
      </c>
      <c r="AA51" s="313" t="str">
        <f ca="1">AA$28</f>
        <v>2Q27e</v>
      </c>
      <c r="AB51" s="313" t="str">
        <f ca="1">AB$28</f>
        <v>3Q27e</v>
      </c>
      <c r="AC51" s="313" t="str">
        <f ca="1">AC$28</f>
        <v>4Q27e</v>
      </c>
      <c r="AD51" s="313" t="str">
        <f ca="1">AD$28</f>
        <v>2027e</v>
      </c>
      <c r="AE51" s="313" t="str">
        <f ca="1">AE$28</f>
        <v>2028e</v>
      </c>
      <c r="AF51" s="313" t="str">
        <f ca="1">AF$28</f>
        <v>2029e</v>
      </c>
      <c r="AG51" s="314" t="str">
        <f ca="1">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 ca="1">C32</f>
        <v>Home Improvement Retail Revenue</v>
      </c>
      <c r="D53" s="16"/>
      <c r="E53" s="16"/>
      <c r="F53" s="317">
        <f t="shared" ref="F53:W53" si="23" ca="1">F32</f>
        <v>17360</v>
      </c>
      <c r="G53" s="317">
        <f ca="1">G32</f>
        <v>20888</v>
      </c>
      <c r="H53" s="317">
        <f ca="1">H32</f>
        <v>17415</v>
      </c>
      <c r="I53" s="317">
        <f ca="1">I32</f>
        <v>15646</v>
      </c>
      <c r="J53" s="287">
        <f ca="1">J32</f>
        <v>71309</v>
      </c>
      <c r="K53" s="317">
        <f ca="1">K32</f>
        <v>17741</v>
      </c>
      <c r="L53" s="317">
        <f ca="1">L32</f>
        <v>20992</v>
      </c>
      <c r="M53" s="317">
        <f ca="1">M32</f>
        <v>17388</v>
      </c>
      <c r="N53" s="317">
        <f ca="1">N32</f>
        <v>16027</v>
      </c>
      <c r="O53" s="287">
        <f ca="1">O32</f>
        <v>72148</v>
      </c>
      <c r="P53" s="317">
        <f ca="1">P32</f>
        <v>19675</v>
      </c>
      <c r="Q53" s="317">
        <f ca="1">Q32</f>
        <v>27302</v>
      </c>
      <c r="R53" s="317">
        <f ca="1">R32</f>
        <v>22309</v>
      </c>
      <c r="S53" s="317">
        <f ca="1">S32</f>
        <v>20311</v>
      </c>
      <c r="T53" s="287">
        <f ca="1">T32</f>
        <v>89597</v>
      </c>
      <c r="U53" s="317">
        <f ca="1">U32</f>
        <v>24422</v>
      </c>
      <c r="V53" s="317">
        <f ca="1">V32</f>
        <v>27570</v>
      </c>
      <c r="W53" s="317">
        <f ca="1">W32</f>
        <v>22918</v>
      </c>
      <c r="X53" s="286">
        <f ca="1">IF($C$25="Quarterly",W53*(1+X54),S53*(1+X54))</f>
        <v>21772.1</v>
      </c>
      <c r="Y53" s="287">
        <f ca="1">SUM(U53:X53)</f>
        <v>96682.1</v>
      </c>
      <c r="Z53" s="286">
        <f ca="1">IF($C$25="Quarterly",X53*(1+Z54),U53*(1+Z54))</f>
        <v>25691.077999999998</v>
      </c>
      <c r="AA53" s="286">
        <f t="shared" ref="AA53:AC53" si="24" ca="1">IF($C$25="Quarterly",Z53*(1+AA54),V53*(1+AA54))</f>
        <v>29287.82892</v>
      </c>
      <c r="AB53" s="286">
        <f ca="1">IF($C$25="Quarterly",AA53*(1+AB54),W53*(1+AB54))</f>
        <v>25773.2894496</v>
      </c>
      <c r="AC53" s="286">
        <f ca="1">IF($C$25="Quarterly",AB53*(1+AC54),X53*(1+AC54))</f>
        <v>24484.62497712</v>
      </c>
      <c r="AD53" s="287">
        <f ca="1">SUM(Z53:AC53)</f>
        <v>105236.82134671998</v>
      </c>
      <c r="AE53" s="287">
        <f t="shared" ref="AE53:AG53" si="25" ca="1">AD53*(1+AE54)</f>
        <v>107341.55777365438</v>
      </c>
      <c r="AF53" s="287">
        <f ca="1">AE53*(1+AF54)</f>
        <v>109488.38892912747</v>
      </c>
      <c r="AG53" s="287">
        <f ca="1">AF53*(1+AG54)</f>
        <v>111678.15670771002</v>
      </c>
      <c r="AH53" s="16"/>
      <c r="AI53" s="16"/>
      <c r="AJ53" s="16"/>
    </row>
    <row r="54" ht="12.75" customHeight="1" spans="1:36" x14ac:dyDescent="0.25">
      <c r="A54" s="303"/>
      <c r="B54" s="303"/>
      <c r="C54" s="120" t="str">
        <f ca="1">IF($C$25="Quarterly","% Growth QoQ","% Growth YoY")</f>
        <v>% Growth QoQ</v>
      </c>
      <c r="D54" s="303"/>
      <c r="E54" s="303"/>
      <c r="F54" s="318"/>
      <c r="G54" s="318">
        <f t="shared" ref="G54:W54" si="26" ca="1">G33</f>
        <v>0.2032258064516128</v>
      </c>
      <c r="H54" s="318">
        <f ca="1">H33</f>
        <v>-0.16626771351972425</v>
      </c>
      <c r="I54" s="318">
        <f ca="1">I33</f>
        <v>-0.10157909847832325</v>
      </c>
      <c r="J54" s="306">
        <f ca="1">J33</f>
        <v>1e-12</v>
      </c>
      <c r="K54" s="318">
        <f ca="1">K33</f>
        <v>0.13390003834845965</v>
      </c>
      <c r="L54" s="318">
        <f ca="1">L33</f>
        <v>0.18324784397722782</v>
      </c>
      <c r="M54" s="318">
        <f ca="1">M33</f>
        <v>-0.17168445121951215</v>
      </c>
      <c r="N54" s="318">
        <f ca="1">N33</f>
        <v>-0.07827237175063262</v>
      </c>
      <c r="O54" s="306">
        <f ca="1">O33</f>
        <v>1e-12</v>
      </c>
      <c r="P54" s="318">
        <f ca="1">P33</f>
        <v>0.22761589817183503</v>
      </c>
      <c r="Q54" s="318">
        <f ca="1">Q33</f>
        <v>0.3876493011435833</v>
      </c>
      <c r="R54" s="318">
        <f ca="1">R33</f>
        <v>-0.18288037506409782</v>
      </c>
      <c r="S54" s="318">
        <f ca="1">S33</f>
        <v>-0.08956026715675292</v>
      </c>
      <c r="T54" s="306">
        <f ca="1">T33</f>
        <v>1e-12</v>
      </c>
      <c r="U54" s="318">
        <f ca="1">U33</f>
        <v>0.20240263896410804</v>
      </c>
      <c r="V54" s="318">
        <f ca="1">V33</f>
        <v>0.12890017197608716</v>
      </c>
      <c r="W54" s="318">
        <f ca="1">W33</f>
        <v>-0.16873413130214</v>
      </c>
      <c r="X54" s="305">
        <f ca="1">IF(Case_Scenario="Bull",X55,IF(Case_Scenario="Base",X56,IF(Case_Scenario="bear",X57,"N/A")))</f>
        <v>-0.05</v>
      </c>
      <c r="Y54" s="306"/>
      <c r="Z54" s="305">
        <f ca="1">IF(Case_Scenario="Bull",Z55,IF(Case_Scenario="Base",Z56,IF(Case_Scenario="bear",Z57,"N/A")))</f>
        <v>0.18</v>
      </c>
      <c r="AA54" s="305">
        <f ca="1">IF(Case_Scenario="Bull",AA55,IF(Case_Scenario="Base",AA56,IF(Case_Scenario="bear",AA57,"N/A")))</f>
        <v>0.14</v>
      </c>
      <c r="AB54" s="305">
        <f ca="1">IF(Case_Scenario="Bull",AB55,IF(Case_Scenario="Base",AB56,IF(Case_Scenario="bear",AB57,"N/A")))</f>
        <v>-0.12</v>
      </c>
      <c r="AC54" s="305">
        <f ca="1">IF(Case_Scenario="Bull",AC55,IF(Case_Scenario="Base",AC56,IF(Case_Scenario="bear",AC57,"N/A")))</f>
        <v>-0.05</v>
      </c>
      <c r="AD54" s="306"/>
      <c r="AE54" s="306">
        <f ca="1">IF(Case_Scenario="Bull",AE55,IF(Case_Scenario="Base",AE56,IF(Case_Scenario="bear",AE57,"N/A")))</f>
        <v>0.02</v>
      </c>
      <c r="AF54" s="306">
        <f ca="1">IF(Case_Scenario="Bull",AF55,IF(Case_Scenario="Base",AF56,IF(Case_Scenario="bear",AF57,"N/A")))</f>
        <v>0.02</v>
      </c>
      <c r="AG54" s="306">
        <f ca="1">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 ca="1">C35</f>
        <v>Segment 2 Revenue</v>
      </c>
      <c r="D59" s="16"/>
      <c r="E59" s="16"/>
      <c r="F59" s="317">
        <f t="shared" ref="F59:W59" si="27" ca="1">F35</f>
        <v>1e-12</v>
      </c>
      <c r="G59" s="317">
        <f ca="1">G35</f>
        <v>1e-12</v>
      </c>
      <c r="H59" s="317">
        <f ca="1">H35</f>
        <v>1e-12</v>
      </c>
      <c r="I59" s="317">
        <f ca="1">I35</f>
        <v>1e-12</v>
      </c>
      <c r="J59" s="287">
        <f ca="1">J35</f>
        <v>1e-12</v>
      </c>
      <c r="K59" s="317">
        <f ca="1">K35</f>
        <v>1e-12</v>
      </c>
      <c r="L59" s="317">
        <f ca="1">L35</f>
        <v>1e-12</v>
      </c>
      <c r="M59" s="317">
        <f ca="1">M35</f>
        <v>1e-12</v>
      </c>
      <c r="N59" s="317">
        <f ca="1">N35</f>
        <v>1e-12</v>
      </c>
      <c r="O59" s="287">
        <f ca="1">O35</f>
        <v>1e-12</v>
      </c>
      <c r="P59" s="317">
        <f ca="1">P35</f>
        <v>1e-12</v>
      </c>
      <c r="Q59" s="317">
        <f ca="1">Q35</f>
        <v>1e-12</v>
      </c>
      <c r="R59" s="317">
        <f ca="1">R35</f>
        <v>1e-12</v>
      </c>
      <c r="S59" s="317">
        <f ca="1">S35</f>
        <v>1e-12</v>
      </c>
      <c r="T59" s="287">
        <f ca="1">T35</f>
        <v>1e-12</v>
      </c>
      <c r="U59" s="317">
        <f ca="1">U35</f>
        <v>1e-12</v>
      </c>
      <c r="V59" s="317">
        <f ca="1">V35</f>
        <v>1e-12</v>
      </c>
      <c r="W59" s="317">
        <f ca="1">W35</f>
        <v>1e-12</v>
      </c>
      <c r="X59" s="286">
        <f ca="1">IF($C$25="Quarterly",W59*(1+X60),S59*(1+X60))</f>
        <v>1e-12</v>
      </c>
      <c r="Y59" s="287">
        <f ca="1">SUM(U59:X59)</f>
        <v>1e-12</v>
      </c>
      <c r="Z59" s="286">
        <f ca="1">IF($C$25="Quarterly",X59*(1+Z60),U59*(1+Z60))</f>
        <v>1e-12</v>
      </c>
      <c r="AA59" s="286">
        <f t="shared" ref="AA59:AC59" si="28" ca="1">IF($C$25="Quarterly",Z59*(1+AA60),V59*(1+AA60))</f>
        <v>1e-12</v>
      </c>
      <c r="AB59" s="286">
        <f ca="1">IF($C$25="Quarterly",AA59*(1+AB60),W59*(1+AB60))</f>
        <v>1e-12</v>
      </c>
      <c r="AC59" s="286">
        <f ca="1">IF($C$25="Quarterly",AB59*(1+AC60),X59*(1+AC60))</f>
        <v>1e-12</v>
      </c>
      <c r="AD59" s="287">
        <f ca="1">SUM(Z59:AC59)</f>
        <v>1e-12</v>
      </c>
      <c r="AE59" s="287">
        <f t="shared" ref="AE59:AG59" si="29" ca="1">AD59*(1+AE60)</f>
        <v>1e-12</v>
      </c>
      <c r="AF59" s="287">
        <f ca="1">AE59*(1+AF60)</f>
        <v>1e-12</v>
      </c>
      <c r="AG59" s="287">
        <f ca="1">AF59*(1+AG60)</f>
        <v>1e-12</v>
      </c>
      <c r="AH59" s="16"/>
      <c r="AI59" s="16"/>
      <c r="AJ59" s="16"/>
    </row>
    <row r="60" ht="12.75" customHeight="1" spans="1:36" x14ac:dyDescent="0.25">
      <c r="A60" s="16"/>
      <c r="B60" s="16"/>
      <c r="C60" s="120" t="str">
        <f ca="1">IF($C$25="Quarterly","% Growth QoQ","% Growth YoY")</f>
        <v>% Growth QoQ</v>
      </c>
      <c r="D60" s="16"/>
      <c r="E60" s="16"/>
      <c r="F60" s="319"/>
      <c r="G60" s="318" t="str">
        <f t="shared" ref="G60:W60" si="30" ca="1">G36</f>
        <v>N/A</v>
      </c>
      <c r="H60" s="318" t="str">
        <f ca="1">H36</f>
        <v>N/A</v>
      </c>
      <c r="I60" s="318" t="str">
        <f ca="1">I36</f>
        <v>N/A</v>
      </c>
      <c r="J60" s="306">
        <f ca="1">J36</f>
        <v>1e-12</v>
      </c>
      <c r="K60" s="318" t="str">
        <f ca="1">K36</f>
        <v>N/A</v>
      </c>
      <c r="L60" s="318" t="str">
        <f ca="1">L36</f>
        <v>N/A</v>
      </c>
      <c r="M60" s="318" t="str">
        <f ca="1">M36</f>
        <v>N/A</v>
      </c>
      <c r="N60" s="318" t="str">
        <f ca="1">N36</f>
        <v>N/A</v>
      </c>
      <c r="O60" s="306" t="str">
        <f ca="1">O36</f>
        <v>N/A</v>
      </c>
      <c r="P60" s="318" t="str">
        <f ca="1">P36</f>
        <v>N/A</v>
      </c>
      <c r="Q60" s="318" t="str">
        <f ca="1">Q36</f>
        <v>N/A</v>
      </c>
      <c r="R60" s="318" t="str">
        <f ca="1">R36</f>
        <v>N/A</v>
      </c>
      <c r="S60" s="318" t="str">
        <f ca="1">S36</f>
        <v>N/A</v>
      </c>
      <c r="T60" s="306" t="str">
        <f ca="1">T36</f>
        <v>N/A</v>
      </c>
      <c r="U60" s="318" t="str">
        <f ca="1">U36</f>
        <v>N/A</v>
      </c>
      <c r="V60" s="318" t="str">
        <f ca="1">V36</f>
        <v>N/A</v>
      </c>
      <c r="W60" s="318" t="str">
        <f ca="1">W36</f>
        <v>N/A</v>
      </c>
      <c r="X60" s="305">
        <f ca="1">IF(Case_Scenario="Bull",X61,IF(Case_Scenario="Base",X62,IF(Case_Scenario="bear",X63,"N/A")))</f>
        <v>0.05</v>
      </c>
      <c r="Y60" s="306"/>
      <c r="Z60" s="305">
        <f ca="1">IF(Case_Scenario="Bull",Z61,IF(Case_Scenario="Base",Z62,IF(Case_Scenario="bear",Z63,"N/A")))</f>
        <v>0.05</v>
      </c>
      <c r="AA60" s="305">
        <f ca="1">IF(Case_Scenario="Bull",AA61,IF(Case_Scenario="Base",AA62,IF(Case_Scenario="bear",AA63,"N/A")))</f>
        <v>0.05</v>
      </c>
      <c r="AB60" s="305">
        <f ca="1">IF(Case_Scenario="Bull",AB61,IF(Case_Scenario="Base",AB62,IF(Case_Scenario="bear",AB63,"N/A")))</f>
        <v>0.05</v>
      </c>
      <c r="AC60" s="305">
        <f ca="1">IF(Case_Scenario="Bull",AC61,IF(Case_Scenario="Base",AC62,IF(Case_Scenario="bear",AC63,"N/A")))</f>
        <v>0.05</v>
      </c>
      <c r="AD60" s="306"/>
      <c r="AE60" s="306">
        <f ca="1">IF(Case_Scenario="Bull",AE61,IF(Case_Scenario="Base",AE62,IF(Case_Scenario="bear",AE63,"N/A")))</f>
        <v>0.05</v>
      </c>
      <c r="AF60" s="306">
        <f ca="1">IF(Case_Scenario="Bull",AF61,IF(Case_Scenario="Base",AF62,IF(Case_Scenario="bear",AF63,"N/A")))</f>
        <v>0.05</v>
      </c>
      <c r="AG60" s="306">
        <f ca="1">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 ca="1">C38</f>
        <v>Segment 3 Revenue</v>
      </c>
      <c r="D65" s="16"/>
      <c r="E65" s="16"/>
      <c r="F65" s="317">
        <f t="shared" ref="F65:W65" si="31" ca="1">F38</f>
        <v>1e-12</v>
      </c>
      <c r="G65" s="317">
        <f ca="1">G38</f>
        <v>1e-12</v>
      </c>
      <c r="H65" s="317">
        <f ca="1">H38</f>
        <v>1e-12</v>
      </c>
      <c r="I65" s="317">
        <f ca="1">I38</f>
        <v>1e-12</v>
      </c>
      <c r="J65" s="287">
        <f ca="1">J38</f>
        <v>1e-12</v>
      </c>
      <c r="K65" s="317">
        <f ca="1">K38</f>
        <v>1e-12</v>
      </c>
      <c r="L65" s="317">
        <f ca="1">L38</f>
        <v>1e-12</v>
      </c>
      <c r="M65" s="317">
        <f ca="1">M38</f>
        <v>1e-12</v>
      </c>
      <c r="N65" s="317">
        <f ca="1">N38</f>
        <v>1e-12</v>
      </c>
      <c r="O65" s="287">
        <f ca="1">O38</f>
        <v>1e-12</v>
      </c>
      <c r="P65" s="317">
        <f ca="1">P38</f>
        <v>1e-12</v>
      </c>
      <c r="Q65" s="317">
        <f ca="1">Q38</f>
        <v>1e-12</v>
      </c>
      <c r="R65" s="317">
        <f ca="1">R38</f>
        <v>1e-12</v>
      </c>
      <c r="S65" s="317">
        <f ca="1">S38</f>
        <v>1e-12</v>
      </c>
      <c r="T65" s="287">
        <f ca="1">T38</f>
        <v>1e-12</v>
      </c>
      <c r="U65" s="317">
        <f ca="1">U38</f>
        <v>1e-12</v>
      </c>
      <c r="V65" s="317">
        <f ca="1">V38</f>
        <v>1e-12</v>
      </c>
      <c r="W65" s="317">
        <f ca="1">W38</f>
        <v>1e-12</v>
      </c>
      <c r="X65" s="286">
        <f ca="1">IF($C$25="Quarterly",W65*(1+X66),S65*(1+X66))</f>
        <v>1e-12</v>
      </c>
      <c r="Y65" s="287">
        <f ca="1">SUM(U65:X65)</f>
        <v>1e-12</v>
      </c>
      <c r="Z65" s="286">
        <f ca="1">IF($C$25="Quarterly",X65*(1+Z66),U65*(1+Z66))</f>
        <v>1e-12</v>
      </c>
      <c r="AA65" s="286">
        <f t="shared" ref="AA65:AC65" si="32" ca="1">IF($C$25="Quarterly",Z65*(1+AA66),V65*(1+AA66))</f>
        <v>1e-12</v>
      </c>
      <c r="AB65" s="286">
        <f ca="1">IF($C$25="Quarterly",AA65*(1+AB66),W65*(1+AB66))</f>
        <v>1e-12</v>
      </c>
      <c r="AC65" s="286">
        <f ca="1">IF($C$25="Quarterly",AB65*(1+AC66),X65*(1+AC66))</f>
        <v>1e-12</v>
      </c>
      <c r="AD65" s="287">
        <f ca="1">SUM(Z65:AC65)</f>
        <v>1e-12</v>
      </c>
      <c r="AE65" s="287">
        <f t="shared" ref="AE65:AG65" si="33" ca="1">AD65*(1+AE66)</f>
        <v>1e-12</v>
      </c>
      <c r="AF65" s="287">
        <f ca="1">AE65*(1+AF66)</f>
        <v>1e-12</v>
      </c>
      <c r="AG65" s="287">
        <f ca="1">AF65*(1+AG66)</f>
        <v>1e-12</v>
      </c>
      <c r="AH65" s="16"/>
      <c r="AI65" s="16"/>
      <c r="AJ65" s="16"/>
    </row>
    <row r="66" ht="12.75" customHeight="1" spans="1:36" x14ac:dyDescent="0.25">
      <c r="A66" s="16"/>
      <c r="B66" s="16"/>
      <c r="C66" s="120" t="str">
        <f ca="1">IF($C$25="Quarterly","% Growth QoQ","% Growth YoY")</f>
        <v>% Growth QoQ</v>
      </c>
      <c r="D66" s="16"/>
      <c r="E66" s="16"/>
      <c r="F66" s="319"/>
      <c r="G66" s="318" t="str">
        <f t="shared" ref="G66:W66" si="34" ca="1">G39</f>
        <v>N/A</v>
      </c>
      <c r="H66" s="318" t="str">
        <f ca="1">H39</f>
        <v>N/A</v>
      </c>
      <c r="I66" s="318" t="str">
        <f ca="1">I39</f>
        <v>N/A</v>
      </c>
      <c r="J66" s="306">
        <f ca="1">J39</f>
        <v>1e-12</v>
      </c>
      <c r="K66" s="318" t="str">
        <f ca="1">K39</f>
        <v>N/A</v>
      </c>
      <c r="L66" s="318" t="str">
        <f ca="1">L39</f>
        <v>N/A</v>
      </c>
      <c r="M66" s="318" t="str">
        <f ca="1">M39</f>
        <v>N/A</v>
      </c>
      <c r="N66" s="318" t="str">
        <f ca="1">N39</f>
        <v>N/A</v>
      </c>
      <c r="O66" s="306">
        <f ca="1">O39</f>
        <v>1e-12</v>
      </c>
      <c r="P66" s="318" t="str">
        <f ca="1">P39</f>
        <v>N/A</v>
      </c>
      <c r="Q66" s="318" t="str">
        <f ca="1">Q39</f>
        <v>N/A</v>
      </c>
      <c r="R66" s="318" t="str">
        <f ca="1">R39</f>
        <v>N/A</v>
      </c>
      <c r="S66" s="318" t="str">
        <f ca="1">S39</f>
        <v>N/A</v>
      </c>
      <c r="T66" s="306">
        <f ca="1">T39</f>
        <v>1e-12</v>
      </c>
      <c r="U66" s="318" t="str">
        <f ca="1">U39</f>
        <v>N/A</v>
      </c>
      <c r="V66" s="318" t="str">
        <f ca="1">V39</f>
        <v>N/A</v>
      </c>
      <c r="W66" s="318" t="str">
        <f ca="1">W39</f>
        <v>N/A</v>
      </c>
      <c r="X66" s="305">
        <f ca="1">IF(Case_Scenario="Bull",X67,IF(Case_Scenario="Base",X68,IF(Case_Scenario="bear",X69,"N/A")))</f>
        <v>0.05</v>
      </c>
      <c r="Y66" s="306"/>
      <c r="Z66" s="305">
        <f ca="1">IF(Case_Scenario="Bull",Z67,IF(Case_Scenario="Base",Z68,IF(Case_Scenario="bear",Z69,"N/A")))</f>
        <v>0.05</v>
      </c>
      <c r="AA66" s="305">
        <f ca="1">IF(Case_Scenario="Bull",AA67,IF(Case_Scenario="Base",AA68,IF(Case_Scenario="bear",AA69,"N/A")))</f>
        <v>0.05</v>
      </c>
      <c r="AB66" s="305">
        <f ca="1">IF(Case_Scenario="Bull",AB67,IF(Case_Scenario="Base",AB68,IF(Case_Scenario="bear",AB69,"N/A")))</f>
        <v>0.05</v>
      </c>
      <c r="AC66" s="305">
        <f ca="1">IF(Case_Scenario="Bull",AC67,IF(Case_Scenario="Base",AC68,IF(Case_Scenario="bear",AC69,"N/A")))</f>
        <v>0.05</v>
      </c>
      <c r="AD66" s="306"/>
      <c r="AE66" s="306">
        <f ca="1">IF(Case_Scenario="Bull",AE67,IF(Case_Scenario="Base",AE68,IF(Case_Scenario="bear",AE69,"N/A")))</f>
        <v>0.05</v>
      </c>
      <c r="AF66" s="306">
        <f ca="1">IF(Case_Scenario="Bull",AF67,IF(Case_Scenario="Base",AF68,IF(Case_Scenario="bear",AF69,"N/A")))</f>
        <v>0.05</v>
      </c>
      <c r="AG66" s="306">
        <f ca="1">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 ca="1">C41</f>
        <v>Segment 4 Revenue</v>
      </c>
      <c r="D71" s="16"/>
      <c r="E71" s="16"/>
      <c r="F71" s="317">
        <f t="shared" ref="F71:W71" si="35" ca="1">F41</f>
        <v>1e-12</v>
      </c>
      <c r="G71" s="317">
        <f ca="1">G41</f>
        <v>1e-12</v>
      </c>
      <c r="H71" s="317">
        <f ca="1">H41</f>
        <v>1e-12</v>
      </c>
      <c r="I71" s="317">
        <f ca="1">I41</f>
        <v>1e-12</v>
      </c>
      <c r="J71" s="287">
        <f ca="1">J41</f>
        <v>1e-12</v>
      </c>
      <c r="K71" s="317">
        <f ca="1">K41</f>
        <v>1e-12</v>
      </c>
      <c r="L71" s="317">
        <f ca="1">L41</f>
        <v>1e-12</v>
      </c>
      <c r="M71" s="317">
        <f ca="1">M41</f>
        <v>1e-12</v>
      </c>
      <c r="N71" s="317">
        <f ca="1">N41</f>
        <v>1e-12</v>
      </c>
      <c r="O71" s="287">
        <f ca="1">O41</f>
        <v>1e-12</v>
      </c>
      <c r="P71" s="317">
        <f ca="1">P41</f>
        <v>1e-12</v>
      </c>
      <c r="Q71" s="317">
        <f ca="1">Q41</f>
        <v>1e-12</v>
      </c>
      <c r="R71" s="317">
        <f ca="1">R41</f>
        <v>1e-12</v>
      </c>
      <c r="S71" s="317">
        <f ca="1">S41</f>
        <v>1e-12</v>
      </c>
      <c r="T71" s="287">
        <f ca="1">T41</f>
        <v>1e-12</v>
      </c>
      <c r="U71" s="317">
        <f ca="1">U41</f>
        <v>1e-12</v>
      </c>
      <c r="V71" s="317">
        <f ca="1">V41</f>
        <v>1e-12</v>
      </c>
      <c r="W71" s="317">
        <f ca="1">W41</f>
        <v>1e-12</v>
      </c>
      <c r="X71" s="286">
        <f ca="1">IF($C$25="Quarterly",W71*(1+X72),S71*(1+X72))</f>
        <v>1e-12</v>
      </c>
      <c r="Y71" s="287">
        <f ca="1">SUM(U71:X71)</f>
        <v>1e-12</v>
      </c>
      <c r="Z71" s="286">
        <f ca="1">IF($C$25="Quarterly",X71*(1+Z72),U71*(1+Z72))</f>
        <v>1e-12</v>
      </c>
      <c r="AA71" s="286">
        <f t="shared" ref="AA71:AC71" si="36" ca="1">IF($C$25="Quarterly",Z71*(1+AA72),V71*(1+AA72))</f>
        <v>1e-12</v>
      </c>
      <c r="AB71" s="286">
        <f ca="1">IF($C$25="Quarterly",AA71*(1+AB72),W71*(1+AB72))</f>
        <v>1e-12</v>
      </c>
      <c r="AC71" s="286">
        <f ca="1">IF($C$25="Quarterly",AB71*(1+AC72),X71*(1+AC72))</f>
        <v>1e-12</v>
      </c>
      <c r="AD71" s="287">
        <f ca="1">SUM(Z71:AC71)</f>
        <v>1e-12</v>
      </c>
      <c r="AE71" s="287">
        <f t="shared" ref="AE71:AG71" si="37" ca="1">AD71*(1+AE72)</f>
        <v>1e-12</v>
      </c>
      <c r="AF71" s="287">
        <f ca="1">AE71*(1+AF72)</f>
        <v>1e-12</v>
      </c>
      <c r="AG71" s="287">
        <f ca="1">AF71*(1+AG72)</f>
        <v>1e-12</v>
      </c>
      <c r="AH71" s="16"/>
      <c r="AI71" s="16"/>
      <c r="AJ71" s="16"/>
    </row>
    <row r="72" ht="12.75" customHeight="1" spans="1:36" x14ac:dyDescent="0.25">
      <c r="A72" s="16"/>
      <c r="B72" s="16"/>
      <c r="C72" s="120" t="str">
        <f ca="1">IF($C$25="Quarterly","% Growth QoQ","% Growth YoY")</f>
        <v>% Growth QoQ</v>
      </c>
      <c r="D72" s="16"/>
      <c r="E72" s="16"/>
      <c r="F72" s="319"/>
      <c r="G72" s="318" t="str">
        <f t="shared" ref="G72:W72" si="38" ca="1">G42</f>
        <v>N/A</v>
      </c>
      <c r="H72" s="318" t="str">
        <f ca="1">H42</f>
        <v>N/A</v>
      </c>
      <c r="I72" s="318" t="str">
        <f ca="1">I42</f>
        <v>N/A</v>
      </c>
      <c r="J72" s="306">
        <f ca="1">J42</f>
        <v>1e-12</v>
      </c>
      <c r="K72" s="318" t="str">
        <f ca="1">K42</f>
        <v>N/A</v>
      </c>
      <c r="L72" s="318" t="str">
        <f ca="1">L42</f>
        <v>N/A</v>
      </c>
      <c r="M72" s="318" t="str">
        <f ca="1">M42</f>
        <v>N/A</v>
      </c>
      <c r="N72" s="318" t="str">
        <f ca="1">N42</f>
        <v>N/A</v>
      </c>
      <c r="O72" s="306">
        <f ca="1">O42</f>
        <v>1e-12</v>
      </c>
      <c r="P72" s="318" t="str">
        <f ca="1">P42</f>
        <v>N/A</v>
      </c>
      <c r="Q72" s="318" t="str">
        <f ca="1">Q42</f>
        <v>N/A</v>
      </c>
      <c r="R72" s="318" t="str">
        <f ca="1">R42</f>
        <v>N/A</v>
      </c>
      <c r="S72" s="318" t="str">
        <f ca="1">S42</f>
        <v>N/A</v>
      </c>
      <c r="T72" s="306">
        <f ca="1">T42</f>
        <v>1e-12</v>
      </c>
      <c r="U72" s="318" t="str">
        <f ca="1">U42</f>
        <v>N/A</v>
      </c>
      <c r="V72" s="318" t="str">
        <f ca="1">V42</f>
        <v>N/A</v>
      </c>
      <c r="W72" s="318" t="str">
        <f ca="1">W42</f>
        <v>N/A</v>
      </c>
      <c r="X72" s="305">
        <f ca="1">IF(Case_Scenario="Bull",X73,IF(Case_Scenario="Base",X74,IF(Case_Scenario="bear",X75,"N/A")))</f>
        <v>0.05</v>
      </c>
      <c r="Y72" s="306"/>
      <c r="Z72" s="305">
        <f ca="1">IF(Case_Scenario="Bull",Z73,IF(Case_Scenario="Base",Z74,IF(Case_Scenario="bear",Z75,"N/A")))</f>
        <v>0.05</v>
      </c>
      <c r="AA72" s="305">
        <f ca="1">IF(Case_Scenario="Bull",AA73,IF(Case_Scenario="Base",AA74,IF(Case_Scenario="bear",AA75,"N/A")))</f>
        <v>0.05</v>
      </c>
      <c r="AB72" s="305">
        <f ca="1">IF(Case_Scenario="Bull",AB73,IF(Case_Scenario="Base",AB74,IF(Case_Scenario="bear",AB75,"N/A")))</f>
        <v>0.05</v>
      </c>
      <c r="AC72" s="305">
        <f ca="1">IF(Case_Scenario="Bull",AC73,IF(Case_Scenario="Base",AC74,IF(Case_Scenario="bear",AC75,"N/A")))</f>
        <v>0.05</v>
      </c>
      <c r="AD72" s="306"/>
      <c r="AE72" s="306">
        <f ca="1">IF(Case_Scenario="Bull",AE73,IF(Case_Scenario="Base",AE74,IF(Case_Scenario="bear",AE75,"N/A")))</f>
        <v>0.05</v>
      </c>
      <c r="AF72" s="306">
        <f ca="1">IF(Case_Scenario="Bull",AF73,IF(Case_Scenario="Base",AF74,IF(Case_Scenario="bear",AF75,"N/A")))</f>
        <v>0.05</v>
      </c>
      <c r="AG72" s="306">
        <f ca="1">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 ca="1">C44</f>
        <v>Segment 5 Revenue</v>
      </c>
      <c r="D77" s="16"/>
      <c r="E77" s="16"/>
      <c r="F77" s="317">
        <f t="shared" ref="F77:W77" si="39" ca="1">F44</f>
        <v>1e-12</v>
      </c>
      <c r="G77" s="317">
        <f ca="1">G44</f>
        <v>1e-12</v>
      </c>
      <c r="H77" s="317">
        <f ca="1">H44</f>
        <v>1e-12</v>
      </c>
      <c r="I77" s="317">
        <f ca="1">I44</f>
        <v>1e-12</v>
      </c>
      <c r="J77" s="287">
        <f ca="1">J44</f>
        <v>1e-12</v>
      </c>
      <c r="K77" s="317">
        <f ca="1">K44</f>
        <v>1e-12</v>
      </c>
      <c r="L77" s="317">
        <f ca="1">L44</f>
        <v>1e-12</v>
      </c>
      <c r="M77" s="317">
        <f ca="1">M44</f>
        <v>1e-12</v>
      </c>
      <c r="N77" s="317">
        <f ca="1">N44</f>
        <v>1e-12</v>
      </c>
      <c r="O77" s="287">
        <f ca="1">O44</f>
        <v>1e-12</v>
      </c>
      <c r="P77" s="317">
        <f ca="1">P44</f>
        <v>1e-12</v>
      </c>
      <c r="Q77" s="317">
        <f ca="1">Q44</f>
        <v>1e-12</v>
      </c>
      <c r="R77" s="317">
        <f ca="1">R44</f>
        <v>1e-12</v>
      </c>
      <c r="S77" s="317">
        <f ca="1">S44</f>
        <v>1e-12</v>
      </c>
      <c r="T77" s="287">
        <f ca="1">T44</f>
        <v>1e-12</v>
      </c>
      <c r="U77" s="317">
        <f ca="1">U44</f>
        <v>1e-12</v>
      </c>
      <c r="V77" s="317">
        <f ca="1">V44</f>
        <v>1e-12</v>
      </c>
      <c r="W77" s="317">
        <f ca="1">W44</f>
        <v>1e-12</v>
      </c>
      <c r="X77" s="286">
        <f ca="1">IF($C$25="Quarterly",W77*(1+X78),S77*(1+X78))</f>
        <v>1e-12</v>
      </c>
      <c r="Y77" s="287">
        <f ca="1">SUM(U77:X77)</f>
        <v>1e-12</v>
      </c>
      <c r="Z77" s="286">
        <f ca="1">IF($C$25="Quarterly",X77*(1+Z78),U77*(1+Z78))</f>
        <v>1e-12</v>
      </c>
      <c r="AA77" s="286">
        <f t="shared" ref="AA77:AC77" si="40" ca="1">IF($C$25="Quarterly",Z77*(1+AA78),V77*(1+AA78))</f>
        <v>1e-12</v>
      </c>
      <c r="AB77" s="286">
        <f ca="1">IF($C$25="Quarterly",AA77*(1+AB78),W77*(1+AB78))</f>
        <v>1e-12</v>
      </c>
      <c r="AC77" s="286">
        <f ca="1">IF($C$25="Quarterly",AB77*(1+AC78),X77*(1+AC78))</f>
        <v>1e-12</v>
      </c>
      <c r="AD77" s="287">
        <f ca="1">SUM(Z77:AC77)</f>
        <v>1e-12</v>
      </c>
      <c r="AE77" s="287">
        <f t="shared" ref="AE77:AG77" si="41" ca="1">AD77*(1+AE78)</f>
        <v>1e-12</v>
      </c>
      <c r="AF77" s="287">
        <f ca="1">AE77*(1+AF78)</f>
        <v>1e-12</v>
      </c>
      <c r="AG77" s="287">
        <f ca="1">AF77*(1+AG78)</f>
        <v>1e-12</v>
      </c>
      <c r="AH77" s="16"/>
      <c r="AI77" s="16"/>
      <c r="AJ77" s="16"/>
    </row>
    <row r="78" ht="12.75" customHeight="1" spans="1:36" x14ac:dyDescent="0.25">
      <c r="A78" s="16"/>
      <c r="B78" s="16"/>
      <c r="C78" s="120" t="str">
        <f ca="1">IF($C$25="Quarterly","% Growth QoQ","% Growth YoY")</f>
        <v>% Growth QoQ</v>
      </c>
      <c r="D78" s="16"/>
      <c r="E78" s="16"/>
      <c r="F78" s="319"/>
      <c r="G78" s="318" t="str">
        <f t="shared" ref="G78:W78" si="42" ca="1">G45</f>
        <v>N/A</v>
      </c>
      <c r="H78" s="318" t="str">
        <f ca="1">H45</f>
        <v>N/A</v>
      </c>
      <c r="I78" s="318" t="str">
        <f ca="1">I45</f>
        <v>N/A</v>
      </c>
      <c r="J78" s="306">
        <f ca="1">J45</f>
        <v>1e-12</v>
      </c>
      <c r="K78" s="318" t="str">
        <f ca="1">K45</f>
        <v>N/A</v>
      </c>
      <c r="L78" s="318" t="str">
        <f ca="1">L45</f>
        <v>N/A</v>
      </c>
      <c r="M78" s="318" t="str">
        <f ca="1">M45</f>
        <v>N/A</v>
      </c>
      <c r="N78" s="318" t="str">
        <f ca="1">N45</f>
        <v>N/A</v>
      </c>
      <c r="O78" s="306">
        <f ca="1">O45</f>
        <v>1e-12</v>
      </c>
      <c r="P78" s="318" t="str">
        <f ca="1">P45</f>
        <v>N/A</v>
      </c>
      <c r="Q78" s="318" t="str">
        <f ca="1">Q45</f>
        <v>N/A</v>
      </c>
      <c r="R78" s="318" t="str">
        <f ca="1">R45</f>
        <v>N/A</v>
      </c>
      <c r="S78" s="318" t="str">
        <f ca="1">S45</f>
        <v>N/A</v>
      </c>
      <c r="T78" s="306">
        <f ca="1">T45</f>
        <v>1e-12</v>
      </c>
      <c r="U78" s="318" t="str">
        <f ca="1">U45</f>
        <v>N/A</v>
      </c>
      <c r="V78" s="318" t="str">
        <f ca="1">V45</f>
        <v>N/A</v>
      </c>
      <c r="W78" s="318" t="str">
        <f ca="1">W45</f>
        <v>N/A</v>
      </c>
      <c r="X78" s="305">
        <f ca="1">IF(Case_Scenario="Bull",X79,IF(Case_Scenario="Base",X80,IF(Case_Scenario="bear",X81,"N/A")))</f>
        <v>0.05</v>
      </c>
      <c r="Y78" s="306"/>
      <c r="Z78" s="305">
        <f ca="1">IF(Case_Scenario="Bull",Z79,IF(Case_Scenario="Base",Z80,IF(Case_Scenario="bear",Z81,"N/A")))</f>
        <v>0.05</v>
      </c>
      <c r="AA78" s="305">
        <f ca="1">IF(Case_Scenario="Bull",AA79,IF(Case_Scenario="Base",AA80,IF(Case_Scenario="bear",AA81,"N/A")))</f>
        <v>0.05</v>
      </c>
      <c r="AB78" s="305">
        <f ca="1">IF(Case_Scenario="Bull",AB79,IF(Case_Scenario="Base",AB80,IF(Case_Scenario="bear",AB81,"N/A")))</f>
        <v>0.05</v>
      </c>
      <c r="AC78" s="305">
        <f ca="1">IF(Case_Scenario="Bull",AC79,IF(Case_Scenario="Base",AC80,IF(Case_Scenario="bear",AC81,"N/A")))</f>
        <v>0.05</v>
      </c>
      <c r="AD78" s="306"/>
      <c r="AE78" s="306">
        <f ca="1">IF(Case_Scenario="Bull",AE79,IF(Case_Scenario="Base",AE80,IF(Case_Scenario="bear",AE81,"N/A")))</f>
        <v>0.05</v>
      </c>
      <c r="AF78" s="306">
        <f ca="1">IF(Case_Scenario="Bull",AF79,IF(Case_Scenario="Base",AF80,IF(Case_Scenario="bear",AF81,"N/A")))</f>
        <v>0.05</v>
      </c>
      <c r="AG78" s="306">
        <f ca="1">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 ca="1">C47</f>
        <v>Segment 6 Revenue</v>
      </c>
      <c r="D83" s="16"/>
      <c r="E83" s="16"/>
      <c r="F83" s="317">
        <f t="shared" ref="F83:W83" si="43" ca="1">F47</f>
        <v>1e-12</v>
      </c>
      <c r="G83" s="317">
        <f ca="1">G47</f>
        <v>1e-12</v>
      </c>
      <c r="H83" s="317">
        <f ca="1">H47</f>
        <v>1e-12</v>
      </c>
      <c r="I83" s="317">
        <f ca="1">I47</f>
        <v>1e-12</v>
      </c>
      <c r="J83" s="287">
        <f ca="1">J47</f>
        <v>1e-12</v>
      </c>
      <c r="K83" s="317">
        <f ca="1">K47</f>
        <v>1e-12</v>
      </c>
      <c r="L83" s="317">
        <f ca="1">L47</f>
        <v>1e-12</v>
      </c>
      <c r="M83" s="317">
        <f ca="1">M47</f>
        <v>1e-12</v>
      </c>
      <c r="N83" s="317">
        <f ca="1">N47</f>
        <v>1e-12</v>
      </c>
      <c r="O83" s="287">
        <f ca="1">O47</f>
        <v>1e-12</v>
      </c>
      <c r="P83" s="317">
        <f ca="1">P47</f>
        <v>1e-12</v>
      </c>
      <c r="Q83" s="317">
        <f ca="1">Q47</f>
        <v>1e-12</v>
      </c>
      <c r="R83" s="317">
        <f ca="1">R47</f>
        <v>1e-12</v>
      </c>
      <c r="S83" s="317">
        <f ca="1">S47</f>
        <v>1e-12</v>
      </c>
      <c r="T83" s="287">
        <f ca="1">T47</f>
        <v>1e-12</v>
      </c>
      <c r="U83" s="317">
        <f ca="1">U47</f>
        <v>1e-12</v>
      </c>
      <c r="V83" s="317">
        <f ca="1">V47</f>
        <v>1e-12</v>
      </c>
      <c r="W83" s="317">
        <f ca="1">W47</f>
        <v>1e-12</v>
      </c>
      <c r="X83" s="286">
        <f ca="1">IF($C$25="Quarterly",W83*(1+X84),S83*(1+X84))</f>
        <v>1e-12</v>
      </c>
      <c r="Y83" s="287">
        <f ca="1">SUM(U83:X83)</f>
        <v>1e-12</v>
      </c>
      <c r="Z83" s="286">
        <f ca="1">IF($C$25="Quarterly",X83*(1+Z84),U83*(1+Z84))</f>
        <v>1e-12</v>
      </c>
      <c r="AA83" s="286">
        <f t="shared" ref="AA83:AC83" si="44" ca="1">IF($C$25="Quarterly",Z83*(1+AA84),V83*(1+AA84))</f>
        <v>1e-12</v>
      </c>
      <c r="AB83" s="286">
        <f ca="1">IF($C$25="Quarterly",AA83*(1+AB84),W83*(1+AB84))</f>
        <v>1e-12</v>
      </c>
      <c r="AC83" s="286">
        <f ca="1">IF($C$25="Quarterly",AB83*(1+AC84),X83*(1+AC84))</f>
        <v>1e-12</v>
      </c>
      <c r="AD83" s="287">
        <f ca="1">SUM(Z83:AC83)</f>
        <v>1e-12</v>
      </c>
      <c r="AE83" s="287">
        <f t="shared" ref="AE83:AG83" si="45" ca="1">AD83*(1+AE84)</f>
        <v>1e-12</v>
      </c>
      <c r="AF83" s="287">
        <f ca="1">AE83*(1+AF84)</f>
        <v>1e-12</v>
      </c>
      <c r="AG83" s="287">
        <f ca="1">AF83*(1+AG84)</f>
        <v>1e-12</v>
      </c>
      <c r="AH83" s="16"/>
      <c r="AI83" s="16"/>
      <c r="AJ83" s="16"/>
    </row>
    <row r="84" ht="12.75" customHeight="1" spans="1:36" x14ac:dyDescent="0.25">
      <c r="A84" s="16"/>
      <c r="B84" s="16"/>
      <c r="C84" s="120" t="str">
        <f ca="1">IF($C$25="Quarterly","% Growth QoQ","% Growth YoY")</f>
        <v>% Growth QoQ</v>
      </c>
      <c r="D84" s="16"/>
      <c r="E84" s="16"/>
      <c r="F84" s="319"/>
      <c r="G84" s="318" t="str">
        <f t="shared" ref="G84:W84" si="46" ca="1">G48</f>
        <v>N/A</v>
      </c>
      <c r="H84" s="318" t="str">
        <f ca="1">H48</f>
        <v>N/A</v>
      </c>
      <c r="I84" s="318" t="str">
        <f ca="1">I48</f>
        <v>N/A</v>
      </c>
      <c r="J84" s="306">
        <f ca="1">J48</f>
        <v>1e-12</v>
      </c>
      <c r="K84" s="318" t="str">
        <f ca="1">K48</f>
        <v>N/A</v>
      </c>
      <c r="L84" s="318" t="str">
        <f ca="1">L48</f>
        <v>N/A</v>
      </c>
      <c r="M84" s="318" t="str">
        <f ca="1">M48</f>
        <v>N/A</v>
      </c>
      <c r="N84" s="318" t="str">
        <f ca="1">N48</f>
        <v>N/A</v>
      </c>
      <c r="O84" s="306">
        <f ca="1">O48</f>
        <v>1e-12</v>
      </c>
      <c r="P84" s="318" t="str">
        <f ca="1">P48</f>
        <v>N/A</v>
      </c>
      <c r="Q84" s="318" t="str">
        <f ca="1">Q48</f>
        <v>N/A</v>
      </c>
      <c r="R84" s="318" t="str">
        <f ca="1">R48</f>
        <v>N/A</v>
      </c>
      <c r="S84" s="318" t="str">
        <f ca="1">S48</f>
        <v>N/A</v>
      </c>
      <c r="T84" s="306">
        <f ca="1">T48</f>
        <v>1e-12</v>
      </c>
      <c r="U84" s="318" t="str">
        <f ca="1">U48</f>
        <v>N/A</v>
      </c>
      <c r="V84" s="318" t="str">
        <f ca="1">V48</f>
        <v>N/A</v>
      </c>
      <c r="W84" s="318" t="str">
        <f ca="1">W48</f>
        <v>N/A</v>
      </c>
      <c r="X84" s="305">
        <f ca="1">IF(Case_Scenario="Bull",X85,IF(Case_Scenario="Base",X86,IF(Case_Scenario="bear",X87,"N/A")))</f>
        <v>0</v>
      </c>
      <c r="Y84" s="306"/>
      <c r="Z84" s="305">
        <f ca="1">IF(Case_Scenario="Bull",Z85,IF(Case_Scenario="Base",Z86,IF(Case_Scenario="bear",Z87,"N/A")))</f>
        <v>0</v>
      </c>
      <c r="AA84" s="305">
        <f ca="1">IF(Case_Scenario="Bull",AA85,IF(Case_Scenario="Base",AA86,IF(Case_Scenario="bear",AA87,"N/A")))</f>
        <v>0</v>
      </c>
      <c r="AB84" s="305">
        <f ca="1">IF(Case_Scenario="Bull",AB85,IF(Case_Scenario="Base",AB86,IF(Case_Scenario="bear",AB87,"N/A")))</f>
        <v>0</v>
      </c>
      <c r="AC84" s="305">
        <f ca="1">IF(Case_Scenario="Bull",AC85,IF(Case_Scenario="Base",AC86,IF(Case_Scenario="bear",AC87,"N/A")))</f>
        <v>0</v>
      </c>
      <c r="AD84" s="306"/>
      <c r="AE84" s="306">
        <f ca="1">IF(Case_Scenario="Bull",AE85,IF(Case_Scenario="Base",AE86,IF(Case_Scenario="bear",AE87,"N/A")))</f>
        <v>0</v>
      </c>
      <c r="AF84" s="306">
        <f ca="1">IF(Case_Scenario="Bull",AF85,IF(Case_Scenario="Base",AF86,IF(Case_Scenario="bear",AF87,"N/A")))</f>
        <v>0</v>
      </c>
      <c r="AG84" s="306">
        <f ca="1">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 ca="1">W85</f>
        <v>1e-12</v>
      </c>
      <c r="Y85" s="321"/>
      <c r="Z85" s="320">
        <f t="shared" ref="Z85:Z87" si="48" ca="1">X85</f>
        <v>1e-12</v>
      </c>
      <c r="AA85" s="320">
        <f t="shared" ref="AA85:AC85" si="49" ca="1">Z85</f>
        <v>1e-12</v>
      </c>
      <c r="AB85" s="320">
        <f ca="1">AA85</f>
        <v>1e-12</v>
      </c>
      <c r="AC85" s="320">
        <f ca="1">AB85</f>
        <v>1e-12</v>
      </c>
      <c r="AD85" s="321"/>
      <c r="AE85" s="321">
        <f t="shared" ref="AE85:AE87" si="50" ca="1">AC85</f>
        <v>1e-12</v>
      </c>
      <c r="AF85" s="321">
        <f t="shared" ref="AF85:AG85" si="51" ca="1">AE85</f>
        <v>1e-12</v>
      </c>
      <c r="AG85" s="321">
        <f ca="1">AF85</f>
        <v>1e-12</v>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 ca="1">W86</f>
        <v>1e-12</v>
      </c>
      <c r="Y86" s="321"/>
      <c r="Z86" s="320">
        <f ca="1">X86</f>
        <v>1e-12</v>
      </c>
      <c r="AA86" s="320">
        <f t="shared" ref="AA86:AC86" si="52" ca="1">Z86</f>
        <v>1e-12</v>
      </c>
      <c r="AB86" s="320">
        <f ca="1">AA86</f>
        <v>1e-12</v>
      </c>
      <c r="AC86" s="320">
        <f ca="1">AB86</f>
        <v>1e-12</v>
      </c>
      <c r="AD86" s="321"/>
      <c r="AE86" s="321">
        <f ca="1">AC86</f>
        <v>1e-12</v>
      </c>
      <c r="AF86" s="321">
        <f t="shared" ref="AF86:AG86" si="53" ca="1">AE86</f>
        <v>1e-12</v>
      </c>
      <c r="AG86" s="321">
        <f ca="1">AF86</f>
        <v>1e-12</v>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 ca="1">W87</f>
        <v>1e-12</v>
      </c>
      <c r="Y87" s="321"/>
      <c r="Z87" s="320">
        <f ca="1">X87</f>
        <v>1e-12</v>
      </c>
      <c r="AA87" s="320">
        <f t="shared" ref="AA87:AC87" si="54" ca="1">Z87</f>
        <v>1e-12</v>
      </c>
      <c r="AB87" s="320">
        <f ca="1">AA87</f>
        <v>1e-12</v>
      </c>
      <c r="AC87" s="320">
        <f ca="1">AB87</f>
        <v>1e-12</v>
      </c>
      <c r="AD87" s="321"/>
      <c r="AE87" s="321">
        <f ca="1">AC87</f>
        <v>1e-12</v>
      </c>
      <c r="AF87" s="321">
        <f t="shared" ref="AF87:AG87" si="55" ca="1">AE87</f>
        <v>1e-12</v>
      </c>
      <c r="AG87" s="321">
        <f ca="1">AF87</f>
        <v>1e-12</v>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 ca="1">F$28</f>
        <v>1Q23</v>
      </c>
      <c r="G89" s="313" t="str">
        <f ca="1">G$28</f>
        <v>2Q23</v>
      </c>
      <c r="H89" s="313" t="str">
        <f ca="1">H$28</f>
        <v>3Q23</v>
      </c>
      <c r="I89" s="313" t="str">
        <f ca="1">I$28</f>
        <v>4Q23</v>
      </c>
      <c r="J89" s="313">
        <f ca="1">J$28</f>
        <v>2023</v>
      </c>
      <c r="K89" s="313" t="str">
        <f ca="1">K$28</f>
        <v>1Q24</v>
      </c>
      <c r="L89" s="313" t="str">
        <f ca="1">L$28</f>
        <v>2Q24</v>
      </c>
      <c r="M89" s="313" t="str">
        <f ca="1">M$28</f>
        <v>3Q24</v>
      </c>
      <c r="N89" s="313" t="str">
        <f ca="1">N$28</f>
        <v>4Q24</v>
      </c>
      <c r="O89" s="313">
        <f ca="1">O$28</f>
        <v>2024</v>
      </c>
      <c r="P89" s="313" t="str">
        <f ca="1">P$28</f>
        <v>1Q25</v>
      </c>
      <c r="Q89" s="313" t="str">
        <f ca="1">Q$28</f>
        <v>2Q25</v>
      </c>
      <c r="R89" s="313" t="str">
        <f ca="1">R$28</f>
        <v>3Q25</v>
      </c>
      <c r="S89" s="313" t="str">
        <f ca="1">S$28</f>
        <v>4Q25</v>
      </c>
      <c r="T89" s="313">
        <f ca="1">T$28</f>
        <v>2025</v>
      </c>
      <c r="U89" s="313" t="str">
        <f ca="1">U$28</f>
        <v>1Q26</v>
      </c>
      <c r="V89" s="313" t="str">
        <f ca="1">V$28</f>
        <v>2Q26</v>
      </c>
      <c r="W89" s="313" t="str">
        <f ca="1">W$28</f>
        <v>3Q26e</v>
      </c>
      <c r="X89" s="313" t="str">
        <f ca="1">X$28</f>
        <v>4Q26e</v>
      </c>
      <c r="Y89" s="313" t="str">
        <f ca="1">Y$28</f>
        <v>2026e</v>
      </c>
      <c r="Z89" s="313" t="str">
        <f ca="1">Z$28</f>
        <v>1Q27e</v>
      </c>
      <c r="AA89" s="313" t="str">
        <f ca="1">AA$28</f>
        <v>2Q27e</v>
      </c>
      <c r="AB89" s="313" t="str">
        <f ca="1">AB$28</f>
        <v>3Q27e</v>
      </c>
      <c r="AC89" s="313" t="str">
        <f ca="1">AC$28</f>
        <v>4Q27e</v>
      </c>
      <c r="AD89" s="313" t="str">
        <f ca="1">AD$28</f>
        <v>2027e</v>
      </c>
      <c r="AE89" s="313" t="str">
        <f ca="1">AE$28</f>
        <v>2028e</v>
      </c>
      <c r="AF89" s="313" t="str">
        <f ca="1">AF$28</f>
        <v>2029e</v>
      </c>
      <c r="AG89" s="314" t="str">
        <f ca="1">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 ca="1">C32</f>
        <v>Home Improvement Retail Revenue</v>
      </c>
      <c r="D91" s="16"/>
      <c r="E91" s="168"/>
      <c r="F91" s="317">
        <f t="shared" ref="F91:W91" si="57" ca="1">F32</f>
        <v>17360</v>
      </c>
      <c r="G91" s="317">
        <f ca="1">G32</f>
        <v>20888</v>
      </c>
      <c r="H91" s="317">
        <f ca="1">H32</f>
        <v>17415</v>
      </c>
      <c r="I91" s="317">
        <f ca="1">I32</f>
        <v>15646</v>
      </c>
      <c r="J91" s="287">
        <f ca="1">J32</f>
        <v>71309</v>
      </c>
      <c r="K91" s="317">
        <f ca="1">K32</f>
        <v>17741</v>
      </c>
      <c r="L91" s="317">
        <f ca="1">L32</f>
        <v>20992</v>
      </c>
      <c r="M91" s="317">
        <f ca="1">M32</f>
        <v>17388</v>
      </c>
      <c r="N91" s="317">
        <f ca="1">N32</f>
        <v>16027</v>
      </c>
      <c r="O91" s="287">
        <f ca="1">O32</f>
        <v>72148</v>
      </c>
      <c r="P91" s="317">
        <f ca="1">P32</f>
        <v>19675</v>
      </c>
      <c r="Q91" s="317">
        <f ca="1">Q32</f>
        <v>27302</v>
      </c>
      <c r="R91" s="317">
        <f ca="1">R32</f>
        <v>22309</v>
      </c>
      <c r="S91" s="317">
        <f ca="1">S32</f>
        <v>20311</v>
      </c>
      <c r="T91" s="287">
        <f ca="1">T32</f>
        <v>89597</v>
      </c>
      <c r="U91" s="317">
        <f ca="1">U32</f>
        <v>24422</v>
      </c>
      <c r="V91" s="317">
        <f ca="1">V32</f>
        <v>27570</v>
      </c>
      <c r="W91" s="317">
        <f ca="1">W32</f>
        <v>22918</v>
      </c>
      <c r="X91" s="286">
        <f ca="1">X92*X97</f>
        <v>25267.095</v>
      </c>
      <c r="Y91" s="287">
        <f t="shared" ref="Y91:Y92" si="58" ca="1">SUM(U91:X91)</f>
        <v>100177.095</v>
      </c>
      <c r="Z91" s="286">
        <f t="shared" ref="Z91:AC91" si="59" ca="1">Z92*Z97</f>
        <v>27856.972237500006</v>
      </c>
      <c r="AA91" s="286">
        <f ca="1">AA92*AA97</f>
        <v>30712.311891843754</v>
      </c>
      <c r="AB91" s="286">
        <f ca="1">AB92*AB97</f>
        <v>33860.323860757744</v>
      </c>
      <c r="AC91" s="286">
        <f ca="1">AC92*AC97</f>
        <v>37331.00705648542</v>
      </c>
      <c r="AD91" s="287">
        <f t="shared" ref="AD91:AD92" si="60" ca="1">SUM(Z91:AC91)</f>
        <v>129760.61504658693</v>
      </c>
      <c r="AE91" s="287">
        <f t="shared" ref="AE91:AG91" si="61" ca="1">AE92*AE97</f>
        <v>143061.0780888621</v>
      </c>
      <c r="AF91" s="287">
        <f ca="1">AF92*AF97</f>
        <v>157724.83859297048</v>
      </c>
      <c r="AG91" s="287">
        <f ca="1">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 ca="1">SUM(F92:I92)</f>
        <v>880</v>
      </c>
      <c r="K92" s="325">
        <v>220</v>
      </c>
      <c r="L92" s="325">
        <v>220</v>
      </c>
      <c r="M92" s="325">
        <v>220</v>
      </c>
      <c r="N92" s="325">
        <v>220</v>
      </c>
      <c r="O92" s="326">
        <f ca="1">SUM(K92:N92)</f>
        <v>880</v>
      </c>
      <c r="P92" s="325">
        <v>220</v>
      </c>
      <c r="Q92" s="325">
        <v>220</v>
      </c>
      <c r="R92" s="325">
        <v>220</v>
      </c>
      <c r="S92" s="325">
        <v>220</v>
      </c>
      <c r="T92" s="326">
        <f ca="1">SUM(P92:S92)</f>
        <v>880</v>
      </c>
      <c r="U92" s="325">
        <v>220</v>
      </c>
      <c r="V92" s="325">
        <v>220</v>
      </c>
      <c r="W92" s="325">
        <v>220</v>
      </c>
      <c r="X92" s="327">
        <f ca="1">W92*(1+X93)</f>
        <v>231</v>
      </c>
      <c r="Y92" s="326">
        <f ca="1">SUM(U92:X92)</f>
        <v>891</v>
      </c>
      <c r="Z92" s="327">
        <f ca="1">X92*(1+Z93)</f>
        <v>242.55</v>
      </c>
      <c r="AA92" s="327">
        <f t="shared" ref="AA92:AC92" si="62" ca="1">Z92*(1+AA93)</f>
        <v>254.6775</v>
      </c>
      <c r="AB92" s="327">
        <f ca="1">AA92*(1+AB93)</f>
        <v>267.411375</v>
      </c>
      <c r="AC92" s="327">
        <f ca="1">AB92*(1+AC93)</f>
        <v>280.78194375000004</v>
      </c>
      <c r="AD92" s="326">
        <f ca="1">SUM(Z92:AC92)</f>
        <v>1045.42081875</v>
      </c>
      <c r="AE92" s="326">
        <f t="shared" ref="AE92:AG92" si="63" ca="1">AD92*(1+AE93)</f>
        <v>1097.6918596875</v>
      </c>
      <c r="AF92" s="326">
        <f ca="1">AE92*(1+AF93)</f>
        <v>1152.5764526718751</v>
      </c>
      <c r="AG92" s="326">
        <f ca="1">AF92*(1+AG93)</f>
        <v>1210.2052753054688</v>
      </c>
      <c r="AH92" s="16"/>
      <c r="AI92" s="16"/>
      <c r="AJ92" s="16"/>
    </row>
    <row r="93" ht="12.75" customHeight="1" hidden="1" spans="1:36" x14ac:dyDescent="0.25" outlineLevel="1" collapsed="1">
      <c r="A93" s="16"/>
      <c r="B93" s="16"/>
      <c r="C93" s="120" t="s">
        <v>256</v>
      </c>
      <c r="D93" s="16"/>
      <c r="E93" s="168"/>
      <c r="F93" s="319"/>
      <c r="G93" s="318">
        <f t="shared" ref="G93:I93" si="64" ca="1">IFERROR(G92/F92-1,"--")</f>
        <v>0</v>
      </c>
      <c r="H93" s="318">
        <f ca="1">IFERROR(H92/G92-1,"--")</f>
      </c>
      <c r="I93" s="318">
        <f ca="1">IFERROR(I92/H92-1,"--")</f>
      </c>
      <c r="J93" s="168"/>
      <c r="K93" s="318">
        <f ca="1">IFERROR(K92/I92-1,"--")</f>
        <v>0</v>
      </c>
      <c r="L93" s="318">
        <f t="shared" ref="L93:N93" si="65" ca="1">IFERROR(L92/K92-1,"--")</f>
        <v>0</v>
      </c>
      <c r="M93" s="318">
        <f ca="1">IFERROR(M92/L92-1,"--")</f>
      </c>
      <c r="N93" s="318">
        <f ca="1">IFERROR(N92/M92-1,"--")</f>
      </c>
      <c r="O93" s="306">
        <f ca="1">IFERROR(O92/J92-1,"--")</f>
        <v>0</v>
      </c>
      <c r="P93" s="318">
        <f ca="1">IFERROR(P92/N92-1,"--")</f>
        <v>0</v>
      </c>
      <c r="Q93" s="318">
        <f t="shared" ref="Q93:S93" si="66" ca="1">IFERROR(Q92/P92-1,"--")</f>
        <v>0</v>
      </c>
      <c r="R93" s="318">
        <f ca="1">IFERROR(R92/Q92-1,"--")</f>
      </c>
      <c r="S93" s="318">
        <f ca="1">IFERROR(S92/R92-1,"--")</f>
      </c>
      <c r="T93" s="306">
        <f ca="1">IFERROR(T92/O92-1,"--")</f>
        <v>0</v>
      </c>
      <c r="U93" s="318">
        <f ca="1">IFERROR(U92/S92-1,"--")</f>
        <v>0</v>
      </c>
      <c r="V93" s="318">
        <f t="shared" ref="V93:W93" si="67" ca="1">IFERROR(V92/U92-1,"--")</f>
        <v>0</v>
      </c>
      <c r="W93" s="318">
        <f ca="1">IFERROR(W92/V92-1,"--")</f>
      </c>
      <c r="X93" s="305">
        <f ca="1">IF(Case_Scenario="Bull",X94,IF(Case_Scenario="Base",X95,IF(Case_Scenario="bear",X96,"N/A")))</f>
        <v>0.05</v>
      </c>
      <c r="Y93" s="306"/>
      <c r="Z93" s="305">
        <f ca="1">IF(Case_Scenario="Bull",Z94,IF(Case_Scenario="Base",Z95,IF(Case_Scenario="bear",Z96,"N/A")))</f>
        <v>0.05</v>
      </c>
      <c r="AA93" s="305">
        <f ca="1">IF(Case_Scenario="Bull",AA94,IF(Case_Scenario="Base",AA95,IF(Case_Scenario="bear",AA96,"N/A")))</f>
        <v>0.05</v>
      </c>
      <c r="AB93" s="305">
        <f ca="1">IF(Case_Scenario="Bull",AB94,IF(Case_Scenario="Base",AB95,IF(Case_Scenario="bear",AB96,"N/A")))</f>
        <v>0.05</v>
      </c>
      <c r="AC93" s="305">
        <f ca="1">IF(Case_Scenario="Bull",AC94,IF(Case_Scenario="Base",AC95,IF(Case_Scenario="bear",AC96,"N/A")))</f>
        <v>0.05</v>
      </c>
      <c r="AD93" s="306"/>
      <c r="AE93" s="306">
        <f ca="1">IF(Case_Scenario="Bull",AE94,IF(Case_Scenario="Base",AE95,IF(Case_Scenario="bear",AE96,"N/A")))</f>
        <v>0.05</v>
      </c>
      <c r="AF93" s="306">
        <f ca="1">IF(Case_Scenario="Bull",AF94,IF(Case_Scenario="Base",AF95,IF(Case_Scenario="bear",AF96,"N/A")))</f>
        <v>0.05</v>
      </c>
      <c r="AG93" s="306">
        <f ca="1">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 ca="1">IFERROR(F91/F92,"--")</f>
        <v>78.9090909090909</v>
      </c>
      <c r="G97" s="317">
        <f ca="1">IFERROR(G91/G92,"--")</f>
        <v>94.94545454545455</v>
      </c>
      <c r="H97" s="317">
        <f ca="1">IFERROR(H91/H92,"--")</f>
        <v>79.1590909090909</v>
      </c>
      <c r="I97" s="317">
        <f ca="1">IFERROR(I91/I92,"--")</f>
        <v>71.11818181818182</v>
      </c>
      <c r="J97" s="287">
        <f ca="1">IFERROR(J91/J92,"--")</f>
        <v>81.03295454545454</v>
      </c>
      <c r="K97" s="317">
        <f ca="1">IFERROR(K91/K92,"--")</f>
        <v>80.64090909090909</v>
      </c>
      <c r="L97" s="317">
        <f ca="1">IFERROR(L91/L92,"--")</f>
        <v>95.41818181818182</v>
      </c>
      <c r="M97" s="317">
        <f ca="1">IFERROR(M91/M92,"--")</f>
        <v>79.03636363636363</v>
      </c>
      <c r="N97" s="317">
        <f ca="1">IFERROR(N91/N92,"--")</f>
        <v>72.85</v>
      </c>
      <c r="O97" s="287">
        <f ca="1">IFERROR(O91/O92,"--")</f>
        <v>81.98636363636363</v>
      </c>
      <c r="P97" s="317">
        <f ca="1">IFERROR(P91/P92,"--")</f>
        <v>89.43181818181819</v>
      </c>
      <c r="Q97" s="317">
        <f ca="1">IFERROR(Q91/Q92,"--")</f>
        <v>124.1</v>
      </c>
      <c r="R97" s="317">
        <f ca="1">IFERROR(R91/R92,"--")</f>
        <v>101.40454545454546</v>
      </c>
      <c r="S97" s="317">
        <f ca="1">IFERROR(S91/S92,"--")</f>
        <v>92.32272727272728</v>
      </c>
      <c r="T97" s="287">
        <f ca="1">IFERROR(T91/T92,"--")</f>
        <v>101.81477272727273</v>
      </c>
      <c r="U97" s="317">
        <f ca="1">IFERROR(U91/U92,"--")</f>
        <v>111.00909090909092</v>
      </c>
      <c r="V97" s="317">
        <f ca="1">IFERROR(V91/V92,"--")</f>
        <v>125.31818181818181</v>
      </c>
      <c r="W97" s="317">
        <f ca="1">IFERROR(W91/W92,"--")</f>
        <v>104.17272727272727</v>
      </c>
      <c r="X97" s="286">
        <f ca="1">W97*(1+X98)</f>
        <v>109.38136363636364</v>
      </c>
      <c r="Y97" s="287">
        <f ca="1">Y91/Y92</f>
        <v>112.43220538720539</v>
      </c>
      <c r="Z97" s="286">
        <f ca="1">X97*(1+Z98)</f>
        <v>114.85043181818183</v>
      </c>
      <c r="AA97" s="286">
        <f t="shared" ref="AA97:AC97" si="69" ca="1">Z97*(1+AA98)</f>
        <v>120.59295340909092</v>
      </c>
      <c r="AB97" s="286">
        <f ca="1">AA97*(1+AB98)</f>
        <v>126.62260107954548</v>
      </c>
      <c r="AC97" s="286">
        <f ca="1">AB97*(1+AC98)</f>
        <v>132.95373113352275</v>
      </c>
      <c r="AD97" s="287">
        <f ca="1">AD91/AD92</f>
        <v>124.12285341872231</v>
      </c>
      <c r="AE97" s="287">
        <f t="shared" ref="AE97:AG97" si="70" ca="1">AD97*(1+AE98)</f>
        <v>130.32899608965843</v>
      </c>
      <c r="AF97" s="287">
        <f ca="1">AE97*(1+AF98)</f>
        <v>136.84544589414136</v>
      </c>
      <c r="AG97" s="287">
        <f ca="1">AF97*(1+AG98)</f>
        <v>143.68771818884844</v>
      </c>
      <c r="AH97" s="16"/>
      <c r="AI97" s="16"/>
      <c r="AJ97" s="16"/>
    </row>
    <row r="98" ht="12.75" customHeight="1" hidden="1" spans="1:36" x14ac:dyDescent="0.25" outlineLevel="1" collapsed="1">
      <c r="A98" s="16"/>
      <c r="B98" s="16"/>
      <c r="C98" s="120" t="s">
        <v>257</v>
      </c>
      <c r="D98" s="16"/>
      <c r="E98" s="168"/>
      <c r="F98" s="319"/>
      <c r="G98" s="318">
        <f t="shared" ref="G98:I98" si="71" ca="1">IFERROR(G97/F97-1,"--")</f>
        <v>0.20322580645161303</v>
      </c>
      <c r="H98" s="318">
        <f ca="1">IFERROR(H97/G97-1,"--")</f>
        <v>-0.16626771351972436</v>
      </c>
      <c r="I98" s="318">
        <f ca="1">IFERROR(I97/H97-1,"--")</f>
        <v>-0.10157909847832314</v>
      </c>
      <c r="J98" s="168"/>
      <c r="K98" s="318">
        <f ca="1">IFERROR(K97/I97-1,"--")</f>
        <v>0.13390003834845965</v>
      </c>
      <c r="L98" s="318">
        <f t="shared" ref="L98:N98" si="72" ca="1">IFERROR(L97/K97-1,"--")</f>
        <v>0.18324784397722804</v>
      </c>
      <c r="M98" s="318">
        <f ca="1">IFERROR(M97/L97-1,"--")</f>
        <v>-0.17168445121951226</v>
      </c>
      <c r="N98" s="318">
        <f ca="1">IFERROR(N97/M97-1,"--")</f>
        <v>-0.07827237175063262</v>
      </c>
      <c r="O98" s="306">
        <f ca="1">IFERROR(O97/J97-1,"--")</f>
        <v>0.01176569577472697</v>
      </c>
      <c r="P98" s="318">
        <f ca="1">IFERROR(P97/N97-1,"--")</f>
        <v>0.22761589817183525</v>
      </c>
      <c r="Q98" s="318">
        <f t="shared" ref="Q98:S98" si="73" ca="1">IFERROR(Q97/P97-1,"--")</f>
        <v>0.3876493011435831</v>
      </c>
      <c r="R98" s="318">
        <f ca="1">IFERROR(R97/Q97-1,"--")</f>
        <v>-0.18288037506409782</v>
      </c>
      <c r="S98" s="318">
        <f ca="1">IFERROR(S97/R97-1,"--")</f>
        <v>-0.0895602671567528</v>
      </c>
      <c r="T98" s="306">
        <f ca="1">IFERROR(T97/O97-1,"--")</f>
        <v>0.2418500859344681</v>
      </c>
      <c r="U98" s="318">
        <f ca="1">IFERROR(U97/S97-1,"--")</f>
        <v>0.20240263896410804</v>
      </c>
      <c r="V98" s="318">
        <f t="shared" ref="V98:W98" si="74" ca="1">IFERROR(V97/U97-1,"--")</f>
        <v>0.12890017197608694</v>
      </c>
      <c r="W98" s="318">
        <f ca="1">IFERROR(W97/V97-1,"--")</f>
        <v>-0.16873413130214</v>
      </c>
      <c r="X98" s="305">
        <f ca="1">IF(Case_Scenario="Bull",X99,IF(Case_Scenario="Base",X100,IF(Case_Scenario="bear",X101,"N/A")))</f>
        <v>0.05</v>
      </c>
      <c r="Y98" s="306"/>
      <c r="Z98" s="305">
        <f ca="1">IF(Case_Scenario="Bull",Z99,IF(Case_Scenario="Base",Z100,IF(Case_Scenario="bear",Z101,"N/A")))</f>
        <v>0.05</v>
      </c>
      <c r="AA98" s="305">
        <f ca="1">IF(Case_Scenario="Bull",AA99,IF(Case_Scenario="Base",AA100,IF(Case_Scenario="bear",AA101,"N/A")))</f>
        <v>0.05</v>
      </c>
      <c r="AB98" s="305">
        <f ca="1">IF(Case_Scenario="Bull",AB99,IF(Case_Scenario="Base",AB100,IF(Case_Scenario="bear",AB101,"N/A")))</f>
        <v>0.05</v>
      </c>
      <c r="AC98" s="305">
        <f ca="1">IF(Case_Scenario="Bull",AC99,IF(Case_Scenario="Base",AC100,IF(Case_Scenario="bear",AC101,"N/A")))</f>
        <v>0.05</v>
      </c>
      <c r="AD98" s="306"/>
      <c r="AE98" s="306">
        <f ca="1">IF(Case_Scenario="Bull",AE99,IF(Case_Scenario="Base",AE100,IF(Case_Scenario="bear",AE101,"N/A")))</f>
        <v>0.05</v>
      </c>
      <c r="AF98" s="306">
        <f ca="1">IF(Case_Scenario="Bull",AF99,IF(Case_Scenario="Base",AF100,IF(Case_Scenario="bear",AF101,"N/A")))</f>
        <v>0.05</v>
      </c>
      <c r="AG98" s="306">
        <f ca="1">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 ca="1">C35</f>
        <v>Segment 2 Revenue</v>
      </c>
      <c r="D103" s="16"/>
      <c r="E103" s="168"/>
      <c r="F103" s="317">
        <f t="shared" ref="F103:W103" si="75" ca="1">F35</f>
        <v>1e-12</v>
      </c>
      <c r="G103" s="317">
        <f ca="1">G35</f>
        <v>1e-12</v>
      </c>
      <c r="H103" s="317">
        <f ca="1">H35</f>
        <v>1e-12</v>
      </c>
      <c r="I103" s="317">
        <f ca="1">I35</f>
        <v>1e-12</v>
      </c>
      <c r="J103" s="287">
        <f ca="1">J35</f>
        <v>1e-12</v>
      </c>
      <c r="K103" s="317">
        <f ca="1">K35</f>
        <v>1e-12</v>
      </c>
      <c r="L103" s="317">
        <f ca="1">L35</f>
        <v>1e-12</v>
      </c>
      <c r="M103" s="317">
        <f ca="1">M35</f>
        <v>1e-12</v>
      </c>
      <c r="N103" s="317">
        <f ca="1">N35</f>
        <v>1e-12</v>
      </c>
      <c r="O103" s="287">
        <f ca="1">O35</f>
        <v>1e-12</v>
      </c>
      <c r="P103" s="317">
        <f ca="1">P35</f>
        <v>1e-12</v>
      </c>
      <c r="Q103" s="317">
        <f ca="1">Q35</f>
        <v>1e-12</v>
      </c>
      <c r="R103" s="317">
        <f ca="1">R35</f>
        <v>1e-12</v>
      </c>
      <c r="S103" s="317">
        <f ca="1">S35</f>
        <v>1e-12</v>
      </c>
      <c r="T103" s="287">
        <f ca="1">T35</f>
        <v>1e-12</v>
      </c>
      <c r="U103" s="317">
        <f ca="1">U35</f>
        <v>1e-12</v>
      </c>
      <c r="V103" s="317">
        <f ca="1">V35</f>
        <v>1e-12</v>
      </c>
      <c r="W103" s="317">
        <f ca="1">W35</f>
        <v>1e-12</v>
      </c>
      <c r="X103" s="286">
        <f ca="1">X104*X109</f>
        <v>1e-12</v>
      </c>
      <c r="Y103" s="287">
        <f t="shared" ref="Y103:Y104" si="76" ca="1">SUM(U103:X103)</f>
        <v>1e-12</v>
      </c>
      <c r="Z103" s="286">
        <f t="shared" ref="Z103:AC103" si="77" ca="1">Z104*Z109</f>
        <v>1e-12</v>
      </c>
      <c r="AA103" s="286">
        <f ca="1">AA104*AA109</f>
        <v>1e-12</v>
      </c>
      <c r="AB103" s="286">
        <f ca="1">AB104*AB109</f>
        <v>1e-12</v>
      </c>
      <c r="AC103" s="286">
        <f ca="1">AC104*AC109</f>
        <v>1e-12</v>
      </c>
      <c r="AD103" s="287">
        <f t="shared" ref="AD103:AD104" si="78" ca="1">SUM(Z103:AC103)</f>
        <v>1e-12</v>
      </c>
      <c r="AE103" s="287">
        <f t="shared" ref="AE103:AG103" si="79" ca="1">AE104*AE109</f>
        <v>1e-12</v>
      </c>
      <c r="AF103" s="287">
        <f ca="1">AF104*AF109</f>
        <v>1e-12</v>
      </c>
      <c r="AG103" s="287">
        <f ca="1">AG104*AG109</f>
        <v>1e-12</v>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 ca="1">SUM(F104:I104)</f>
        <v>880</v>
      </c>
      <c r="K104" s="325">
        <v>220</v>
      </c>
      <c r="L104" s="325">
        <v>220</v>
      </c>
      <c r="M104" s="325">
        <v>220</v>
      </c>
      <c r="N104" s="325">
        <v>220</v>
      </c>
      <c r="O104" s="326">
        <f ca="1">SUM(K104:N104)</f>
        <v>880</v>
      </c>
      <c r="P104" s="325">
        <v>220</v>
      </c>
      <c r="Q104" s="325">
        <v>220</v>
      </c>
      <c r="R104" s="325">
        <v>220</v>
      </c>
      <c r="S104" s="325">
        <v>220</v>
      </c>
      <c r="T104" s="326">
        <f ca="1">SUM(P104:S104)</f>
        <v>880</v>
      </c>
      <c r="U104" s="325">
        <v>220</v>
      </c>
      <c r="V104" s="325">
        <v>220</v>
      </c>
      <c r="W104" s="325">
        <v>220</v>
      </c>
      <c r="X104" s="327">
        <f ca="1">W104*(1+X105)</f>
        <v>231</v>
      </c>
      <c r="Y104" s="326">
        <f ca="1">SUM(U104:X104)</f>
        <v>891</v>
      </c>
      <c r="Z104" s="327">
        <f ca="1">X104*(1+Z105)</f>
        <v>242.55</v>
      </c>
      <c r="AA104" s="327">
        <f t="shared" ref="AA104:AC104" si="80" ca="1">Z104*(1+AA105)</f>
        <v>254.6775</v>
      </c>
      <c r="AB104" s="327">
        <f ca="1">AA104*(1+AB105)</f>
        <v>267.411375</v>
      </c>
      <c r="AC104" s="327">
        <f ca="1">AB104*(1+AC105)</f>
        <v>280.78194375000004</v>
      </c>
      <c r="AD104" s="326">
        <f ca="1">SUM(Z104:AC104)</f>
        <v>1045.42081875</v>
      </c>
      <c r="AE104" s="326">
        <f t="shared" ref="AE104:AG104" si="81" ca="1">AD104*(1+AE105)</f>
        <v>1097.6918596875</v>
      </c>
      <c r="AF104" s="326">
        <f ca="1">AE104*(1+AF105)</f>
        <v>1152.5764526718751</v>
      </c>
      <c r="AG104" s="326">
        <f ca="1">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 ca="1">IFERROR(G104/F104-1,"--")</f>
        <v>0</v>
      </c>
      <c r="H105" s="318">
        <f ca="1">IFERROR(H104/G104-1,"--")</f>
      </c>
      <c r="I105" s="318">
        <f ca="1">IFERROR(I104/H104-1,"--")</f>
      </c>
      <c r="J105" s="168"/>
      <c r="K105" s="318">
        <f ca="1">IFERROR(K104/I104-1,"--")</f>
        <v>0</v>
      </c>
      <c r="L105" s="318">
        <f t="shared" ref="L105:N105" si="83" ca="1">IFERROR(L104/K104-1,"--")</f>
        <v>0</v>
      </c>
      <c r="M105" s="318">
        <f ca="1">IFERROR(M104/L104-1,"--")</f>
      </c>
      <c r="N105" s="318">
        <f ca="1">IFERROR(N104/M104-1,"--")</f>
      </c>
      <c r="O105" s="306">
        <f ca="1">IFERROR(O104/J104-1,"--")</f>
        <v>0</v>
      </c>
      <c r="P105" s="318">
        <f ca="1">IFERROR(P104/N104-1,"--")</f>
        <v>0</v>
      </c>
      <c r="Q105" s="318">
        <f t="shared" ref="Q105:S105" si="84" ca="1">IFERROR(Q104/P104-1,"--")</f>
        <v>0</v>
      </c>
      <c r="R105" s="318">
        <f ca="1">IFERROR(R104/Q104-1,"--")</f>
      </c>
      <c r="S105" s="318">
        <f ca="1">IFERROR(S104/R104-1,"--")</f>
      </c>
      <c r="T105" s="306">
        <f ca="1">IFERROR(T104/O104-1,"--")</f>
        <v>0</v>
      </c>
      <c r="U105" s="318">
        <f ca="1">IFERROR(U104/S104-1,"--")</f>
        <v>0</v>
      </c>
      <c r="V105" s="318">
        <f t="shared" ref="V105:W105" si="85" ca="1">IFERROR(V104/U104-1,"--")</f>
        <v>0</v>
      </c>
      <c r="W105" s="318">
        <f ca="1">IFERROR(W104/V104-1,"--")</f>
      </c>
      <c r="X105" s="305">
        <f ca="1">IF(Case_Scenario="Bull",X106,IF(Case_Scenario="Base",X107,IF(Case_Scenario="bear",X108,"N/A")))</f>
        <v>0.05</v>
      </c>
      <c r="Y105" s="306"/>
      <c r="Z105" s="305">
        <f ca="1">IF(Case_Scenario="Bull",Z106,IF(Case_Scenario="Base",Z107,IF(Case_Scenario="bear",Z108,"N/A")))</f>
        <v>0.05</v>
      </c>
      <c r="AA105" s="305">
        <f ca="1">IF(Case_Scenario="Bull",AA106,IF(Case_Scenario="Base",AA107,IF(Case_Scenario="bear",AA108,"N/A")))</f>
        <v>0.05</v>
      </c>
      <c r="AB105" s="305">
        <f ca="1">IF(Case_Scenario="Bull",AB106,IF(Case_Scenario="Base",AB107,IF(Case_Scenario="bear",AB108,"N/A")))</f>
        <v>0.05</v>
      </c>
      <c r="AC105" s="305">
        <f ca="1">IF(Case_Scenario="Bull",AC106,IF(Case_Scenario="Base",AC107,IF(Case_Scenario="bear",AC108,"N/A")))</f>
        <v>0.05</v>
      </c>
      <c r="AD105" s="306"/>
      <c r="AE105" s="306">
        <f ca="1">IF(Case_Scenario="Bull",AE106,IF(Case_Scenario="Base",AE107,IF(Case_Scenario="bear",AE108,"N/A")))</f>
        <v>0.05</v>
      </c>
      <c r="AF105" s="306">
        <f ca="1">IF(Case_Scenario="Bull",AF106,IF(Case_Scenario="Base",AF107,IF(Case_Scenario="bear",AF108,"N/A")))</f>
        <v>0.05</v>
      </c>
      <c r="AG105" s="306">
        <f ca="1">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 ca="1">IFERROR(F103/F104,"--")</f>
        <v>0</v>
      </c>
      <c r="G109" s="317">
        <f ca="1">IFERROR(G103/G104,"--")</f>
      </c>
      <c r="H109" s="317">
        <f ca="1">IFERROR(H103/H104,"--")</f>
      </c>
      <c r="I109" s="317">
        <f ca="1">IFERROR(I103/I104,"--")</f>
      </c>
      <c r="J109" s="287">
        <f ca="1">IFERROR(J103/J104,"--")</f>
      </c>
      <c r="K109" s="317">
        <f ca="1">IFERROR(K103/K104,"--")</f>
      </c>
      <c r="L109" s="317">
        <f ca="1">IFERROR(L103/L104,"--")</f>
      </c>
      <c r="M109" s="317">
        <f ca="1">IFERROR(M103/M104,"--")</f>
      </c>
      <c r="N109" s="317">
        <f ca="1">IFERROR(N103/N104,"--")</f>
      </c>
      <c r="O109" s="287">
        <f ca="1">IFERROR(O103/O104,"--")</f>
      </c>
      <c r="P109" s="317">
        <f ca="1">IFERROR(P103/P104,"--")</f>
      </c>
      <c r="Q109" s="317">
        <f ca="1">IFERROR(Q103/Q104,"--")</f>
      </c>
      <c r="R109" s="317">
        <f ca="1">IFERROR(R103/R104,"--")</f>
      </c>
      <c r="S109" s="317">
        <f ca="1">IFERROR(S103/S104,"--")</f>
      </c>
      <c r="T109" s="287">
        <f ca="1">IFERROR(T103/T104,"--")</f>
      </c>
      <c r="U109" s="317">
        <f ca="1">IFERROR(U103/U104,"--")</f>
      </c>
      <c r="V109" s="317">
        <f ca="1">IFERROR(V103/V104,"--")</f>
      </c>
      <c r="W109" s="317">
        <f ca="1">IFERROR(W103/W104,"--")</f>
      </c>
      <c r="X109" s="286">
        <f ca="1">W109*(1+X110)</f>
        <v>1e-12</v>
      </c>
      <c r="Y109" s="287">
        <f ca="1">Y103/Y104</f>
        <v>1e-12</v>
      </c>
      <c r="Z109" s="286">
        <f ca="1">X109*(1+Z110)</f>
        <v>1e-12</v>
      </c>
      <c r="AA109" s="286">
        <f t="shared" ref="AA109:AC109" si="87" ca="1">Z109*(1+AA110)</f>
        <v>1e-12</v>
      </c>
      <c r="AB109" s="286">
        <f ca="1">AA109*(1+AB110)</f>
        <v>1e-12</v>
      </c>
      <c r="AC109" s="286">
        <f ca="1">AB109*(1+AC110)</f>
        <v>1e-12</v>
      </c>
      <c r="AD109" s="287">
        <f ca="1">AD103/AD104</f>
        <v>1e-12</v>
      </c>
      <c r="AE109" s="287">
        <f t="shared" ref="AE109:AG109" si="88" ca="1">AD109*(1+AE110)</f>
        <v>1e-12</v>
      </c>
      <c r="AF109" s="287">
        <f ca="1">AE109*(1+AF110)</f>
        <v>1e-12</v>
      </c>
      <c r="AG109" s="287">
        <f ca="1">AF109*(1+AG110)</f>
        <v>1e-12</v>
      </c>
      <c r="AH109" s="16"/>
      <c r="AI109" s="16"/>
      <c r="AJ109" s="16"/>
    </row>
    <row r="110" ht="12.75" customHeight="1" hidden="1" spans="1:36" x14ac:dyDescent="0.25" outlineLevel="1" collapsed="1">
      <c r="A110" s="16"/>
      <c r="B110" s="16"/>
      <c r="C110" s="120" t="s">
        <v>257</v>
      </c>
      <c r="D110" s="16"/>
      <c r="E110" s="168"/>
      <c r="F110" s="319"/>
      <c r="G110" s="318" t="str">
        <f t="shared" ref="G110:I110" si="89" ca="1">IFERROR(G109/F109-1,"--")</f>
        <v>--</v>
      </c>
      <c r="H110" s="318" t="str">
        <f ca="1">IFERROR(H109/G109-1,"--")</f>
        <v>--</v>
      </c>
      <c r="I110" s="318" t="str">
        <f ca="1">IFERROR(I109/H109-1,"--")</f>
        <v>--</v>
      </c>
      <c r="J110" s="168"/>
      <c r="K110" s="318" t="str">
        <f ca="1">IFERROR(K109/I109-1,"--")</f>
        <v>--</v>
      </c>
      <c r="L110" s="318" t="str">
        <f t="shared" ref="L110:N110" si="90" ca="1">IFERROR(L109/K109-1,"--")</f>
        <v>--</v>
      </c>
      <c r="M110" s="318" t="str">
        <f ca="1">IFERROR(M109/L109-1,"--")</f>
        <v>--</v>
      </c>
      <c r="N110" s="318" t="str">
        <f ca="1">IFERROR(N109/M109-1,"--")</f>
        <v>--</v>
      </c>
      <c r="O110" s="306" t="str">
        <f ca="1">IFERROR(O109/J109-1,"--")</f>
        <v>--</v>
      </c>
      <c r="P110" s="318" t="str">
        <f ca="1">IFERROR(P109/N109-1,"--")</f>
        <v>--</v>
      </c>
      <c r="Q110" s="318" t="str">
        <f t="shared" ref="Q110:S110" si="91" ca="1">IFERROR(Q109/P109-1,"--")</f>
        <v>--</v>
      </c>
      <c r="R110" s="318" t="str">
        <f ca="1">IFERROR(R109/Q109-1,"--")</f>
        <v>--</v>
      </c>
      <c r="S110" s="318" t="str">
        <f ca="1">IFERROR(S109/R109-1,"--")</f>
        <v>--</v>
      </c>
      <c r="T110" s="306" t="str">
        <f ca="1">IFERROR(T109/O109-1,"--")</f>
        <v>--</v>
      </c>
      <c r="U110" s="318" t="str">
        <f ca="1">IFERROR(U109/S109-1,"--")</f>
        <v>--</v>
      </c>
      <c r="V110" s="318" t="str">
        <f t="shared" ref="V110:W110" si="92" ca="1">IFERROR(V109/U109-1,"--")</f>
        <v>--</v>
      </c>
      <c r="W110" s="318" t="str">
        <f ca="1">IFERROR(W109/V109-1,"--")</f>
        <v>--</v>
      </c>
      <c r="X110" s="305">
        <f ca="1">IF(Case_Scenario="Bull",X111,IF(Case_Scenario="Base",X112,IF(Case_Scenario="bear",X113,"N/A")))</f>
        <v>0.05</v>
      </c>
      <c r="Y110" s="306"/>
      <c r="Z110" s="305">
        <f ca="1">IF(Case_Scenario="Bull",Z111,IF(Case_Scenario="Base",Z112,IF(Case_Scenario="bear",Z113,"N/A")))</f>
        <v>0.05</v>
      </c>
      <c r="AA110" s="305">
        <f ca="1">IF(Case_Scenario="Bull",AA111,IF(Case_Scenario="Base",AA112,IF(Case_Scenario="bear",AA113,"N/A")))</f>
        <v>0.05</v>
      </c>
      <c r="AB110" s="305">
        <f ca="1">IF(Case_Scenario="Bull",AB111,IF(Case_Scenario="Base",AB112,IF(Case_Scenario="bear",AB113,"N/A")))</f>
        <v>0.05</v>
      </c>
      <c r="AC110" s="305">
        <f ca="1">IF(Case_Scenario="Bull",AC111,IF(Case_Scenario="Base",AC112,IF(Case_Scenario="bear",AC113,"N/A")))</f>
        <v>0.05</v>
      </c>
      <c r="AD110" s="306"/>
      <c r="AE110" s="306">
        <f ca="1">IF(Case_Scenario="Bull",AE111,IF(Case_Scenario="Base",AE112,IF(Case_Scenario="bear",AE113,"N/A")))</f>
        <v>0.05</v>
      </c>
      <c r="AF110" s="306">
        <f ca="1">IF(Case_Scenario="Bull",AF111,IF(Case_Scenario="Base",AF112,IF(Case_Scenario="bear",AF113,"N/A")))</f>
        <v>0.05</v>
      </c>
      <c r="AG110" s="306">
        <f ca="1">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 ca="1">C38</f>
        <v>Segment 3 Revenue</v>
      </c>
      <c r="D115" s="16"/>
      <c r="E115" s="168"/>
      <c r="F115" s="317">
        <f t="shared" ref="F115:W115" si="93" ca="1">F38</f>
        <v>1e-12</v>
      </c>
      <c r="G115" s="317">
        <f ca="1">G38</f>
        <v>1e-12</v>
      </c>
      <c r="H115" s="317">
        <f ca="1">H38</f>
        <v>1e-12</v>
      </c>
      <c r="I115" s="317">
        <f ca="1">I38</f>
        <v>1e-12</v>
      </c>
      <c r="J115" s="287">
        <f ca="1">J38</f>
        <v>1e-12</v>
      </c>
      <c r="K115" s="317">
        <f ca="1">K38</f>
        <v>1e-12</v>
      </c>
      <c r="L115" s="317">
        <f ca="1">L38</f>
        <v>1e-12</v>
      </c>
      <c r="M115" s="317">
        <f ca="1">M38</f>
        <v>1e-12</v>
      </c>
      <c r="N115" s="317">
        <f ca="1">N38</f>
        <v>1e-12</v>
      </c>
      <c r="O115" s="287">
        <f ca="1">O38</f>
        <v>1e-12</v>
      </c>
      <c r="P115" s="317">
        <f ca="1">P38</f>
        <v>1e-12</v>
      </c>
      <c r="Q115" s="317">
        <f ca="1">Q38</f>
        <v>1e-12</v>
      </c>
      <c r="R115" s="317">
        <f ca="1">R38</f>
        <v>1e-12</v>
      </c>
      <c r="S115" s="317">
        <f ca="1">S38</f>
        <v>1e-12</v>
      </c>
      <c r="T115" s="287">
        <f ca="1">T38</f>
        <v>1e-12</v>
      </c>
      <c r="U115" s="317">
        <f ca="1">U38</f>
        <v>1e-12</v>
      </c>
      <c r="V115" s="317">
        <f ca="1">V38</f>
        <v>1e-12</v>
      </c>
      <c r="W115" s="317">
        <f ca="1">W38</f>
        <v>1e-12</v>
      </c>
      <c r="X115" s="286">
        <f ca="1">X116*X121</f>
        <v>1e-12</v>
      </c>
      <c r="Y115" s="287">
        <f t="shared" ref="Y115:Y116" si="94" ca="1">SUM(U115:X115)</f>
        <v>1e-12</v>
      </c>
      <c r="Z115" s="286">
        <f t="shared" ref="Z115:AC115" si="95" ca="1">Z116*Z121</f>
        <v>1e-12</v>
      </c>
      <c r="AA115" s="286">
        <f ca="1">AA116*AA121</f>
        <v>1e-12</v>
      </c>
      <c r="AB115" s="286">
        <f ca="1">AB116*AB121</f>
        <v>1e-12</v>
      </c>
      <c r="AC115" s="286">
        <f ca="1">AC116*AC121</f>
        <v>1e-12</v>
      </c>
      <c r="AD115" s="287">
        <f t="shared" ref="AD115:AD116" si="96" ca="1">SUM(Z115:AC115)</f>
        <v>1e-12</v>
      </c>
      <c r="AE115" s="287">
        <f t="shared" ref="AE115:AG115" si="97" ca="1">AE116*AE121</f>
        <v>1e-12</v>
      </c>
      <c r="AF115" s="287">
        <f ca="1">AF116*AF121</f>
        <v>1e-12</v>
      </c>
      <c r="AG115" s="287">
        <f ca="1">AG116*AG121</f>
        <v>1e-12</v>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 ca="1">SUM(F116:I116)</f>
        <v>880</v>
      </c>
      <c r="K116" s="325">
        <v>220</v>
      </c>
      <c r="L116" s="325">
        <v>220</v>
      </c>
      <c r="M116" s="325">
        <v>220</v>
      </c>
      <c r="N116" s="325">
        <v>220</v>
      </c>
      <c r="O116" s="326">
        <f ca="1">SUM(K116:N116)</f>
        <v>880</v>
      </c>
      <c r="P116" s="325">
        <v>220</v>
      </c>
      <c r="Q116" s="325">
        <v>220</v>
      </c>
      <c r="R116" s="325">
        <v>220</v>
      </c>
      <c r="S116" s="325">
        <v>220</v>
      </c>
      <c r="T116" s="326">
        <f ca="1">SUM(P116:S116)</f>
        <v>880</v>
      </c>
      <c r="U116" s="325">
        <v>220</v>
      </c>
      <c r="V116" s="325">
        <v>220</v>
      </c>
      <c r="W116" s="325">
        <v>220</v>
      </c>
      <c r="X116" s="327">
        <f ca="1">W116*(1+X117)</f>
        <v>231</v>
      </c>
      <c r="Y116" s="326">
        <f ca="1">SUM(U116:X116)</f>
        <v>891</v>
      </c>
      <c r="Z116" s="327">
        <f ca="1">X116*(1+Z117)</f>
        <v>242.55</v>
      </c>
      <c r="AA116" s="327">
        <f t="shared" ref="AA116:AC116" si="98" ca="1">Z116*(1+AA117)</f>
        <v>254.6775</v>
      </c>
      <c r="AB116" s="327">
        <f ca="1">AA116*(1+AB117)</f>
        <v>267.411375</v>
      </c>
      <c r="AC116" s="327">
        <f ca="1">AB116*(1+AC117)</f>
        <v>280.78194375000004</v>
      </c>
      <c r="AD116" s="326">
        <f ca="1">SUM(Z116:AC116)</f>
        <v>1045.42081875</v>
      </c>
      <c r="AE116" s="326">
        <f t="shared" ref="AE116:AG116" si="99" ca="1">AD116*(1+AE117)</f>
        <v>1097.6918596875</v>
      </c>
      <c r="AF116" s="326">
        <f ca="1">AE116*(1+AF117)</f>
        <v>1152.5764526718751</v>
      </c>
      <c r="AG116" s="326">
        <f ca="1">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 ca="1">IFERROR(G116/F116-1,"--")</f>
        <v>0</v>
      </c>
      <c r="H117" s="318">
        <f ca="1">IFERROR(H116/G116-1,"--")</f>
      </c>
      <c r="I117" s="318">
        <f ca="1">IFERROR(I116/H116-1,"--")</f>
      </c>
      <c r="J117" s="168"/>
      <c r="K117" s="318">
        <f ca="1">IFERROR(K116/I116-1,"--")</f>
        <v>0</v>
      </c>
      <c r="L117" s="318">
        <f t="shared" ref="L117:N117" si="101" ca="1">IFERROR(L116/K116-1,"--")</f>
        <v>0</v>
      </c>
      <c r="M117" s="318">
        <f ca="1">IFERROR(M116/L116-1,"--")</f>
      </c>
      <c r="N117" s="318">
        <f ca="1">IFERROR(N116/M116-1,"--")</f>
      </c>
      <c r="O117" s="306">
        <f ca="1">IFERROR(O116/J116-1,"--")</f>
        <v>0</v>
      </c>
      <c r="P117" s="318">
        <f ca="1">IFERROR(P116/N116-1,"--")</f>
        <v>0</v>
      </c>
      <c r="Q117" s="318">
        <f t="shared" ref="Q117:S117" si="102" ca="1">IFERROR(Q116/P116-1,"--")</f>
        <v>0</v>
      </c>
      <c r="R117" s="318">
        <f ca="1">IFERROR(R116/Q116-1,"--")</f>
      </c>
      <c r="S117" s="318">
        <f ca="1">IFERROR(S116/R116-1,"--")</f>
      </c>
      <c r="T117" s="306">
        <f ca="1">IFERROR(T116/O116-1,"--")</f>
        <v>0</v>
      </c>
      <c r="U117" s="318">
        <f ca="1">IFERROR(U116/S116-1,"--")</f>
        <v>0</v>
      </c>
      <c r="V117" s="318">
        <f t="shared" ref="V117:W117" si="103" ca="1">IFERROR(V116/U116-1,"--")</f>
        <v>0</v>
      </c>
      <c r="W117" s="318">
        <f ca="1">IFERROR(W116/V116-1,"--")</f>
      </c>
      <c r="X117" s="305">
        <f ca="1">IF(Case_Scenario="Bull",X118,IF(Case_Scenario="Base",X119,IF(Case_Scenario="bear",X120,"N/A")))</f>
        <v>0.05</v>
      </c>
      <c r="Y117" s="306"/>
      <c r="Z117" s="305">
        <f ca="1">IF(Case_Scenario="Bull",Z118,IF(Case_Scenario="Base",Z119,IF(Case_Scenario="bear",Z120,"N/A")))</f>
        <v>0.05</v>
      </c>
      <c r="AA117" s="305">
        <f ca="1">IF(Case_Scenario="Bull",AA118,IF(Case_Scenario="Base",AA119,IF(Case_Scenario="bear",AA120,"N/A")))</f>
        <v>0.05</v>
      </c>
      <c r="AB117" s="305">
        <f ca="1">IF(Case_Scenario="Bull",AB118,IF(Case_Scenario="Base",AB119,IF(Case_Scenario="bear",AB120,"N/A")))</f>
        <v>0.05</v>
      </c>
      <c r="AC117" s="305">
        <f ca="1">IF(Case_Scenario="Bull",AC118,IF(Case_Scenario="Base",AC119,IF(Case_Scenario="bear",AC120,"N/A")))</f>
        <v>0.05</v>
      </c>
      <c r="AD117" s="306"/>
      <c r="AE117" s="306">
        <f ca="1">IF(Case_Scenario="Bull",AE118,IF(Case_Scenario="Base",AE119,IF(Case_Scenario="bear",AE120,"N/A")))</f>
        <v>0.05</v>
      </c>
      <c r="AF117" s="306">
        <f ca="1">IF(Case_Scenario="Bull",AF118,IF(Case_Scenario="Base",AF119,IF(Case_Scenario="bear",AF120,"N/A")))</f>
        <v>0.05</v>
      </c>
      <c r="AG117" s="306">
        <f ca="1">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 ca="1">IFERROR(F115/F116,"--")</f>
        <v>0</v>
      </c>
      <c r="G121" s="317">
        <f ca="1">IFERROR(G115/G116,"--")</f>
      </c>
      <c r="H121" s="317">
        <f ca="1">IFERROR(H115/H116,"--")</f>
      </c>
      <c r="I121" s="317">
        <f ca="1">IFERROR(I115/I116,"--")</f>
      </c>
      <c r="J121" s="287">
        <f ca="1">IFERROR(J115/J116,"--")</f>
      </c>
      <c r="K121" s="317">
        <f ca="1">IFERROR(K115/K116,"--")</f>
      </c>
      <c r="L121" s="317">
        <f ca="1">IFERROR(L115/L116,"--")</f>
      </c>
      <c r="M121" s="317">
        <f ca="1">IFERROR(M115/M116,"--")</f>
      </c>
      <c r="N121" s="317">
        <f ca="1">IFERROR(N115/N116,"--")</f>
      </c>
      <c r="O121" s="287">
        <f ca="1">IFERROR(O115/O116,"--")</f>
      </c>
      <c r="P121" s="317">
        <f ca="1">IFERROR(P115/P116,"--")</f>
      </c>
      <c r="Q121" s="317">
        <f ca="1">IFERROR(Q115/Q116,"--")</f>
      </c>
      <c r="R121" s="317">
        <f ca="1">IFERROR(R115/R116,"--")</f>
      </c>
      <c r="S121" s="317">
        <f ca="1">IFERROR(S115/S116,"--")</f>
      </c>
      <c r="T121" s="287">
        <f ca="1">IFERROR(T115/T116,"--")</f>
      </c>
      <c r="U121" s="317">
        <f ca="1">IFERROR(U115/U116,"--")</f>
      </c>
      <c r="V121" s="317">
        <f ca="1">IFERROR(V115/V116,"--")</f>
      </c>
      <c r="W121" s="317">
        <f ca="1">IFERROR(W115/W116,"--")</f>
      </c>
      <c r="X121" s="286">
        <f ca="1">W121*(1+X122)</f>
        <v>1e-12</v>
      </c>
      <c r="Y121" s="287">
        <f ca="1">Y115/Y116</f>
        <v>1e-12</v>
      </c>
      <c r="Z121" s="286">
        <f ca="1">X121*(1+Z122)</f>
        <v>1e-12</v>
      </c>
      <c r="AA121" s="286">
        <f t="shared" ref="AA121:AC121" si="105" ca="1">Z121*(1+AA122)</f>
        <v>1e-12</v>
      </c>
      <c r="AB121" s="286">
        <f ca="1">AA121*(1+AB122)</f>
        <v>1e-12</v>
      </c>
      <c r="AC121" s="286">
        <f ca="1">AB121*(1+AC122)</f>
        <v>1e-12</v>
      </c>
      <c r="AD121" s="287">
        <f ca="1">AD115/AD116</f>
        <v>1e-12</v>
      </c>
      <c r="AE121" s="287">
        <f t="shared" ref="AE121:AG121" si="106" ca="1">AD121*(1+AE122)</f>
        <v>1e-12</v>
      </c>
      <c r="AF121" s="287">
        <f ca="1">AE121*(1+AF122)</f>
        <v>1e-12</v>
      </c>
      <c r="AG121" s="287">
        <f ca="1">AF121*(1+AG122)</f>
        <v>1e-12</v>
      </c>
      <c r="AH121" s="16"/>
      <c r="AI121" s="16"/>
      <c r="AJ121" s="16"/>
    </row>
    <row r="122" ht="12.75" customHeight="1" hidden="1" spans="1:36" x14ac:dyDescent="0.25" outlineLevel="1" collapsed="1">
      <c r="A122" s="16"/>
      <c r="B122" s="16"/>
      <c r="C122" s="120" t="s">
        <v>257</v>
      </c>
      <c r="D122" s="16"/>
      <c r="E122" s="168"/>
      <c r="F122" s="319"/>
      <c r="G122" s="318" t="str">
        <f t="shared" ref="G122:I122" si="107" ca="1">IFERROR(G121/F121-1,"--")</f>
        <v>--</v>
      </c>
      <c r="H122" s="318" t="str">
        <f ca="1">IFERROR(H121/G121-1,"--")</f>
        <v>--</v>
      </c>
      <c r="I122" s="318" t="str">
        <f ca="1">IFERROR(I121/H121-1,"--")</f>
        <v>--</v>
      </c>
      <c r="J122" s="168"/>
      <c r="K122" s="318" t="str">
        <f ca="1">IFERROR(K121/I121-1,"--")</f>
        <v>--</v>
      </c>
      <c r="L122" s="318" t="str">
        <f t="shared" ref="L122:N122" si="108" ca="1">IFERROR(L121/K121-1,"--")</f>
        <v>--</v>
      </c>
      <c r="M122" s="318" t="str">
        <f ca="1">IFERROR(M121/L121-1,"--")</f>
        <v>--</v>
      </c>
      <c r="N122" s="318" t="str">
        <f ca="1">IFERROR(N121/M121-1,"--")</f>
        <v>--</v>
      </c>
      <c r="O122" s="306" t="str">
        <f ca="1">IFERROR(O121/J121-1,"--")</f>
        <v>--</v>
      </c>
      <c r="P122" s="318" t="str">
        <f ca="1">IFERROR(P121/N121-1,"--")</f>
        <v>--</v>
      </c>
      <c r="Q122" s="318" t="str">
        <f t="shared" ref="Q122:S122" si="109" ca="1">IFERROR(Q121/P121-1,"--")</f>
        <v>--</v>
      </c>
      <c r="R122" s="318" t="str">
        <f ca="1">IFERROR(R121/Q121-1,"--")</f>
        <v>--</v>
      </c>
      <c r="S122" s="318" t="str">
        <f ca="1">IFERROR(S121/R121-1,"--")</f>
        <v>--</v>
      </c>
      <c r="T122" s="306" t="str">
        <f ca="1">IFERROR(T121/O121-1,"--")</f>
        <v>--</v>
      </c>
      <c r="U122" s="318" t="str">
        <f ca="1">IFERROR(U121/S121-1,"--")</f>
        <v>--</v>
      </c>
      <c r="V122" s="318" t="str">
        <f t="shared" ref="V122:W122" si="110" ca="1">IFERROR(V121/U121-1,"--")</f>
        <v>--</v>
      </c>
      <c r="W122" s="318" t="str">
        <f ca="1">IFERROR(W121/V121-1,"--")</f>
        <v>--</v>
      </c>
      <c r="X122" s="305">
        <f ca="1">IF(Case_Scenario="Bull",X123,IF(Case_Scenario="Base",X124,IF(Case_Scenario="bear",X125,"N/A")))</f>
        <v>0.05</v>
      </c>
      <c r="Y122" s="306"/>
      <c r="Z122" s="305">
        <f ca="1">IF(Case_Scenario="Bull",Z123,IF(Case_Scenario="Base",Z124,IF(Case_Scenario="bear",Z125,"N/A")))</f>
        <v>0.05</v>
      </c>
      <c r="AA122" s="305">
        <f ca="1">IF(Case_Scenario="Bull",AA123,IF(Case_Scenario="Base",AA124,IF(Case_Scenario="bear",AA125,"N/A")))</f>
        <v>0.05</v>
      </c>
      <c r="AB122" s="305">
        <f ca="1">IF(Case_Scenario="Bull",AB123,IF(Case_Scenario="Base",AB124,IF(Case_Scenario="bear",AB125,"N/A")))</f>
        <v>0.05</v>
      </c>
      <c r="AC122" s="305">
        <f ca="1">IF(Case_Scenario="Bull",AC123,IF(Case_Scenario="Base",AC124,IF(Case_Scenario="bear",AC125,"N/A")))</f>
        <v>0.05</v>
      </c>
      <c r="AD122" s="306"/>
      <c r="AE122" s="306">
        <f ca="1">IF(Case_Scenario="Bull",AE123,IF(Case_Scenario="Base",AE124,IF(Case_Scenario="bear",AE125,"N/A")))</f>
        <v>0.05</v>
      </c>
      <c r="AF122" s="306">
        <f ca="1">IF(Case_Scenario="Bull",AF123,IF(Case_Scenario="Base",AF124,IF(Case_Scenario="bear",AF125,"N/A")))</f>
        <v>0.05</v>
      </c>
      <c r="AG122" s="306">
        <f ca="1">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 ca="1">C41</f>
        <v>Segment 4 Revenue</v>
      </c>
      <c r="D127" s="16"/>
      <c r="E127" s="168"/>
      <c r="F127" s="317">
        <f t="shared" ref="F127:W127" si="111" ca="1">F41</f>
        <v>1e-12</v>
      </c>
      <c r="G127" s="317">
        <f ca="1">G41</f>
        <v>1e-12</v>
      </c>
      <c r="H127" s="317">
        <f ca="1">H41</f>
        <v>1e-12</v>
      </c>
      <c r="I127" s="317">
        <f ca="1">I41</f>
        <v>1e-12</v>
      </c>
      <c r="J127" s="287">
        <f ca="1">J41</f>
        <v>1e-12</v>
      </c>
      <c r="K127" s="317">
        <f ca="1">K41</f>
        <v>1e-12</v>
      </c>
      <c r="L127" s="317">
        <f ca="1">L41</f>
        <v>1e-12</v>
      </c>
      <c r="M127" s="317">
        <f ca="1">M41</f>
        <v>1e-12</v>
      </c>
      <c r="N127" s="317">
        <f ca="1">N41</f>
        <v>1e-12</v>
      </c>
      <c r="O127" s="287">
        <f ca="1">O41</f>
        <v>1e-12</v>
      </c>
      <c r="P127" s="317">
        <f ca="1">P41</f>
        <v>1e-12</v>
      </c>
      <c r="Q127" s="317">
        <f ca="1">Q41</f>
        <v>1e-12</v>
      </c>
      <c r="R127" s="317">
        <f ca="1">R41</f>
        <v>1e-12</v>
      </c>
      <c r="S127" s="317">
        <f ca="1">S41</f>
        <v>1e-12</v>
      </c>
      <c r="T127" s="287">
        <f ca="1">T41</f>
        <v>1e-12</v>
      </c>
      <c r="U127" s="317">
        <f ca="1">U41</f>
        <v>1e-12</v>
      </c>
      <c r="V127" s="317">
        <f ca="1">V41</f>
        <v>1e-12</v>
      </c>
      <c r="W127" s="317">
        <f ca="1">W41</f>
        <v>1e-12</v>
      </c>
      <c r="X127" s="286">
        <f ca="1">X128*X133</f>
        <v>1e-12</v>
      </c>
      <c r="Y127" s="287">
        <f t="shared" ref="Y127:Y128" si="112" ca="1">SUM(U127:X127)</f>
        <v>1e-12</v>
      </c>
      <c r="Z127" s="286">
        <f t="shared" ref="Z127:AC127" si="113" ca="1">Z128*Z133</f>
        <v>1e-12</v>
      </c>
      <c r="AA127" s="286">
        <f ca="1">AA128*AA133</f>
        <v>1e-12</v>
      </c>
      <c r="AB127" s="286">
        <f ca="1">AB128*AB133</f>
        <v>1e-12</v>
      </c>
      <c r="AC127" s="286">
        <f ca="1">AC128*AC133</f>
        <v>1e-12</v>
      </c>
      <c r="AD127" s="287">
        <f t="shared" ref="AD127:AD128" si="114" ca="1">SUM(Z127:AC127)</f>
        <v>1e-12</v>
      </c>
      <c r="AE127" s="287">
        <f t="shared" ref="AE127:AG127" si="115" ca="1">AE128*AE133</f>
        <v>1e-12</v>
      </c>
      <c r="AF127" s="287">
        <f ca="1">AF128*AF133</f>
        <v>1e-12</v>
      </c>
      <c r="AG127" s="287">
        <f ca="1">AG128*AG133</f>
        <v>1e-12</v>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 ca="1">SUM(F128:I128)</f>
        <v>880</v>
      </c>
      <c r="K128" s="325">
        <v>220</v>
      </c>
      <c r="L128" s="325">
        <v>220</v>
      </c>
      <c r="M128" s="325">
        <v>220</v>
      </c>
      <c r="N128" s="325">
        <v>220</v>
      </c>
      <c r="O128" s="326">
        <f ca="1">SUM(K128:N128)</f>
        <v>880</v>
      </c>
      <c r="P128" s="325">
        <v>220</v>
      </c>
      <c r="Q128" s="325">
        <v>220</v>
      </c>
      <c r="R128" s="325">
        <v>220</v>
      </c>
      <c r="S128" s="325">
        <v>220</v>
      </c>
      <c r="T128" s="326">
        <f ca="1">SUM(P128:S128)</f>
        <v>880</v>
      </c>
      <c r="U128" s="325">
        <v>220</v>
      </c>
      <c r="V128" s="325">
        <v>220</v>
      </c>
      <c r="W128" s="325">
        <v>220</v>
      </c>
      <c r="X128" s="327">
        <f ca="1">W128*(1+X129)</f>
        <v>231</v>
      </c>
      <c r="Y128" s="326">
        <f ca="1">SUM(U128:X128)</f>
        <v>891</v>
      </c>
      <c r="Z128" s="327">
        <f ca="1">X128*(1+Z129)</f>
        <v>242.55</v>
      </c>
      <c r="AA128" s="327">
        <f t="shared" ref="AA128:AC128" si="116" ca="1">Z128*(1+AA129)</f>
        <v>254.6775</v>
      </c>
      <c r="AB128" s="327">
        <f ca="1">AA128*(1+AB129)</f>
        <v>267.411375</v>
      </c>
      <c r="AC128" s="327">
        <f ca="1">AB128*(1+AC129)</f>
        <v>280.78194375000004</v>
      </c>
      <c r="AD128" s="326">
        <f ca="1">SUM(Z128:AC128)</f>
        <v>1045.42081875</v>
      </c>
      <c r="AE128" s="326">
        <f t="shared" ref="AE128:AG128" si="117" ca="1">AD128*(1+AE129)</f>
        <v>1097.6918596875</v>
      </c>
      <c r="AF128" s="326">
        <f ca="1">AE128*(1+AF129)</f>
        <v>1152.5764526718751</v>
      </c>
      <c r="AG128" s="326">
        <f ca="1">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 ca="1">IFERROR(G128/F128-1,"--")</f>
        <v>0</v>
      </c>
      <c r="H129" s="318">
        <f ca="1">IFERROR(H128/G128-1,"--")</f>
      </c>
      <c r="I129" s="318">
        <f ca="1">IFERROR(I128/H128-1,"--")</f>
      </c>
      <c r="J129" s="168"/>
      <c r="K129" s="318">
        <f ca="1">IFERROR(K128/I128-1,"--")</f>
        <v>0</v>
      </c>
      <c r="L129" s="318">
        <f t="shared" ref="L129:N129" si="119" ca="1">IFERROR(L128/K128-1,"--")</f>
        <v>0</v>
      </c>
      <c r="M129" s="318">
        <f ca="1">IFERROR(M128/L128-1,"--")</f>
      </c>
      <c r="N129" s="318">
        <f ca="1">IFERROR(N128/M128-1,"--")</f>
      </c>
      <c r="O129" s="306">
        <f ca="1">IFERROR(O128/J128-1,"--")</f>
        <v>0</v>
      </c>
      <c r="P129" s="318">
        <f ca="1">IFERROR(P128/N128-1,"--")</f>
        <v>0</v>
      </c>
      <c r="Q129" s="318">
        <f t="shared" ref="Q129:S129" si="120" ca="1">IFERROR(Q128/P128-1,"--")</f>
        <v>0</v>
      </c>
      <c r="R129" s="318">
        <f ca="1">IFERROR(R128/Q128-1,"--")</f>
      </c>
      <c r="S129" s="318">
        <f ca="1">IFERROR(S128/R128-1,"--")</f>
      </c>
      <c r="T129" s="306">
        <f ca="1">IFERROR(T128/O128-1,"--")</f>
        <v>0</v>
      </c>
      <c r="U129" s="318">
        <f ca="1">IFERROR(U128/S128-1,"--")</f>
        <v>0</v>
      </c>
      <c r="V129" s="318">
        <f t="shared" ref="V129:W129" si="121" ca="1">IFERROR(V128/U128-1,"--")</f>
        <v>0</v>
      </c>
      <c r="W129" s="318">
        <f ca="1">IFERROR(W128/V128-1,"--")</f>
      </c>
      <c r="X129" s="305">
        <f ca="1">IF(Case_Scenario="Bull",X130,IF(Case_Scenario="Base",X131,IF(Case_Scenario="bear",X132,"N/A")))</f>
        <v>0.05</v>
      </c>
      <c r="Y129" s="306"/>
      <c r="Z129" s="305">
        <f ca="1">IF(Case_Scenario="Bull",Z130,IF(Case_Scenario="Base",Z131,IF(Case_Scenario="bear",Z132,"N/A")))</f>
        <v>0.05</v>
      </c>
      <c r="AA129" s="305">
        <f ca="1">IF(Case_Scenario="Bull",AA130,IF(Case_Scenario="Base",AA131,IF(Case_Scenario="bear",AA132,"N/A")))</f>
        <v>0.05</v>
      </c>
      <c r="AB129" s="305">
        <f ca="1">IF(Case_Scenario="Bull",AB130,IF(Case_Scenario="Base",AB131,IF(Case_Scenario="bear",AB132,"N/A")))</f>
        <v>0.05</v>
      </c>
      <c r="AC129" s="305">
        <f ca="1">IF(Case_Scenario="Bull",AC130,IF(Case_Scenario="Base",AC131,IF(Case_Scenario="bear",AC132,"N/A")))</f>
        <v>0.05</v>
      </c>
      <c r="AD129" s="306"/>
      <c r="AE129" s="306">
        <f ca="1">IF(Case_Scenario="Bull",AE130,IF(Case_Scenario="Base",AE131,IF(Case_Scenario="bear",AE132,"N/A")))</f>
        <v>0.05</v>
      </c>
      <c r="AF129" s="306">
        <f ca="1">IF(Case_Scenario="Bull",AF130,IF(Case_Scenario="Base",AF131,IF(Case_Scenario="bear",AF132,"N/A")))</f>
        <v>0.05</v>
      </c>
      <c r="AG129" s="306">
        <f ca="1">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 ca="1">IFERROR(F127/F128,"--")</f>
        <v>0</v>
      </c>
      <c r="G133" s="317">
        <f ca="1">IFERROR(G127/G128,"--")</f>
      </c>
      <c r="H133" s="317">
        <f ca="1">IFERROR(H127/H128,"--")</f>
      </c>
      <c r="I133" s="317">
        <f ca="1">IFERROR(I127/I128,"--")</f>
      </c>
      <c r="J133" s="287">
        <f ca="1">IFERROR(J127/J128,"--")</f>
      </c>
      <c r="K133" s="317">
        <f ca="1">IFERROR(K127/K128,"--")</f>
      </c>
      <c r="L133" s="317">
        <f ca="1">IFERROR(L127/L128,"--")</f>
      </c>
      <c r="M133" s="317">
        <f ca="1">IFERROR(M127/M128,"--")</f>
      </c>
      <c r="N133" s="317">
        <f ca="1">IFERROR(N127/N128,"--")</f>
      </c>
      <c r="O133" s="287">
        <f ca="1">IFERROR(O127/O128,"--")</f>
      </c>
      <c r="P133" s="317">
        <f ca="1">IFERROR(P127/P128,"--")</f>
      </c>
      <c r="Q133" s="317">
        <f ca="1">IFERROR(Q127/Q128,"--")</f>
      </c>
      <c r="R133" s="317">
        <f ca="1">IFERROR(R127/R128,"--")</f>
      </c>
      <c r="S133" s="317">
        <f ca="1">IFERROR(S127/S128,"--")</f>
      </c>
      <c r="T133" s="287">
        <f ca="1">IFERROR(T127/T128,"--")</f>
      </c>
      <c r="U133" s="317">
        <f ca="1">IFERROR(U127/U128,"--")</f>
      </c>
      <c r="V133" s="317">
        <f ca="1">IFERROR(V127/V128,"--")</f>
      </c>
      <c r="W133" s="317">
        <f ca="1">IFERROR(W127/W128,"--")</f>
      </c>
      <c r="X133" s="286">
        <f ca="1">W133*(1+X134)</f>
        <v>1e-12</v>
      </c>
      <c r="Y133" s="287">
        <f ca="1">Y127/Y128</f>
        <v>1e-12</v>
      </c>
      <c r="Z133" s="286">
        <f ca="1">X133*(1+Z134)</f>
        <v>1e-12</v>
      </c>
      <c r="AA133" s="286">
        <f t="shared" ref="AA133:AC133" si="123" ca="1">Z133*(1+AA134)</f>
        <v>1e-12</v>
      </c>
      <c r="AB133" s="286">
        <f ca="1">AA133*(1+AB134)</f>
        <v>1e-12</v>
      </c>
      <c r="AC133" s="286">
        <f ca="1">AB133*(1+AC134)</f>
        <v>1e-12</v>
      </c>
      <c r="AD133" s="287">
        <f ca="1">AD127/AD128</f>
        <v>1e-12</v>
      </c>
      <c r="AE133" s="287">
        <f t="shared" ref="AE133:AG133" si="124" ca="1">AD133*(1+AE134)</f>
        <v>1e-12</v>
      </c>
      <c r="AF133" s="287">
        <f ca="1">AE133*(1+AF134)</f>
        <v>1e-12</v>
      </c>
      <c r="AG133" s="287">
        <f ca="1">AF133*(1+AG134)</f>
        <v>1e-12</v>
      </c>
      <c r="AH133" s="16"/>
      <c r="AI133" s="16"/>
      <c r="AJ133" s="16"/>
    </row>
    <row r="134" ht="12.75" customHeight="1" hidden="1" spans="1:36" x14ac:dyDescent="0.25" outlineLevel="1" collapsed="1">
      <c r="A134" s="16"/>
      <c r="B134" s="16"/>
      <c r="C134" s="120" t="s">
        <v>257</v>
      </c>
      <c r="D134" s="16"/>
      <c r="E134" s="168"/>
      <c r="F134" s="319"/>
      <c r="G134" s="318" t="str">
        <f t="shared" ref="G134:I134" si="125" ca="1">IFERROR(G133/F133-1,"--")</f>
        <v>--</v>
      </c>
      <c r="H134" s="318" t="str">
        <f ca="1">IFERROR(H133/G133-1,"--")</f>
        <v>--</v>
      </c>
      <c r="I134" s="318" t="str">
        <f ca="1">IFERROR(I133/H133-1,"--")</f>
        <v>--</v>
      </c>
      <c r="J134" s="168"/>
      <c r="K134" s="318" t="str">
        <f ca="1">IFERROR(K133/I133-1,"--")</f>
        <v>--</v>
      </c>
      <c r="L134" s="318" t="str">
        <f t="shared" ref="L134:N134" si="126" ca="1">IFERROR(L133/K133-1,"--")</f>
        <v>--</v>
      </c>
      <c r="M134" s="318" t="str">
        <f ca="1">IFERROR(M133/L133-1,"--")</f>
        <v>--</v>
      </c>
      <c r="N134" s="318" t="str">
        <f ca="1">IFERROR(N133/M133-1,"--")</f>
        <v>--</v>
      </c>
      <c r="O134" s="306" t="str">
        <f ca="1">IFERROR(O133/J133-1,"--")</f>
        <v>--</v>
      </c>
      <c r="P134" s="318" t="str">
        <f ca="1">IFERROR(P133/N133-1,"--")</f>
        <v>--</v>
      </c>
      <c r="Q134" s="318" t="str">
        <f t="shared" ref="Q134:S134" si="127" ca="1">IFERROR(Q133/P133-1,"--")</f>
        <v>--</v>
      </c>
      <c r="R134" s="318" t="str">
        <f ca="1">IFERROR(R133/Q133-1,"--")</f>
        <v>--</v>
      </c>
      <c r="S134" s="318" t="str">
        <f ca="1">IFERROR(S133/R133-1,"--")</f>
        <v>--</v>
      </c>
      <c r="T134" s="306" t="str">
        <f ca="1">IFERROR(T133/O133-1,"--")</f>
        <v>--</v>
      </c>
      <c r="U134" s="318" t="str">
        <f ca="1">IFERROR(U133/S133-1,"--")</f>
        <v>--</v>
      </c>
      <c r="V134" s="318" t="str">
        <f t="shared" ref="V134:W134" si="128" ca="1">IFERROR(V133/U133-1,"--")</f>
        <v>--</v>
      </c>
      <c r="W134" s="318" t="str">
        <f ca="1">IFERROR(W133/V133-1,"--")</f>
        <v>--</v>
      </c>
      <c r="X134" s="305">
        <f ca="1">IF(Case_Scenario="Bull",X135,IF(Case_Scenario="Base",X136,IF(Case_Scenario="bear",X137,"N/A")))</f>
        <v>0.05</v>
      </c>
      <c r="Y134" s="306"/>
      <c r="Z134" s="305">
        <f ca="1">IF(Case_Scenario="Bull",Z135,IF(Case_Scenario="Base",Z136,IF(Case_Scenario="bear",Z137,"N/A")))</f>
        <v>0.05</v>
      </c>
      <c r="AA134" s="305">
        <f ca="1">IF(Case_Scenario="Bull",AA135,IF(Case_Scenario="Base",AA136,IF(Case_Scenario="bear",AA137,"N/A")))</f>
        <v>0.05</v>
      </c>
      <c r="AB134" s="305">
        <f ca="1">IF(Case_Scenario="Bull",AB135,IF(Case_Scenario="Base",AB136,IF(Case_Scenario="bear",AB137,"N/A")))</f>
        <v>0.05</v>
      </c>
      <c r="AC134" s="305">
        <f ca="1">IF(Case_Scenario="Bull",AC135,IF(Case_Scenario="Base",AC136,IF(Case_Scenario="bear",AC137,"N/A")))</f>
        <v>0.05</v>
      </c>
      <c r="AD134" s="306"/>
      <c r="AE134" s="306">
        <f ca="1">IF(Case_Scenario="Bull",AE135,IF(Case_Scenario="Base",AE136,IF(Case_Scenario="bear",AE137,"N/A")))</f>
        <v>0.05</v>
      </c>
      <c r="AF134" s="306">
        <f ca="1">IF(Case_Scenario="Bull",AF135,IF(Case_Scenario="Base",AF136,IF(Case_Scenario="bear",AF137,"N/A")))</f>
        <v>0.05</v>
      </c>
      <c r="AG134" s="306">
        <f ca="1">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 ca="1">C44</f>
        <v>Segment 5 Revenue</v>
      </c>
      <c r="D139" s="16"/>
      <c r="E139" s="168"/>
      <c r="F139" s="317">
        <f t="shared" ref="F139:W139" si="129" ca="1">F44</f>
        <v>1e-12</v>
      </c>
      <c r="G139" s="317">
        <f ca="1">G44</f>
        <v>1e-12</v>
      </c>
      <c r="H139" s="317">
        <f ca="1">H44</f>
        <v>1e-12</v>
      </c>
      <c r="I139" s="317">
        <f ca="1">I44</f>
        <v>1e-12</v>
      </c>
      <c r="J139" s="287">
        <f ca="1">J44</f>
        <v>1e-12</v>
      </c>
      <c r="K139" s="317">
        <f ca="1">K44</f>
        <v>1e-12</v>
      </c>
      <c r="L139" s="317">
        <f ca="1">L44</f>
        <v>1e-12</v>
      </c>
      <c r="M139" s="317">
        <f ca="1">M44</f>
        <v>1e-12</v>
      </c>
      <c r="N139" s="317">
        <f ca="1">N44</f>
        <v>1e-12</v>
      </c>
      <c r="O139" s="287">
        <f ca="1">O44</f>
        <v>1e-12</v>
      </c>
      <c r="P139" s="317">
        <f ca="1">P44</f>
        <v>1e-12</v>
      </c>
      <c r="Q139" s="317">
        <f ca="1">Q44</f>
        <v>1e-12</v>
      </c>
      <c r="R139" s="317">
        <f ca="1">R44</f>
        <v>1e-12</v>
      </c>
      <c r="S139" s="317">
        <f ca="1">S44</f>
        <v>1e-12</v>
      </c>
      <c r="T139" s="287">
        <f ca="1">T44</f>
        <v>1e-12</v>
      </c>
      <c r="U139" s="317">
        <f ca="1">U44</f>
        <v>1e-12</v>
      </c>
      <c r="V139" s="317">
        <f ca="1">V44</f>
        <v>1e-12</v>
      </c>
      <c r="W139" s="317">
        <f ca="1">W44</f>
        <v>1e-12</v>
      </c>
      <c r="X139" s="286">
        <f ca="1">X140*X145</f>
        <v>1e-12</v>
      </c>
      <c r="Y139" s="287">
        <f t="shared" ref="Y139:Y140" si="130" ca="1">SUM(U139:X139)</f>
        <v>1e-12</v>
      </c>
      <c r="Z139" s="286">
        <f t="shared" ref="Z139:AC139" si="131" ca="1">Z140*Z145</f>
        <v>1e-12</v>
      </c>
      <c r="AA139" s="286">
        <f ca="1">AA140*AA145</f>
        <v>1e-12</v>
      </c>
      <c r="AB139" s="286">
        <f ca="1">AB140*AB145</f>
        <v>1e-12</v>
      </c>
      <c r="AC139" s="286">
        <f ca="1">AC140*AC145</f>
        <v>1e-12</v>
      </c>
      <c r="AD139" s="287">
        <f t="shared" ref="AD139:AD140" si="132" ca="1">SUM(Z139:AC139)</f>
        <v>1e-12</v>
      </c>
      <c r="AE139" s="287">
        <f t="shared" ref="AE139:AG139" si="133" ca="1">AE140*AE145</f>
        <v>1e-12</v>
      </c>
      <c r="AF139" s="287">
        <f ca="1">AF140*AF145</f>
        <v>1e-12</v>
      </c>
      <c r="AG139" s="287">
        <f ca="1">AG140*AG145</f>
        <v>1e-12</v>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 ca="1">SUM(F140:I140)</f>
        <v>880</v>
      </c>
      <c r="K140" s="325">
        <v>220</v>
      </c>
      <c r="L140" s="325">
        <v>220</v>
      </c>
      <c r="M140" s="325">
        <v>220</v>
      </c>
      <c r="N140" s="325">
        <v>220</v>
      </c>
      <c r="O140" s="326">
        <f ca="1">SUM(K140:N140)</f>
        <v>880</v>
      </c>
      <c r="P140" s="325">
        <v>220</v>
      </c>
      <c r="Q140" s="325">
        <v>220</v>
      </c>
      <c r="R140" s="325">
        <v>220</v>
      </c>
      <c r="S140" s="325">
        <v>220</v>
      </c>
      <c r="T140" s="326">
        <f ca="1">SUM(P140:S140)</f>
        <v>880</v>
      </c>
      <c r="U140" s="325">
        <v>220</v>
      </c>
      <c r="V140" s="325">
        <v>220</v>
      </c>
      <c r="W140" s="325">
        <v>220</v>
      </c>
      <c r="X140" s="327">
        <f ca="1">W140*(1+X141)</f>
        <v>231</v>
      </c>
      <c r="Y140" s="326">
        <f ca="1">SUM(U140:X140)</f>
        <v>891</v>
      </c>
      <c r="Z140" s="327">
        <f ca="1">X140*(1+Z141)</f>
        <v>242.55</v>
      </c>
      <c r="AA140" s="327">
        <f t="shared" ref="AA140:AC140" si="134" ca="1">Z140*(1+AA141)</f>
        <v>254.6775</v>
      </c>
      <c r="AB140" s="327">
        <f ca="1">AA140*(1+AB141)</f>
        <v>267.411375</v>
      </c>
      <c r="AC140" s="327">
        <f ca="1">AB140*(1+AC141)</f>
        <v>280.78194375000004</v>
      </c>
      <c r="AD140" s="326">
        <f ca="1">SUM(Z140:AC140)</f>
        <v>1045.42081875</v>
      </c>
      <c r="AE140" s="326">
        <f t="shared" ref="AE140:AG140" si="135" ca="1">AD140*(1+AE141)</f>
        <v>1097.6918596875</v>
      </c>
      <c r="AF140" s="326">
        <f ca="1">AE140*(1+AF141)</f>
        <v>1152.5764526718751</v>
      </c>
      <c r="AG140" s="326">
        <f ca="1">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 ca="1">IFERROR(G140/F140-1,"--")</f>
        <v>0</v>
      </c>
      <c r="H141" s="318">
        <f ca="1">IFERROR(H140/G140-1,"--")</f>
      </c>
      <c r="I141" s="318">
        <f ca="1">IFERROR(I140/H140-1,"--")</f>
      </c>
      <c r="J141" s="168"/>
      <c r="K141" s="318">
        <f ca="1">IFERROR(K140/I140-1,"--")</f>
        <v>0</v>
      </c>
      <c r="L141" s="318">
        <f t="shared" ref="L141:N141" si="137" ca="1">IFERROR(L140/K140-1,"--")</f>
        <v>0</v>
      </c>
      <c r="M141" s="318">
        <f ca="1">IFERROR(M140/L140-1,"--")</f>
      </c>
      <c r="N141" s="318">
        <f ca="1">IFERROR(N140/M140-1,"--")</f>
      </c>
      <c r="O141" s="306">
        <f ca="1">IFERROR(O140/J140-1,"--")</f>
        <v>0</v>
      </c>
      <c r="P141" s="318">
        <f ca="1">IFERROR(P140/N140-1,"--")</f>
        <v>0</v>
      </c>
      <c r="Q141" s="318">
        <f t="shared" ref="Q141:S141" si="138" ca="1">IFERROR(Q140/P140-1,"--")</f>
        <v>0</v>
      </c>
      <c r="R141" s="318">
        <f ca="1">IFERROR(R140/Q140-1,"--")</f>
      </c>
      <c r="S141" s="318">
        <f ca="1">IFERROR(S140/R140-1,"--")</f>
      </c>
      <c r="T141" s="306">
        <f ca="1">IFERROR(T140/O140-1,"--")</f>
        <v>0</v>
      </c>
      <c r="U141" s="318">
        <f ca="1">IFERROR(U140/S140-1,"--")</f>
        <v>0</v>
      </c>
      <c r="V141" s="318">
        <f t="shared" ref="V141:W141" si="139" ca="1">IFERROR(V140/U140-1,"--")</f>
        <v>0</v>
      </c>
      <c r="W141" s="318">
        <f ca="1">IFERROR(W140/V140-1,"--")</f>
      </c>
      <c r="X141" s="305">
        <f ca="1">IF(Case_Scenario="Bull",X142,IF(Case_Scenario="Base",X143,IF(Case_Scenario="bear",X144,"N/A")))</f>
        <v>0.05</v>
      </c>
      <c r="Y141" s="306"/>
      <c r="Z141" s="305">
        <f ca="1">IF(Case_Scenario="Bull",Z142,IF(Case_Scenario="Base",Z143,IF(Case_Scenario="bear",Z144,"N/A")))</f>
        <v>0.05</v>
      </c>
      <c r="AA141" s="305">
        <f ca="1">IF(Case_Scenario="Bull",AA142,IF(Case_Scenario="Base",AA143,IF(Case_Scenario="bear",AA144,"N/A")))</f>
        <v>0.05</v>
      </c>
      <c r="AB141" s="305">
        <f ca="1">IF(Case_Scenario="Bull",AB142,IF(Case_Scenario="Base",AB143,IF(Case_Scenario="bear",AB144,"N/A")))</f>
        <v>0.05</v>
      </c>
      <c r="AC141" s="305">
        <f ca="1">IF(Case_Scenario="Bull",AC142,IF(Case_Scenario="Base",AC143,IF(Case_Scenario="bear",AC144,"N/A")))</f>
        <v>0.05</v>
      </c>
      <c r="AD141" s="306"/>
      <c r="AE141" s="306">
        <f ca="1">IF(Case_Scenario="Bull",AE142,IF(Case_Scenario="Base",AE143,IF(Case_Scenario="bear",AE144,"N/A")))</f>
        <v>0.05</v>
      </c>
      <c r="AF141" s="306">
        <f ca="1">IF(Case_Scenario="Bull",AF142,IF(Case_Scenario="Base",AF143,IF(Case_Scenario="bear",AF144,"N/A")))</f>
        <v>0.05</v>
      </c>
      <c r="AG141" s="306">
        <f ca="1">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 ca="1">IFERROR(F139/F140,"--")</f>
        <v>0</v>
      </c>
      <c r="G145" s="317">
        <f ca="1">IFERROR(G139/G140,"--")</f>
      </c>
      <c r="H145" s="317">
        <f ca="1">IFERROR(H139/H140,"--")</f>
      </c>
      <c r="I145" s="317">
        <f ca="1">IFERROR(I139/I140,"--")</f>
      </c>
      <c r="J145" s="287">
        <f ca="1">IFERROR(J139/J140,"--")</f>
      </c>
      <c r="K145" s="317">
        <f ca="1">IFERROR(K139/K140,"--")</f>
      </c>
      <c r="L145" s="317">
        <f ca="1">IFERROR(L139/L140,"--")</f>
      </c>
      <c r="M145" s="317">
        <f ca="1">IFERROR(M139/M140,"--")</f>
      </c>
      <c r="N145" s="317">
        <f ca="1">IFERROR(N139/N140,"--")</f>
      </c>
      <c r="O145" s="287">
        <f ca="1">IFERROR(O139/O140,"--")</f>
      </c>
      <c r="P145" s="317">
        <f ca="1">IFERROR(P139/P140,"--")</f>
      </c>
      <c r="Q145" s="317">
        <f ca="1">IFERROR(Q139/Q140,"--")</f>
      </c>
      <c r="R145" s="317">
        <f ca="1">IFERROR(R139/R140,"--")</f>
      </c>
      <c r="S145" s="317">
        <f ca="1">IFERROR(S139/S140,"--")</f>
      </c>
      <c r="T145" s="287">
        <f ca="1">IFERROR(T139/T140,"--")</f>
      </c>
      <c r="U145" s="317">
        <f ca="1">IFERROR(U139/U140,"--")</f>
      </c>
      <c r="V145" s="317">
        <f ca="1">IFERROR(V139/V140,"--")</f>
      </c>
      <c r="W145" s="317">
        <f ca="1">IFERROR(W139/W140,"--")</f>
      </c>
      <c r="X145" s="286">
        <f ca="1">W145*(1+X146)</f>
        <v>1e-12</v>
      </c>
      <c r="Y145" s="287">
        <f ca="1">Y139/Y140</f>
        <v>1e-12</v>
      </c>
      <c r="Z145" s="286">
        <f ca="1">X145*(1+Z146)</f>
        <v>1e-12</v>
      </c>
      <c r="AA145" s="286">
        <f t="shared" ref="AA145:AC145" si="141" ca="1">Z145*(1+AA146)</f>
        <v>1e-12</v>
      </c>
      <c r="AB145" s="286">
        <f ca="1">AA145*(1+AB146)</f>
        <v>1e-12</v>
      </c>
      <c r="AC145" s="286">
        <f ca="1">AB145*(1+AC146)</f>
        <v>1e-12</v>
      </c>
      <c r="AD145" s="287">
        <f ca="1">AD139/AD140</f>
        <v>1e-12</v>
      </c>
      <c r="AE145" s="287">
        <f t="shared" ref="AE145:AG145" si="142" ca="1">AD145*(1+AE146)</f>
        <v>1e-12</v>
      </c>
      <c r="AF145" s="287">
        <f ca="1">AE145*(1+AF146)</f>
        <v>1e-12</v>
      </c>
      <c r="AG145" s="287">
        <f ca="1">AF145*(1+AG146)</f>
        <v>1e-12</v>
      </c>
      <c r="AH145" s="16"/>
      <c r="AI145" s="16"/>
      <c r="AJ145" s="16"/>
    </row>
    <row r="146" ht="12.75" customHeight="1" hidden="1" spans="1:36" x14ac:dyDescent="0.25" outlineLevel="1" collapsed="1">
      <c r="A146" s="16"/>
      <c r="B146" s="16"/>
      <c r="C146" s="120" t="s">
        <v>257</v>
      </c>
      <c r="D146" s="16"/>
      <c r="E146" s="168"/>
      <c r="F146" s="319"/>
      <c r="G146" s="318" t="str">
        <f t="shared" ref="G146:I146" si="143" ca="1">IFERROR(G145/F145-1,"--")</f>
        <v>--</v>
      </c>
      <c r="H146" s="318" t="str">
        <f ca="1">IFERROR(H145/G145-1,"--")</f>
        <v>--</v>
      </c>
      <c r="I146" s="318" t="str">
        <f ca="1">IFERROR(I145/H145-1,"--")</f>
        <v>--</v>
      </c>
      <c r="J146" s="168"/>
      <c r="K146" s="318" t="str">
        <f ca="1">IFERROR(K145/I145-1,"--")</f>
        <v>--</v>
      </c>
      <c r="L146" s="318" t="str">
        <f t="shared" ref="L146:N146" si="144" ca="1">IFERROR(L145/K145-1,"--")</f>
        <v>--</v>
      </c>
      <c r="M146" s="318" t="str">
        <f ca="1">IFERROR(M145/L145-1,"--")</f>
        <v>--</v>
      </c>
      <c r="N146" s="318" t="str">
        <f ca="1">IFERROR(N145/M145-1,"--")</f>
        <v>--</v>
      </c>
      <c r="O146" s="306" t="str">
        <f ca="1">IFERROR(O145/J145-1,"--")</f>
        <v>--</v>
      </c>
      <c r="P146" s="318" t="str">
        <f ca="1">IFERROR(P145/N145-1,"--")</f>
        <v>--</v>
      </c>
      <c r="Q146" s="318" t="str">
        <f t="shared" ref="Q146:S146" si="145" ca="1">IFERROR(Q145/P145-1,"--")</f>
        <v>--</v>
      </c>
      <c r="R146" s="318" t="str">
        <f ca="1">IFERROR(R145/Q145-1,"--")</f>
        <v>--</v>
      </c>
      <c r="S146" s="318" t="str">
        <f ca="1">IFERROR(S145/R145-1,"--")</f>
        <v>--</v>
      </c>
      <c r="T146" s="306" t="str">
        <f ca="1">IFERROR(T145/O145-1,"--")</f>
        <v>--</v>
      </c>
      <c r="U146" s="318" t="str">
        <f ca="1">IFERROR(U145/S145-1,"--")</f>
        <v>--</v>
      </c>
      <c r="V146" s="318" t="str">
        <f t="shared" ref="V146:W146" si="146" ca="1">IFERROR(V145/U145-1,"--")</f>
        <v>--</v>
      </c>
      <c r="W146" s="318" t="str">
        <f ca="1">IFERROR(W145/V145-1,"--")</f>
        <v>--</v>
      </c>
      <c r="X146" s="305">
        <f ca="1">IF(Case_Scenario="Bull",X147,IF(Case_Scenario="Base",X148,IF(Case_Scenario="bear",X149,"N/A")))</f>
        <v>0.05</v>
      </c>
      <c r="Y146" s="306"/>
      <c r="Z146" s="305">
        <f ca="1">IF(Case_Scenario="Bull",Z147,IF(Case_Scenario="Base",Z148,IF(Case_Scenario="bear",Z149,"N/A")))</f>
        <v>0.05</v>
      </c>
      <c r="AA146" s="305">
        <f ca="1">IF(Case_Scenario="Bull",AA147,IF(Case_Scenario="Base",AA148,IF(Case_Scenario="bear",AA149,"N/A")))</f>
        <v>0.05</v>
      </c>
      <c r="AB146" s="305">
        <f ca="1">IF(Case_Scenario="Bull",AB147,IF(Case_Scenario="Base",AB148,IF(Case_Scenario="bear",AB149,"N/A")))</f>
        <v>0.05</v>
      </c>
      <c r="AC146" s="305">
        <f ca="1">IF(Case_Scenario="Bull",AC147,IF(Case_Scenario="Base",AC148,IF(Case_Scenario="bear",AC149,"N/A")))</f>
        <v>0.05</v>
      </c>
      <c r="AD146" s="306"/>
      <c r="AE146" s="306">
        <f ca="1">IF(Case_Scenario="Bull",AE147,IF(Case_Scenario="Base",AE148,IF(Case_Scenario="bear",AE149,"N/A")))</f>
        <v>0.05</v>
      </c>
      <c r="AF146" s="306">
        <f ca="1">IF(Case_Scenario="Bull",AF147,IF(Case_Scenario="Base",AF148,IF(Case_Scenario="bear",AF149,"N/A")))</f>
        <v>0.05</v>
      </c>
      <c r="AG146" s="306">
        <f ca="1">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 ca="1">C47</f>
        <v>Segment 6 Revenue</v>
      </c>
      <c r="D151" s="16"/>
      <c r="E151" s="168"/>
      <c r="F151" s="317">
        <f t="shared" ref="F151:W151" si="147" ca="1">F47</f>
        <v>1e-12</v>
      </c>
      <c r="G151" s="317">
        <f ca="1">G47</f>
        <v>1e-12</v>
      </c>
      <c r="H151" s="317">
        <f ca="1">H47</f>
        <v>1e-12</v>
      </c>
      <c r="I151" s="317">
        <f ca="1">I47</f>
        <v>1e-12</v>
      </c>
      <c r="J151" s="287">
        <f ca="1">J47</f>
        <v>1e-12</v>
      </c>
      <c r="K151" s="317">
        <f ca="1">K47</f>
        <v>1e-12</v>
      </c>
      <c r="L151" s="317">
        <f ca="1">L47</f>
        <v>1e-12</v>
      </c>
      <c r="M151" s="317">
        <f ca="1">M47</f>
        <v>1e-12</v>
      </c>
      <c r="N151" s="317">
        <f ca="1">N47</f>
        <v>1e-12</v>
      </c>
      <c r="O151" s="287">
        <f ca="1">O47</f>
        <v>1e-12</v>
      </c>
      <c r="P151" s="317">
        <f ca="1">P47</f>
        <v>1e-12</v>
      </c>
      <c r="Q151" s="317">
        <f ca="1">Q47</f>
        <v>1e-12</v>
      </c>
      <c r="R151" s="317">
        <f ca="1">R47</f>
        <v>1e-12</v>
      </c>
      <c r="S151" s="317">
        <f ca="1">S47</f>
        <v>1e-12</v>
      </c>
      <c r="T151" s="287">
        <f ca="1">T47</f>
        <v>1e-12</v>
      </c>
      <c r="U151" s="317">
        <f ca="1">U47</f>
        <v>1e-12</v>
      </c>
      <c r="V151" s="317">
        <f ca="1">V47</f>
        <v>1e-12</v>
      </c>
      <c r="W151" s="317">
        <f ca="1">W47</f>
        <v>1e-12</v>
      </c>
      <c r="X151" s="286">
        <f ca="1">X152*X157</f>
        <v>1e-12</v>
      </c>
      <c r="Y151" s="287">
        <f t="shared" ref="Y151:Y152" si="148" ca="1">SUM(U151:X151)</f>
        <v>1e-12</v>
      </c>
      <c r="Z151" s="286">
        <f t="shared" ref="Z151:AC151" si="149" ca="1">Z152*Z157</f>
        <v>1e-12</v>
      </c>
      <c r="AA151" s="286">
        <f ca="1">AA152*AA157</f>
        <v>1e-12</v>
      </c>
      <c r="AB151" s="286">
        <f ca="1">AB152*AB157</f>
        <v>1e-12</v>
      </c>
      <c r="AC151" s="286">
        <f ca="1">AC152*AC157</f>
        <v>1e-12</v>
      </c>
      <c r="AD151" s="287">
        <f t="shared" ref="AD151:AD152" si="150" ca="1">SUM(Z151:AC151)</f>
        <v>1e-12</v>
      </c>
      <c r="AE151" s="287">
        <f t="shared" ref="AE151:AG151" si="151" ca="1">AE152*AE157</f>
        <v>1e-12</v>
      </c>
      <c r="AF151" s="287">
        <f ca="1">AF152*AF157</f>
        <v>1e-12</v>
      </c>
      <c r="AG151" s="287">
        <f ca="1">AG152*AG157</f>
        <v>1e-12</v>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 ca="1">W152*(1+X153)</f>
        <v>1e-12</v>
      </c>
      <c r="Y152" s="326">
        <f ca="1">SUM(U152:X152)</f>
        <v>1e-12</v>
      </c>
      <c r="Z152" s="327">
        <f ca="1">X152*(1+Z153)</f>
        <v>1e-12</v>
      </c>
      <c r="AA152" s="327">
        <f t="shared" ref="AA152:AC152" si="152" ca="1">Z152*(1+AA153)</f>
        <v>1e-12</v>
      </c>
      <c r="AB152" s="327">
        <f ca="1">AA152*(1+AB153)</f>
        <v>1e-12</v>
      </c>
      <c r="AC152" s="327">
        <f ca="1">AB152*(1+AC153)</f>
        <v>1e-12</v>
      </c>
      <c r="AD152" s="326">
        <f ca="1">SUM(Z152:AC152)</f>
        <v>1e-12</v>
      </c>
      <c r="AE152" s="326">
        <f t="shared" ref="AE152:AG152" si="153" ca="1">AD152*(1+AE153)</f>
        <v>1e-12</v>
      </c>
      <c r="AF152" s="326">
        <f ca="1">AE152*(1+AF153)</f>
        <v>1e-12</v>
      </c>
      <c r="AG152" s="326">
        <f ca="1">AF152*(1+AG153)</f>
        <v>1e-12</v>
      </c>
      <c r="AH152" s="16"/>
      <c r="AI152" s="16"/>
      <c r="AJ152" s="16"/>
    </row>
    <row r="153" ht="12.75" customHeight="1" hidden="1" spans="1:36" x14ac:dyDescent="0.25" outlineLevel="1" collapsed="1">
      <c r="A153" s="16"/>
      <c r="B153" s="16"/>
      <c r="C153" s="120" t="s">
        <v>256</v>
      </c>
      <c r="D153" s="16"/>
      <c r="E153" s="168"/>
      <c r="F153" s="319"/>
      <c r="G153" s="318" t="str">
        <f t="shared" ref="G153:I153" si="154" ca="1">IFERROR(G152/F152-1,"--")</f>
        <v>--</v>
      </c>
      <c r="H153" s="318" t="str">
        <f ca="1">IFERROR(H152/G152-1,"--")</f>
        <v>--</v>
      </c>
      <c r="I153" s="318" t="str">
        <f ca="1">IFERROR(I152/H152-1,"--")</f>
        <v>--</v>
      </c>
      <c r="J153" s="168"/>
      <c r="K153" s="318" t="str">
        <f ca="1">IFERROR(K152/I152-1,"--")</f>
        <v>--</v>
      </c>
      <c r="L153" s="318" t="str">
        <f t="shared" ref="L153:N153" si="155" ca="1">IFERROR(L152/K152-1,"--")</f>
        <v>--</v>
      </c>
      <c r="M153" s="318" t="str">
        <f ca="1">IFERROR(M152/L152-1,"--")</f>
        <v>--</v>
      </c>
      <c r="N153" s="318" t="str">
        <f ca="1">IFERROR(N152/M152-1,"--")</f>
        <v>--</v>
      </c>
      <c r="O153" s="306" t="str">
        <f ca="1">IFERROR(O152/J152-1,"--")</f>
        <v>--</v>
      </c>
      <c r="P153" s="318" t="str">
        <f ca="1">IFERROR(P152/N152-1,"--")</f>
        <v>--</v>
      </c>
      <c r="Q153" s="318" t="str">
        <f t="shared" ref="Q153:S153" si="156" ca="1">IFERROR(Q152/P152-1,"--")</f>
        <v>--</v>
      </c>
      <c r="R153" s="318" t="str">
        <f ca="1">IFERROR(R152/Q152-1,"--")</f>
        <v>--</v>
      </c>
      <c r="S153" s="318" t="str">
        <f ca="1">IFERROR(S152/R152-1,"--")</f>
        <v>--</v>
      </c>
      <c r="T153" s="306" t="str">
        <f ca="1">IFERROR(T152/O152-1,"--")</f>
        <v>--</v>
      </c>
      <c r="U153" s="318" t="str">
        <f ca="1">IFERROR(U152/S152-1,"--")</f>
        <v>--</v>
      </c>
      <c r="V153" s="318" t="str">
        <f t="shared" ref="V153:W153" si="157" ca="1">IFERROR(V152/U152-1,"--")</f>
        <v>--</v>
      </c>
      <c r="W153" s="318" t="str">
        <f ca="1">IFERROR(W152/V152-1,"--")</f>
        <v>--</v>
      </c>
      <c r="X153" s="305">
        <f ca="1">IF(Case_Scenario="Bull",X154,IF(Case_Scenario="Base",X155,IF(Case_Scenario="bear",X156,"N/A")))</f>
        <v>0.05</v>
      </c>
      <c r="Y153" s="306"/>
      <c r="Z153" s="305">
        <f ca="1">IF(Case_Scenario="Bull",Z154,IF(Case_Scenario="Base",Z155,IF(Case_Scenario="bear",Z156,"N/A")))</f>
        <v>0.05</v>
      </c>
      <c r="AA153" s="305">
        <f ca="1">IF(Case_Scenario="Bull",AA154,IF(Case_Scenario="Base",AA155,IF(Case_Scenario="bear",AA156,"N/A")))</f>
        <v>0.05</v>
      </c>
      <c r="AB153" s="305">
        <f ca="1">IF(Case_Scenario="Bull",AB154,IF(Case_Scenario="Base",AB155,IF(Case_Scenario="bear",AB156,"N/A")))</f>
        <v>0.05</v>
      </c>
      <c r="AC153" s="305">
        <f ca="1">IF(Case_Scenario="Bull",AC154,IF(Case_Scenario="Base",AC155,IF(Case_Scenario="bear",AC156,"N/A")))</f>
        <v>0.05</v>
      </c>
      <c r="AD153" s="306"/>
      <c r="AE153" s="306">
        <f ca="1">IF(Case_Scenario="Bull",AE154,IF(Case_Scenario="Base",AE155,IF(Case_Scenario="bear",AE156,"N/A")))</f>
        <v>0.05</v>
      </c>
      <c r="AF153" s="306">
        <f ca="1">IF(Case_Scenario="Bull",AF154,IF(Case_Scenario="Base",AF155,IF(Case_Scenario="bear",AF156,"N/A")))</f>
        <v>0.05</v>
      </c>
      <c r="AG153" s="306">
        <f ca="1">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 ca="1">W157*(1+X158)</f>
        <v>1e-12</v>
      </c>
      <c r="Y157" s="287">
        <v>0</v>
      </c>
      <c r="Z157" s="286">
        <f ca="1">X157*(1+Z158)</f>
        <v>1e-12</v>
      </c>
      <c r="AA157" s="286">
        <f t="shared" ref="AA157:AC157" si="158" ca="1">Z157*(1+AA158)</f>
        <v>1e-12</v>
      </c>
      <c r="AB157" s="286">
        <f ca="1">AA157*(1+AB158)</f>
        <v>1e-12</v>
      </c>
      <c r="AC157" s="286">
        <f ca="1">AB157*(1+AC158)</f>
        <v>1e-12</v>
      </c>
      <c r="AD157" s="287">
        <v>0</v>
      </c>
      <c r="AE157" s="287">
        <f t="shared" ref="AE157:AG157" si="159" ca="1">AD157*(1+AE158)</f>
        <v>1e-12</v>
      </c>
      <c r="AF157" s="287">
        <f ca="1">AE157*(1+AF158)</f>
        <v>1e-12</v>
      </c>
      <c r="AG157" s="287">
        <f ca="1">AF157*(1+AG158)</f>
        <v>1e-12</v>
      </c>
      <c r="AH157" s="16"/>
      <c r="AI157" s="16"/>
      <c r="AJ157" s="16"/>
    </row>
    <row r="158" ht="12.75" customHeight="1" hidden="1" spans="1:36" x14ac:dyDescent="0.25" outlineLevel="1" collapsed="1">
      <c r="A158" s="16"/>
      <c r="B158" s="16"/>
      <c r="C158" s="120" t="s">
        <v>257</v>
      </c>
      <c r="D158" s="16"/>
      <c r="E158" s="168"/>
      <c r="F158" s="319"/>
      <c r="G158" s="318" t="str">
        <f t="shared" ref="G158:I158" si="160" ca="1">IFERROR(G157/F157-1,"--")</f>
        <v>--</v>
      </c>
      <c r="H158" s="318" t="str">
        <f ca="1">IFERROR(H157/G157-1,"--")</f>
        <v>--</v>
      </c>
      <c r="I158" s="318" t="str">
        <f ca="1">IFERROR(I157/H157-1,"--")</f>
        <v>--</v>
      </c>
      <c r="J158" s="168"/>
      <c r="K158" s="318" t="str">
        <f ca="1">IFERROR(K157/I157-1,"--")</f>
        <v>--</v>
      </c>
      <c r="L158" s="318" t="str">
        <f t="shared" ref="L158:N158" si="161" ca="1">IFERROR(L157/K157-1,"--")</f>
        <v>--</v>
      </c>
      <c r="M158" s="318" t="str">
        <f ca="1">IFERROR(M157/L157-1,"--")</f>
        <v>--</v>
      </c>
      <c r="N158" s="318" t="str">
        <f ca="1">IFERROR(N157/M157-1,"--")</f>
        <v>--</v>
      </c>
      <c r="O158" s="306" t="str">
        <f ca="1">IFERROR(O157/J157-1,"--")</f>
        <v>--</v>
      </c>
      <c r="P158" s="318" t="str">
        <f ca="1">IFERROR(P157/N157-1,"--")</f>
        <v>--</v>
      </c>
      <c r="Q158" s="318" t="str">
        <f t="shared" ref="Q158:S158" si="162" ca="1">IFERROR(Q157/P157-1,"--")</f>
        <v>--</v>
      </c>
      <c r="R158" s="318" t="str">
        <f ca="1">IFERROR(R157/Q157-1,"--")</f>
        <v>--</v>
      </c>
      <c r="S158" s="318" t="str">
        <f ca="1">IFERROR(S157/R157-1,"--")</f>
        <v>--</v>
      </c>
      <c r="T158" s="306" t="str">
        <f ca="1">IFERROR(T157/O157-1,"--")</f>
        <v>--</v>
      </c>
      <c r="U158" s="318" t="str">
        <f ca="1">IFERROR(U157/S157-1,"--")</f>
        <v>--</v>
      </c>
      <c r="V158" s="318" t="str">
        <f t="shared" ref="V158:W158" si="163" ca="1">IFERROR(V157/U157-1,"--")</f>
        <v>--</v>
      </c>
      <c r="W158" s="318" t="str">
        <f ca="1">IFERROR(W157/V157-1,"--")</f>
        <v>--</v>
      </c>
      <c r="X158" s="305">
        <f ca="1">IF(Case_Scenario="Bull",X159,IF(Case_Scenario="Base",X160,IF(Case_Scenario="bear",X161,"N/A")))</f>
        <v>0</v>
      </c>
      <c r="Y158" s="326"/>
      <c r="Z158" s="305">
        <f ca="1">IF(Case_Scenario="Bull",Z159,IF(Case_Scenario="Base",Z160,IF(Case_Scenario="bear",Z161,"N/A")))</f>
        <v>0</v>
      </c>
      <c r="AA158" s="305">
        <f ca="1">IF(Case_Scenario="Bull",AA159,IF(Case_Scenario="Base",AA160,IF(Case_Scenario="bear",AA161,"N/A")))</f>
        <v>0</v>
      </c>
      <c r="AB158" s="305">
        <f ca="1">IF(Case_Scenario="Bull",AB159,IF(Case_Scenario="Base",AB160,IF(Case_Scenario="bear",AB161,"N/A")))</f>
        <v>0</v>
      </c>
      <c r="AC158" s="305">
        <f ca="1">IF(Case_Scenario="Bull",AC159,IF(Case_Scenario="Base",AC160,IF(Case_Scenario="bear",AC161,"N/A")))</f>
        <v>0</v>
      </c>
      <c r="AD158" s="306"/>
      <c r="AE158" s="306">
        <f ca="1">IF(Case_Scenario="Bull",AE159,IF(Case_Scenario="Base",AE160,IF(Case_Scenario="bear",AE161,"N/A")))</f>
        <v>0</v>
      </c>
      <c r="AF158" s="306">
        <f ca="1">IF(Case_Scenario="Bull",AF159,IF(Case_Scenario="Base",AF160,IF(Case_Scenario="bear",AF161,"N/A")))</f>
        <v>0</v>
      </c>
      <c r="AG158" s="306">
        <f ca="1">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 ca="1">F$28</f>
        <v>1Q23</v>
      </c>
      <c r="G163" s="313" t="str">
        <f ca="1">G$28</f>
        <v>2Q23</v>
      </c>
      <c r="H163" s="313" t="str">
        <f ca="1">H$28</f>
        <v>3Q23</v>
      </c>
      <c r="I163" s="313" t="str">
        <f ca="1">I$28</f>
        <v>4Q23</v>
      </c>
      <c r="J163" s="313">
        <f ca="1">J$28</f>
        <v>2023</v>
      </c>
      <c r="K163" s="313" t="str">
        <f ca="1">K$28</f>
        <v>1Q24</v>
      </c>
      <c r="L163" s="313" t="str">
        <f ca="1">L$28</f>
        <v>2Q24</v>
      </c>
      <c r="M163" s="313" t="str">
        <f ca="1">M$28</f>
        <v>3Q24</v>
      </c>
      <c r="N163" s="313" t="str">
        <f ca="1">N$28</f>
        <v>4Q24</v>
      </c>
      <c r="O163" s="313">
        <f ca="1">O$28</f>
        <v>2024</v>
      </c>
      <c r="P163" s="313" t="str">
        <f ca="1">P$28</f>
        <v>1Q25</v>
      </c>
      <c r="Q163" s="313" t="str">
        <f ca="1">Q$28</f>
        <v>2Q25</v>
      </c>
      <c r="R163" s="313" t="str">
        <f ca="1">R$28</f>
        <v>3Q25</v>
      </c>
      <c r="S163" s="313" t="str">
        <f ca="1">S$28</f>
        <v>4Q25</v>
      </c>
      <c r="T163" s="313">
        <f ca="1">T$28</f>
        <v>2025</v>
      </c>
      <c r="U163" s="313" t="str">
        <f ca="1">U$28</f>
        <v>1Q26</v>
      </c>
      <c r="V163" s="313" t="str">
        <f ca="1">V$28</f>
        <v>2Q26</v>
      </c>
      <c r="W163" s="313" t="str">
        <f ca="1">W$28</f>
        <v>3Q26e</v>
      </c>
      <c r="X163" s="313" t="str">
        <f ca="1">X$28</f>
        <v>4Q26e</v>
      </c>
      <c r="Y163" s="313" t="str">
        <f ca="1">Y$28</f>
        <v>2026e</v>
      </c>
      <c r="Z163" s="313" t="str">
        <f ca="1">Z$28</f>
        <v>1Q27e</v>
      </c>
      <c r="AA163" s="313" t="str">
        <f ca="1">AA$28</f>
        <v>2Q27e</v>
      </c>
      <c r="AB163" s="313" t="str">
        <f ca="1">AB$28</f>
        <v>3Q27e</v>
      </c>
      <c r="AC163" s="313" t="str">
        <f ca="1">AC$28</f>
        <v>4Q27e</v>
      </c>
      <c r="AD163" s="313" t="str">
        <f ca="1">AD$28</f>
        <v>2027e</v>
      </c>
      <c r="AE163" s="313" t="str">
        <f ca="1">AE$28</f>
        <v>2028e</v>
      </c>
      <c r="AF163" s="313" t="str">
        <f ca="1">AF$28</f>
        <v>2029e</v>
      </c>
      <c r="AG163" s="314" t="str">
        <f ca="1">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 ca="1">C32</f>
        <v>Home Improvement Retail Revenue</v>
      </c>
      <c r="D165" s="16"/>
      <c r="E165" s="16"/>
      <c r="F165" s="317">
        <f t="shared" ref="F165:W165" si="165" ca="1">F32</f>
        <v>17360</v>
      </c>
      <c r="G165" s="317">
        <f ca="1">G32</f>
        <v>20888</v>
      </c>
      <c r="H165" s="317">
        <f ca="1">H32</f>
        <v>17415</v>
      </c>
      <c r="I165" s="317">
        <f ca="1">I32</f>
        <v>15646</v>
      </c>
      <c r="J165" s="287">
        <f ca="1">J32</f>
        <v>71309</v>
      </c>
      <c r="K165" s="317">
        <f ca="1">K32</f>
        <v>17741</v>
      </c>
      <c r="L165" s="317">
        <f ca="1">L32</f>
        <v>20992</v>
      </c>
      <c r="M165" s="317">
        <f ca="1">M32</f>
        <v>17388</v>
      </c>
      <c r="N165" s="317">
        <f ca="1">N32</f>
        <v>16027</v>
      </c>
      <c r="O165" s="287">
        <f ca="1">O32</f>
        <v>72148</v>
      </c>
      <c r="P165" s="317">
        <f ca="1">P32</f>
        <v>19675</v>
      </c>
      <c r="Q165" s="317">
        <f ca="1">Q32</f>
        <v>27302</v>
      </c>
      <c r="R165" s="317">
        <f ca="1">R32</f>
        <v>22309</v>
      </c>
      <c r="S165" s="317">
        <f ca="1">S32</f>
        <v>20311</v>
      </c>
      <c r="T165" s="287">
        <f ca="1">T32</f>
        <v>89597</v>
      </c>
      <c r="U165" s="317">
        <f ca="1">U32</f>
        <v>24422</v>
      </c>
      <c r="V165" s="317">
        <f ca="1">V32</f>
        <v>27570</v>
      </c>
      <c r="W165" s="317">
        <f ca="1">W32</f>
        <v>22918</v>
      </c>
      <c r="X165" s="286">
        <f ca="1">X167/X172</f>
        <v>40415.200000000004</v>
      </c>
      <c r="Y165" s="287">
        <f ca="1">SUM(U165:X165)</f>
        <v>115325.20000000001</v>
      </c>
      <c r="Z165" s="286">
        <f t="shared" ref="Z165:AC165" si="166" ca="1">Z167/Z172</f>
        <v>42435.96</v>
      </c>
      <c r="AA165" s="286">
        <f ca="1">AA167/AA172</f>
        <v>44557.758</v>
      </c>
      <c r="AB165" s="286">
        <f ca="1">AB167/AB172</f>
        <v>46785.6459</v>
      </c>
      <c r="AC165" s="286">
        <f ca="1">AC167/AC172</f>
        <v>49124.92819500001</v>
      </c>
      <c r="AD165" s="287">
        <f ca="1">SUM(Z165:AC165)</f>
        <v>182904.292095</v>
      </c>
      <c r="AE165" s="287">
        <f t="shared" ref="AE165:AG165" si="167" ca="1">AE167/AE172</f>
        <v>192049.50669975</v>
      </c>
      <c r="AF165" s="287">
        <f ca="1">AF167/AF172</f>
        <v>201651.9820347375</v>
      </c>
      <c r="AG165" s="287">
        <f ca="1">AG167/AG172</f>
        <v>211734.5811364744</v>
      </c>
      <c r="AH165" s="16"/>
      <c r="AI165" s="16"/>
      <c r="AJ165" s="16"/>
    </row>
    <row r="166" ht="12.75" customHeight="1" hidden="1" spans="1:36" x14ac:dyDescent="0.25" outlineLevel="1" collapsed="1">
      <c r="A166" s="16"/>
      <c r="B166" s="16"/>
      <c r="C166" s="139" t="s">
        <v>244</v>
      </c>
      <c r="D166" s="16"/>
      <c r="E166" s="16"/>
      <c r="F166" s="331">
        <f ca="1">47179+9134</f>
        <v>56313</v>
      </c>
      <c r="G166" s="331">
        <f ca="1">46414+8942</f>
        <v>55356</v>
      </c>
      <c r="H166" s="331">
        <f ca="1">40127+12896</f>
        <v>53023</v>
      </c>
      <c r="I166" s="331">
        <f ca="1">42079+15055</f>
        <v>57134</v>
      </c>
      <c r="J166" s="326">
        <f ca="1">I166</f>
        <v>57134</v>
      </c>
      <c r="K166" s="331">
        <f ca="1">46463+16145</f>
        <v>62608</v>
      </c>
      <c r="L166" s="331">
        <f ca="1">44155+14185</f>
        <v>58340</v>
      </c>
      <c r="M166" s="331">
        <v>45852</v>
      </c>
      <c r="N166" s="331">
        <v>49577</v>
      </c>
      <c r="O166" s="326">
        <f ca="1">J166+O167-O165</f>
        <v>49577</v>
      </c>
      <c r="P166" s="331">
        <v>50404</v>
      </c>
      <c r="Q166" s="331">
        <v>51925</v>
      </c>
      <c r="R166" s="331">
        <v>57875</v>
      </c>
      <c r="S166" s="331">
        <v>57166</v>
      </c>
      <c r="T166" s="326">
        <f ca="1">O166+T167-T165</f>
        <v>57166</v>
      </c>
      <c r="U166" s="325">
        <v>50404</v>
      </c>
      <c r="V166" s="325">
        <v>51925</v>
      </c>
      <c r="W166" s="331">
        <v>57875</v>
      </c>
      <c r="X166" s="327">
        <f ca="1">W166+X167-X165</f>
        <v>47771.19999999999</v>
      </c>
      <c r="Y166" s="326">
        <f ca="1">T166+Y167-Y165</f>
        <v>47771.19999999998</v>
      </c>
      <c r="Z166" s="327">
        <f ca="1">X166+Z167-Z165</f>
        <v>37162.209999999985</v>
      </c>
      <c r="AA166" s="327">
        <f t="shared" ref="AA166:AC166" si="168" ca="1">Z166+AA167-AA165</f>
        <v>26022.770499999984</v>
      </c>
      <c r="AB166" s="327">
        <f ca="1">AA166+AB167-AB165</f>
        <v>14326.359024999983</v>
      </c>
      <c r="AC166" s="327">
        <f ca="1">AB166+AC167-AC165</f>
        <v>2045.1269762499796</v>
      </c>
      <c r="AD166" s="326">
        <f ca="1">Y166+AD167-AD165</f>
        <v>2045.1269762499724</v>
      </c>
      <c r="AE166" s="326">
        <f t="shared" ref="AE166:AG166" si="169" ca="1">AD166+AE167-AE165</f>
        <v>-45967.24969868752</v>
      </c>
      <c r="AF166" s="326">
        <f ca="1">AE166+AF167-AF165</f>
        <v>-96380.24520737189</v>
      </c>
      <c r="AG166" s="326">
        <f ca="1">AF166+AG167-AG165</f>
        <v>-149313.89049149049</v>
      </c>
      <c r="AH166" s="16"/>
      <c r="AI166" s="16"/>
      <c r="AJ166" s="16"/>
    </row>
    <row r="167" ht="12.75" customHeight="1" hidden="1" spans="1:36" x14ac:dyDescent="0.25" outlineLevel="1" collapsed="1">
      <c r="A167" s="16"/>
      <c r="B167" s="16"/>
      <c r="C167" s="139" t="s">
        <v>259</v>
      </c>
      <c r="D167" s="16"/>
      <c r="E167" s="16"/>
      <c r="F167" s="331">
        <f ca="1">F166+F165-(45187+12488)</f>
        <v>15998</v>
      </c>
      <c r="G167" s="331">
        <f t="shared" ref="G167:I167" si="170" ca="1">G166+G165-F166</f>
        <v>19931</v>
      </c>
      <c r="H167" s="331">
        <f ca="1">H166+H165-G166</f>
        <v>15082</v>
      </c>
      <c r="I167" s="331">
        <f ca="1">I166+I165-H166</f>
        <v>19757</v>
      </c>
      <c r="J167" s="326">
        <f ca="1">SUM(F167:I167)</f>
        <v>70768</v>
      </c>
      <c r="K167" s="331">
        <f t="shared" ref="K167:N167" si="171" ca="1">K166+K165-J166</f>
        <v>23215</v>
      </c>
      <c r="L167" s="331">
        <f ca="1">L166+L165-K166</f>
        <v>16724</v>
      </c>
      <c r="M167" s="331">
        <f ca="1">M166+M165-L166</f>
        <v>4900</v>
      </c>
      <c r="N167" s="331">
        <f ca="1">N166+N165-M166</f>
        <v>19752</v>
      </c>
      <c r="O167" s="326">
        <f ca="1">SUM(K167:N167)</f>
        <v>64591</v>
      </c>
      <c r="P167" s="331">
        <f t="shared" ref="P167:S167" si="172" ca="1">P166+P165-O166</f>
        <v>20502</v>
      </c>
      <c r="Q167" s="331">
        <f ca="1">Q166+Q165-P166</f>
        <v>28823</v>
      </c>
      <c r="R167" s="331">
        <f ca="1">R166+R165-Q166</f>
        <v>28259</v>
      </c>
      <c r="S167" s="331">
        <f ca="1">S166+S165-R166</f>
        <v>19602</v>
      </c>
      <c r="T167" s="326">
        <f ca="1">SUM(P167:S167)</f>
        <v>97186</v>
      </c>
      <c r="U167" s="325">
        <f t="shared" ref="U167:W167" si="173" ca="1">U166+U165-T166</f>
        <v>17660</v>
      </c>
      <c r="V167" s="325">
        <f ca="1">V166+V165-U166</f>
        <v>29091</v>
      </c>
      <c r="W167" s="331">
        <f ca="1">W166+W165-V166</f>
        <v>28868</v>
      </c>
      <c r="X167" s="327">
        <f ca="1">W167*(1+X168)</f>
        <v>30311.4</v>
      </c>
      <c r="Y167" s="326">
        <f ca="1">SUM(U167:X167)</f>
        <v>105930.4</v>
      </c>
      <c r="Z167" s="327">
        <f ca="1">X167*(1+Z168)</f>
        <v>31826.97</v>
      </c>
      <c r="AA167" s="327">
        <f t="shared" ref="AA167:AC167" si="174" ca="1">Z167*(1+AA168)</f>
        <v>33418.3185</v>
      </c>
      <c r="AB167" s="327">
        <f ca="1">AA167*(1+AB168)</f>
        <v>35089.234425</v>
      </c>
      <c r="AC167" s="327">
        <f ca="1">AB167*(1+AC168)</f>
        <v>36843.696146250004</v>
      </c>
      <c r="AD167" s="326">
        <f ca="1">SUM(Z167:AC167)</f>
        <v>137178.21907125</v>
      </c>
      <c r="AE167" s="326">
        <f t="shared" ref="AE167:AG167" si="175" ca="1">AD167*(1+AE168)</f>
        <v>144037.1300248125</v>
      </c>
      <c r="AF167" s="326">
        <f ca="1">AE167*(1+AF168)</f>
        <v>151238.98652605314</v>
      </c>
      <c r="AG167" s="326">
        <f ca="1">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 ca="1">IFERROR(G167/F167-1,"--")</f>
        <v>0.24584323040380052</v>
      </c>
      <c r="H168" s="318">
        <f ca="1">IFERROR(H167/G167-1,"--")</f>
        <v>-0.24328934825146753</v>
      </c>
      <c r="I168" s="318">
        <f ca="1">IFERROR(I167/H167-1,"--")</f>
        <v>0.3099721522344516</v>
      </c>
      <c r="J168" s="168"/>
      <c r="K168" s="318">
        <f ca="1">IFERROR(K167/I167-1,"--")</f>
        <v>0.17502657286025203</v>
      </c>
      <c r="L168" s="318">
        <f t="shared" ref="L168:N168" si="177" ca="1">IFERROR(L167/K167-1,"--")</f>
        <v>-0.27960370450139993</v>
      </c>
      <c r="M168" s="318">
        <f ca="1">IFERROR(M167/L167-1,"--")</f>
        <v>-0.7070078928486008</v>
      </c>
      <c r="N168" s="318">
        <f ca="1">IFERROR(N167/M167-1,"--")</f>
        <v>3.0310204081632657</v>
      </c>
      <c r="O168" s="306">
        <f ca="1">IFERROR(O167/J167-1,"--")</f>
        <v>-0.0872852136558897</v>
      </c>
      <c r="P168" s="318">
        <f ca="1">IFERROR(P167/N167-1,"--")</f>
        <v>0.037970838396111706</v>
      </c>
      <c r="Q168" s="318">
        <f t="shared" ref="Q168:S168" si="178" ca="1">IFERROR(Q167/P167-1,"--")</f>
        <v>0.4058628426494977</v>
      </c>
      <c r="R168" s="318">
        <f ca="1">IFERROR(R167/Q167-1,"--")</f>
        <v>-0.019567706345626767</v>
      </c>
      <c r="S168" s="318">
        <f ca="1">IFERROR(S167/R167-1,"--")</f>
        <v>-0.3063448812767614</v>
      </c>
      <c r="T168" s="306">
        <f ca="1">IFERROR(T167/O167-1,"--")</f>
        <v>0.5046368689136258</v>
      </c>
      <c r="U168" s="318">
        <f ca="1">IFERROR(U167/S167-1,"--")</f>
        <v>-0.09907152331394753</v>
      </c>
      <c r="V168" s="318">
        <f t="shared" ref="V168:W168" si="179" ca="1">IFERROR(V167/U167-1,"--")</f>
        <v>0.6472819932049829</v>
      </c>
      <c r="W168" s="318">
        <f ca="1">IFERROR(W167/V167-1,"--")</f>
        <v>-0.007665601044996695</v>
      </c>
      <c r="X168" s="305">
        <f ca="1">IF(Case_Scenario="Bull",X169,IF(Case_Scenario="Base",X170,IF(Case_Scenario="bear",X171,"N/A")))</f>
        <v>0.05</v>
      </c>
      <c r="Y168" s="306"/>
      <c r="Z168" s="305">
        <f ca="1">IF(Case_Scenario="Bull",Z169,IF(Case_Scenario="Base",Z170,IF(Case_Scenario="bear",Z171,"N/A")))</f>
        <v>0.05</v>
      </c>
      <c r="AA168" s="305">
        <f ca="1">IF(Case_Scenario="Bull",AA169,IF(Case_Scenario="Base",AA170,IF(Case_Scenario="bear",AA171,"N/A")))</f>
        <v>0.05</v>
      </c>
      <c r="AB168" s="305">
        <f ca="1">IF(Case_Scenario="Bull",AB169,IF(Case_Scenario="Base",AB170,IF(Case_Scenario="bear",AB171,"N/A")))</f>
        <v>0.05</v>
      </c>
      <c r="AC168" s="305">
        <f ca="1">IF(Case_Scenario="Bull",AC169,IF(Case_Scenario="Base",AC170,IF(Case_Scenario="bear",AC171,"N/A")))</f>
        <v>0.05</v>
      </c>
      <c r="AD168" s="306"/>
      <c r="AE168" s="306">
        <f ca="1">IF(Case_Scenario="Bull",AE169,IF(Case_Scenario="Base",AE170,IF(Case_Scenario="bear",AE171,"N/A")))</f>
        <v>0.05</v>
      </c>
      <c r="AF168" s="306">
        <f ca="1">IF(Case_Scenario="Bull",AF169,IF(Case_Scenario="Base",AF170,IF(Case_Scenario="bear",AF171,"N/A")))</f>
        <v>0.05</v>
      </c>
      <c r="AG168" s="306">
        <f ca="1">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 ca="1">F167/F165</f>
        <v>0.9215437788018433</v>
      </c>
      <c r="G172" s="332">
        <f ca="1">G167/G165</f>
        <v>0.9541842206051321</v>
      </c>
      <c r="H172" s="332">
        <f ca="1">H167/H165</f>
        <v>0.8660350272753373</v>
      </c>
      <c r="I172" s="332">
        <f ca="1">I167/I165</f>
        <v>1.2627508628403425</v>
      </c>
      <c r="J172" s="333">
        <f ca="1">J167/J165</f>
        <v>0.9924132998639723</v>
      </c>
      <c r="K172" s="332">
        <f ca="1">K167/K165</f>
        <v>1.3085508144974918</v>
      </c>
      <c r="L172" s="332">
        <f ca="1">L167/L165</f>
        <v>0.7966844512195121</v>
      </c>
      <c r="M172" s="332">
        <f ca="1">M167/M165</f>
        <v>0.28180354267310787</v>
      </c>
      <c r="N172" s="332">
        <f ca="1">N167/N165</f>
        <v>1.2324202907593436</v>
      </c>
      <c r="O172" s="333">
        <f ca="1">O167/O165</f>
        <v>0.8952569717802296</v>
      </c>
      <c r="P172" s="332">
        <f ca="1">P167/P165</f>
        <v>1.042033036848793</v>
      </c>
      <c r="Q172" s="332">
        <f ca="1">Q167/Q165</f>
        <v>1.0557102043806315</v>
      </c>
      <c r="R172" s="332">
        <f ca="1">R167/R165</f>
        <v>1.2667085032946344</v>
      </c>
      <c r="S172" s="332">
        <f ca="1">S167/S165</f>
        <v>0.9650928068534291</v>
      </c>
      <c r="T172" s="333">
        <f ca="1">T167/T165</f>
        <v>1.0847014967018984</v>
      </c>
      <c r="U172" s="332">
        <f ca="1">U167/U165</f>
        <v>0.7231184997133732</v>
      </c>
      <c r="V172" s="332">
        <f ca="1">V167/V165</f>
        <v>1.0551686615886833</v>
      </c>
      <c r="W172" s="332">
        <f ca="1">W167/W165</f>
        <v>1.2596212583995112</v>
      </c>
      <c r="X172" s="334">
        <f ca="1">IF(Case_Scenario="Bull",X173,IF(Case_Scenario="Base",X174,IF(Case_Scenario="bear",X175,"N/A")))</f>
        <v>0.75</v>
      </c>
      <c r="Y172" s="333">
        <f ca="1">AVERAGE(U172:X172)</f>
        <v>0.9469771049253919</v>
      </c>
      <c r="Z172" s="334">
        <f ca="1">IF(Case_Scenario="Bull",Z173,IF(Case_Scenario="Base",Z174,IF(Case_Scenario="bear",Z175,"N/A")))</f>
        <v>0.75</v>
      </c>
      <c r="AA172" s="334">
        <f ca="1">IF(Case_Scenario="Bull",AA173,IF(Case_Scenario="Base",AA174,IF(Case_Scenario="bear",AA175,"N/A")))</f>
        <v>0.75</v>
      </c>
      <c r="AB172" s="334">
        <f ca="1">IF(Case_Scenario="Bull",AB173,IF(Case_Scenario="Base",AB174,IF(Case_Scenario="bear",AB175,"N/A")))</f>
        <v>0.75</v>
      </c>
      <c r="AC172" s="334">
        <f ca="1">IF(Case_Scenario="Bull",AC173,IF(Case_Scenario="Base",AC174,IF(Case_Scenario="bear",AC175,"N/A")))</f>
        <v>0.75</v>
      </c>
      <c r="AD172" s="333">
        <f ca="1">AVERAGE(Z172:AC172)</f>
        <v>0.75</v>
      </c>
      <c r="AE172" s="333">
        <f ca="1">IF(Case_Scenario="Bull",AE173,IF(Case_Scenario="Base",AE174,IF(Case_Scenario="bear",AE175,"N/A")))</f>
        <v>0.75</v>
      </c>
      <c r="AF172" s="333">
        <f ca="1">IF(Case_Scenario="Bull",AF173,IF(Case_Scenario="Base",AF174,IF(Case_Scenario="bear",AF175,"N/A")))</f>
        <v>0.75</v>
      </c>
      <c r="AG172" s="333">
        <f ca="1">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 ca="1">C35</f>
        <v>Segment 2 Revenue</v>
      </c>
      <c r="D177" s="16"/>
      <c r="E177" s="16"/>
      <c r="F177" s="317">
        <f t="shared" ref="F177:W177" si="181" ca="1">F35</f>
        <v>1e-12</v>
      </c>
      <c r="G177" s="317">
        <f ca="1">G35</f>
        <v>1e-12</v>
      </c>
      <c r="H177" s="317">
        <f ca="1">H35</f>
        <v>1e-12</v>
      </c>
      <c r="I177" s="317">
        <f ca="1">I35</f>
        <v>1e-12</v>
      </c>
      <c r="J177" s="287">
        <f ca="1">J35</f>
        <v>1e-12</v>
      </c>
      <c r="K177" s="317">
        <f ca="1">K35</f>
        <v>1e-12</v>
      </c>
      <c r="L177" s="317">
        <f ca="1">L35</f>
        <v>1e-12</v>
      </c>
      <c r="M177" s="317">
        <f ca="1">M35</f>
        <v>1e-12</v>
      </c>
      <c r="N177" s="317">
        <f ca="1">N35</f>
        <v>1e-12</v>
      </c>
      <c r="O177" s="287">
        <f ca="1">O35</f>
        <v>1e-12</v>
      </c>
      <c r="P177" s="317">
        <f ca="1">P35</f>
        <v>1e-12</v>
      </c>
      <c r="Q177" s="317">
        <f ca="1">Q35</f>
        <v>1e-12</v>
      </c>
      <c r="R177" s="317">
        <f ca="1">R35</f>
        <v>1e-12</v>
      </c>
      <c r="S177" s="317">
        <f ca="1">S35</f>
        <v>1e-12</v>
      </c>
      <c r="T177" s="287">
        <f ca="1">T35</f>
        <v>1e-12</v>
      </c>
      <c r="U177" s="317">
        <f ca="1">U35</f>
        <v>1e-12</v>
      </c>
      <c r="V177" s="317">
        <f ca="1">V35</f>
        <v>1e-12</v>
      </c>
      <c r="W177" s="317">
        <f ca="1">W35</f>
        <v>1e-12</v>
      </c>
      <c r="X177" s="286">
        <f ca="1">X179/X184</f>
        <v>-2233.5600000000004</v>
      </c>
      <c r="Y177" s="287">
        <f ca="1">SUM(U177:X177)</f>
        <v>-2233.5600000000004</v>
      </c>
      <c r="Z177" s="286">
        <f t="shared" ref="Z177:AC177" si="182" ca="1">Z179/Z184</f>
        <v>-2345.2380000000003</v>
      </c>
      <c r="AA177" s="286">
        <f ca="1">AA179/AA184</f>
        <v>-2462.4999000000007</v>
      </c>
      <c r="AB177" s="286">
        <f ca="1">AB179/AB184</f>
        <v>-2585.624895000001</v>
      </c>
      <c r="AC177" s="286">
        <f ca="1">AC179/AC184</f>
        <v>-2714.906139750001</v>
      </c>
      <c r="AD177" s="287">
        <f ca="1">SUM(Z177:AC177)</f>
        <v>-10108.268934750002</v>
      </c>
      <c r="AE177" s="287">
        <f t="shared" ref="AE177:AG177" si="183" ca="1">AE179/AE184</f>
        <v>-10613.682381487506</v>
      </c>
      <c r="AF177" s="287">
        <f ca="1">AF179/AF184</f>
        <v>-11144.36650056188</v>
      </c>
      <c r="AG177" s="287">
        <f ca="1">AG179/AG184</f>
        <v>-11701.584825589975</v>
      </c>
      <c r="AH177" s="16"/>
      <c r="AI177" s="16"/>
      <c r="AJ177" s="16"/>
    </row>
    <row r="178" ht="12.75" customHeight="1" hidden="1" spans="1:36" x14ac:dyDescent="0.25" outlineLevel="1" collapsed="1">
      <c r="A178" s="16"/>
      <c r="B178" s="16"/>
      <c r="C178" s="139" t="s">
        <v>244</v>
      </c>
      <c r="D178" s="16"/>
      <c r="E178" s="16"/>
      <c r="F178" s="325">
        <f ca="1">422982+632</f>
        <v>423614</v>
      </c>
      <c r="G178" s="325">
        <f ca="1">416576+282</f>
        <v>416858</v>
      </c>
      <c r="H178" s="325">
        <f ca="1">408756+219</f>
        <v>408975</v>
      </c>
      <c r="I178" s="325">
        <f ca="1">416198+160</f>
        <v>416358</v>
      </c>
      <c r="J178" s="326">
        <f ca="1">431408+216+J179-J177</f>
        <v>416358</v>
      </c>
      <c r="K178" s="325">
        <f ca="1">415086+1810</f>
        <v>416896</v>
      </c>
      <c r="L178" s="325">
        <f ca="1">423446+376</f>
        <v>423822</v>
      </c>
      <c r="M178" s="325">
        <v>412185</v>
      </c>
      <c r="N178" s="325">
        <v>421345</v>
      </c>
      <c r="O178" s="326">
        <f ca="1">J178+O179-O177</f>
        <v>421345</v>
      </c>
      <c r="P178" s="325">
        <v>415377</v>
      </c>
      <c r="Q178" s="325">
        <v>415723</v>
      </c>
      <c r="R178" s="325">
        <v>413064</v>
      </c>
      <c r="S178" s="325">
        <v>412307</v>
      </c>
      <c r="T178" s="326">
        <f ca="1">O178+T179-T177</f>
        <v>412307</v>
      </c>
      <c r="U178" s="325">
        <v>415377</v>
      </c>
      <c r="V178" s="325">
        <v>415723</v>
      </c>
      <c r="W178" s="325">
        <v>413064</v>
      </c>
      <c r="X178" s="327">
        <f ca="1">W178+X179-X177</f>
        <v>412505.61</v>
      </c>
      <c r="Y178" s="326">
        <f ca="1">T178+Y179-Y177</f>
        <v>412505.61</v>
      </c>
      <c r="Z178" s="327">
        <f ca="1">X178+Z179-Z177</f>
        <v>411919.3005</v>
      </c>
      <c r="AA178" s="327">
        <f t="shared" ref="AA178:AC178" si="184" ca="1">Z178+AA179-AA177</f>
        <v>411303.675525</v>
      </c>
      <c r="AB178" s="327">
        <f ca="1">AA178+AB179-AB177</f>
        <v>410657.26930125005</v>
      </c>
      <c r="AC178" s="327">
        <f ca="1">AB178+AC179-AC177</f>
        <v>409978.54276631254</v>
      </c>
      <c r="AD178" s="326">
        <f ca="1">Y178+AD179-AD177</f>
        <v>409978.5427663125</v>
      </c>
      <c r="AE178" s="326">
        <f t="shared" ref="AE178:AG178" si="185" ca="1">AD178+AE179-AE177</f>
        <v>407325.1221709406</v>
      </c>
      <c r="AF178" s="326">
        <f ca="1">AE178+AF179-AF177</f>
        <v>404539.03054580017</v>
      </c>
      <c r="AG178" s="326">
        <f ca="1">AF178+AG179-AG177</f>
        <v>401613.63433940266</v>
      </c>
      <c r="AH178" s="16"/>
      <c r="AI178" s="16"/>
      <c r="AJ178" s="16"/>
    </row>
    <row r="179" ht="12.75" customHeight="1" hidden="1" spans="1:36" x14ac:dyDescent="0.25" outlineLevel="1" collapsed="1">
      <c r="A179" s="16"/>
      <c r="B179" s="16"/>
      <c r="C179" s="139" t="s">
        <v>259</v>
      </c>
      <c r="D179" s="16"/>
      <c r="E179" s="16"/>
      <c r="F179" s="325">
        <f ca="1">F178+F177-(431408+216)</f>
        <v>-8010</v>
      </c>
      <c r="G179" s="325">
        <f t="shared" ref="G179:I179" si="186" ca="1">G178+G177-F178</f>
        <v>-6756</v>
      </c>
      <c r="H179" s="325">
        <f ca="1">H178+H177-G178</f>
        <v>-7883</v>
      </c>
      <c r="I179" s="325">
        <f ca="1">I178+I177-H178</f>
        <v>7383</v>
      </c>
      <c r="J179" s="326">
        <f ca="1">SUM(F179:I179)</f>
        <v>-15266</v>
      </c>
      <c r="K179" s="325">
        <f t="shared" ref="K179:N179" si="187" ca="1">K178+K177-J178</f>
        <v>538</v>
      </c>
      <c r="L179" s="325">
        <f ca="1">L178+L177-K178</f>
        <v>6926</v>
      </c>
      <c r="M179" s="325">
        <f ca="1">M178+M177-L178</f>
        <v>-11637</v>
      </c>
      <c r="N179" s="325">
        <f ca="1">N178+N177-M178</f>
        <v>9160</v>
      </c>
      <c r="O179" s="326">
        <f ca="1">SUM(K179:N179)</f>
        <v>4987</v>
      </c>
      <c r="P179" s="325">
        <f t="shared" ref="P179:S179" si="188" ca="1">P178+P177-O178</f>
        <v>-5968</v>
      </c>
      <c r="Q179" s="325">
        <f ca="1">Q178+Q177-P178</f>
        <v>346</v>
      </c>
      <c r="R179" s="325">
        <f ca="1">R178+R177-Q178</f>
        <v>-2659</v>
      </c>
      <c r="S179" s="325">
        <f ca="1">S178+S177-R178</f>
        <v>-757</v>
      </c>
      <c r="T179" s="326">
        <f ca="1">SUM(P179:S179)</f>
        <v>-9038</v>
      </c>
      <c r="U179" s="325">
        <f t="shared" ref="U179:W179" si="189" ca="1">U178+U177-T178</f>
        <v>3070</v>
      </c>
      <c r="V179" s="325">
        <f ca="1">V178+V177-U178</f>
        <v>346</v>
      </c>
      <c r="W179" s="325">
        <f ca="1">W178+W177-V178</f>
        <v>-2659</v>
      </c>
      <c r="X179" s="327">
        <f ca="1">W179*(1+X180)</f>
        <v>-2791.9500000000003</v>
      </c>
      <c r="Y179" s="326">
        <f ca="1">SUM(U179:X179)</f>
        <v>-2034.9500000000003</v>
      </c>
      <c r="Z179" s="327">
        <f ca="1">X179*(1+Z180)</f>
        <v>-2931.5475000000006</v>
      </c>
      <c r="AA179" s="327">
        <f t="shared" ref="AA179:AC179" si="190" ca="1">Z179*(1+AA180)</f>
        <v>-3078.124875000001</v>
      </c>
      <c r="AB179" s="327">
        <f ca="1">AA179*(1+AB180)</f>
        <v>-3232.031118750001</v>
      </c>
      <c r="AC179" s="327">
        <f ca="1">AB179*(1+AC180)</f>
        <v>-3393.632674687501</v>
      </c>
      <c r="AD179" s="326">
        <f ca="1">SUM(Z179:AC179)</f>
        <v>-12635.336168437505</v>
      </c>
      <c r="AE179" s="326">
        <f t="shared" ref="AE179:AG179" si="191" ca="1">AD179*(1+AE180)</f>
        <v>-13267.102976859382</v>
      </c>
      <c r="AF179" s="326">
        <f ca="1">AE179*(1+AF180)</f>
        <v>-13930.458125702351</v>
      </c>
      <c r="AG179" s="326">
        <f ca="1">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 ca="1">IFERROR(G179/F179-1,"--")</f>
        <v>-0.15655430711610485</v>
      </c>
      <c r="H180" s="318">
        <f ca="1">IFERROR(H179/G179-1,"--")</f>
        <v>0.16681468324452342</v>
      </c>
      <c r="I180" s="318">
        <f ca="1">IFERROR(I179/H179-1,"--")</f>
        <v>-1.9365723709247749</v>
      </c>
      <c r="J180" s="168"/>
      <c r="K180" s="318">
        <f ca="1">IFERROR(K179/I179-1,"--")</f>
        <v>-0.9271298929974265</v>
      </c>
      <c r="L180" s="318">
        <f t="shared" ref="L180:N180" si="193" ca="1">IFERROR(L179/K179-1,"--")</f>
        <v>11.87360594795539</v>
      </c>
      <c r="M180" s="318">
        <f ca="1">IFERROR(M179/L179-1,"--")</f>
        <v>-2.680190586196939</v>
      </c>
      <c r="N180" s="318">
        <f ca="1">IFERROR(N179/M179-1,"--")</f>
        <v>-1.7871444530377245</v>
      </c>
      <c r="O180" s="306">
        <f ca="1">IFERROR(O179/J179-1,"--")</f>
        <v>-1.3266736538713482</v>
      </c>
      <c r="P180" s="318">
        <f ca="1">IFERROR(P179/N179-1,"--")</f>
        <v>-1.6515283842794761</v>
      </c>
      <c r="Q180" s="318">
        <f t="shared" ref="Q180:S180" si="194" ca="1">IFERROR(Q179/P179-1,"--")</f>
        <v>-1.0579758713136729</v>
      </c>
      <c r="R180" s="318">
        <f ca="1">IFERROR(R179/Q179-1,"--")</f>
        <v>-8.684971098265896</v>
      </c>
      <c r="S180" s="318">
        <f ca="1">IFERROR(S179/R179-1,"--")</f>
        <v>-0.7153065062053403</v>
      </c>
      <c r="T180" s="306">
        <f ca="1">IFERROR(T179/O179-1,"--")</f>
        <v>-2.8123120112291957</v>
      </c>
      <c r="U180" s="318">
        <f ca="1">IFERROR(U179/S179-1,"--")</f>
        <v>-5.0554821664465</v>
      </c>
      <c r="V180" s="318">
        <f t="shared" ref="V180:W180" si="195" ca="1">IFERROR(V179/U179-1,"--")</f>
        <v>-0.8872964169381108</v>
      </c>
      <c r="W180" s="318">
        <f ca="1">IFERROR(W179/V179-1,"--")</f>
        <v>-8.684971098265896</v>
      </c>
      <c r="X180" s="305">
        <f ca="1">IF(Case_Scenario="Bull",X181,IF(Case_Scenario="Base",X182,IF(Case_Scenario="bear",X183,"N/A")))</f>
        <v>0.05</v>
      </c>
      <c r="Y180" s="306"/>
      <c r="Z180" s="305">
        <f ca="1">IF(Case_Scenario="Bull",Z181,IF(Case_Scenario="Base",Z182,IF(Case_Scenario="bear",Z183,"N/A")))</f>
        <v>0.05</v>
      </c>
      <c r="AA180" s="305">
        <f ca="1">IF(Case_Scenario="Bull",AA181,IF(Case_Scenario="Base",AA182,IF(Case_Scenario="bear",AA183,"N/A")))</f>
        <v>0.05</v>
      </c>
      <c r="AB180" s="305">
        <f ca="1">IF(Case_Scenario="Bull",AB181,IF(Case_Scenario="Base",AB182,IF(Case_Scenario="bear",AB183,"N/A")))</f>
        <v>0.05</v>
      </c>
      <c r="AC180" s="305">
        <f ca="1">IF(Case_Scenario="Bull",AC181,IF(Case_Scenario="Base",AC182,IF(Case_Scenario="bear",AC183,"N/A")))</f>
        <v>0.05</v>
      </c>
      <c r="AD180" s="306"/>
      <c r="AE180" s="306">
        <f ca="1">IF(Case_Scenario="Bull",AE181,IF(Case_Scenario="Base",AE182,IF(Case_Scenario="bear",AE183,"N/A")))</f>
        <v>0.05</v>
      </c>
      <c r="AF180" s="306">
        <f ca="1">IF(Case_Scenario="Bull",AF181,IF(Case_Scenario="Base",AF182,IF(Case_Scenario="bear",AF183,"N/A")))</f>
        <v>0.05</v>
      </c>
      <c r="AG180" s="306">
        <f ca="1">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f ca="1">F179/F177</f>
      </c>
      <c r="G184" s="339">
        <f ca="1">G179/G177</f>
      </c>
      <c r="H184" s="339">
        <f ca="1">H179/H177</f>
      </c>
      <c r="I184" s="339">
        <f ca="1">I179/I177</f>
      </c>
      <c r="J184" s="340">
        <f ca="1">J179/J177</f>
      </c>
      <c r="K184" s="339">
        <f ca="1">K179/K177</f>
      </c>
      <c r="L184" s="339">
        <f ca="1">L179/L177</f>
      </c>
      <c r="M184" s="339">
        <f ca="1">M179/M177</f>
      </c>
      <c r="N184" s="339">
        <f ca="1">N179/N177</f>
      </c>
      <c r="O184" s="340">
        <f ca="1">O179/O177</f>
      </c>
      <c r="P184" s="339">
        <f ca="1">P179/P177</f>
      </c>
      <c r="Q184" s="339">
        <f ca="1">Q179/Q177</f>
      </c>
      <c r="R184" s="339">
        <f ca="1">R179/R177</f>
      </c>
      <c r="S184" s="339">
        <f ca="1">S179/S177</f>
      </c>
      <c r="T184" s="340">
        <f ca="1">T179/T177</f>
      </c>
      <c r="U184" s="339">
        <f ca="1">U179/U177</f>
      </c>
      <c r="V184" s="339">
        <f ca="1">V179/V177</f>
      </c>
      <c r="W184" s="339">
        <f ca="1">W179/W177</f>
      </c>
      <c r="X184" s="334">
        <f ca="1">IF(Case_Scenario="Bull",X185,IF(Case_Scenario="Base",X186,IF(Case_Scenario="bear",X187,"N/A")))</f>
        <v>1.25</v>
      </c>
      <c r="Y184" s="333">
        <f ca="1">AVERAGE(U184:X184)</f>
      </c>
      <c r="Z184" s="334">
        <f ca="1">IF(Case_Scenario="Bull",Z185,IF(Case_Scenario="Base",Z186,IF(Case_Scenario="bear",Z187,"N/A")))</f>
        <v>1.25</v>
      </c>
      <c r="AA184" s="334">
        <f ca="1">IF(Case_Scenario="Bull",AA185,IF(Case_Scenario="Base",AA186,IF(Case_Scenario="bear",AA187,"N/A")))</f>
        <v>1.25</v>
      </c>
      <c r="AB184" s="334">
        <f ca="1">IF(Case_Scenario="Bull",AB185,IF(Case_Scenario="Base",AB186,IF(Case_Scenario="bear",AB187,"N/A")))</f>
        <v>1.25</v>
      </c>
      <c r="AC184" s="334">
        <f ca="1">IF(Case_Scenario="Bull",AC185,IF(Case_Scenario="Base",AC186,IF(Case_Scenario="bear",AC187,"N/A")))</f>
        <v>1.25</v>
      </c>
      <c r="AD184" s="333">
        <f ca="1">AVERAGE(Z184:AC184)</f>
        <v>1.25</v>
      </c>
      <c r="AE184" s="333">
        <f ca="1">IF(Case_Scenario="Bull",AE185,IF(Case_Scenario="Base",AE186,IF(Case_Scenario="bear",AE187,"N/A")))</f>
        <v>1.25</v>
      </c>
      <c r="AF184" s="333">
        <f ca="1">IF(Case_Scenario="Bull",AF185,IF(Case_Scenario="Base",AF186,IF(Case_Scenario="bear",AF187,"N/A")))</f>
        <v>1.25</v>
      </c>
      <c r="AG184" s="333">
        <f ca="1">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 ca="1">C38</f>
        <v>Segment 3 Revenue</v>
      </c>
      <c r="D189" s="16"/>
      <c r="E189" s="16"/>
      <c r="F189" s="317">
        <f t="shared" ref="F189:W189" si="196" ca="1">F55</f>
        <v>1e-12</v>
      </c>
      <c r="G189" s="317">
        <f ca="1">G55</f>
        <v>1e-12</v>
      </c>
      <c r="H189" s="317">
        <f ca="1">H55</f>
        <v>1e-12</v>
      </c>
      <c r="I189" s="317">
        <f ca="1">I55</f>
        <v>1e-12</v>
      </c>
      <c r="J189" s="287">
        <f ca="1">J55</f>
        <v>1e-12</v>
      </c>
      <c r="K189" s="317">
        <f ca="1">K55</f>
        <v>1e-12</v>
      </c>
      <c r="L189" s="317">
        <f ca="1">L55</f>
        <v>1e-12</v>
      </c>
      <c r="M189" s="317">
        <f ca="1">M55</f>
        <v>1e-12</v>
      </c>
      <c r="N189" s="317">
        <f ca="1">N55</f>
        <v>1e-12</v>
      </c>
      <c r="O189" s="287">
        <f ca="1">O55</f>
        <v>1e-12</v>
      </c>
      <c r="P189" s="317">
        <f ca="1">P55</f>
        <v>1e-12</v>
      </c>
      <c r="Q189" s="317">
        <f ca="1">Q55</f>
        <v>1e-12</v>
      </c>
      <c r="R189" s="317">
        <f ca="1">R55</f>
        <v>1e-12</v>
      </c>
      <c r="S189" s="317">
        <f ca="1">S55</f>
        <v>1e-12</v>
      </c>
      <c r="T189" s="287">
        <f ca="1">T55</f>
        <v>1e-12</v>
      </c>
      <c r="U189" s="317">
        <f ca="1">U55</f>
        <v>1e-12</v>
      </c>
      <c r="V189" s="317">
        <f ca="1">V55</f>
        <v>1e-12</v>
      </c>
      <c r="W189" s="317">
        <f ca="1">W55</f>
        <v>1e-12</v>
      </c>
      <c r="X189" s="286">
        <f ca="1">X191/X196</f>
        <v>1e-12</v>
      </c>
      <c r="Y189" s="287">
        <f ca="1">SUM(U189:X189)</f>
        <v>1e-12</v>
      </c>
      <c r="Z189" s="286">
        <f t="shared" ref="Z189:AC189" si="197" ca="1">Z191/Z196</f>
        <v>1e-12</v>
      </c>
      <c r="AA189" s="286">
        <f ca="1">AA191/AA196</f>
        <v>1e-12</v>
      </c>
      <c r="AB189" s="286">
        <f ca="1">AB191/AB196</f>
        <v>1e-12</v>
      </c>
      <c r="AC189" s="286">
        <f ca="1">AC191/AC196</f>
        <v>1e-12</v>
      </c>
      <c r="AD189" s="287">
        <f ca="1">SUM(Z189:AC189)</f>
        <v>1e-12</v>
      </c>
      <c r="AE189" s="287">
        <f t="shared" ref="AE189:AG189" si="198" ca="1">AE191/AE196</f>
        <v>1e-12</v>
      </c>
      <c r="AF189" s="287">
        <f ca="1">AF191/AF196</f>
        <v>1e-12</v>
      </c>
      <c r="AG189" s="287">
        <f ca="1">AG191/AG196</f>
        <v>1e-12</v>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 ca="1">W190+X191-X189</f>
        <v>1e-12</v>
      </c>
      <c r="Y190" s="326">
        <f ca="1">T190+Y191-Y189</f>
        <v>1e-12</v>
      </c>
      <c r="Z190" s="327">
        <f ca="1">X190+Z191-Z189</f>
        <v>1e-12</v>
      </c>
      <c r="AA190" s="327">
        <f t="shared" ref="AA190:AC190" si="199" ca="1">Z190+AA191-AA189</f>
        <v>1e-12</v>
      </c>
      <c r="AB190" s="327">
        <f ca="1">AA190+AB191-AB189</f>
        <v>1e-12</v>
      </c>
      <c r="AC190" s="327">
        <f ca="1">AB190+AC191-AC189</f>
        <v>1e-12</v>
      </c>
      <c r="AD190" s="326">
        <f ca="1">Y190+AD191-AD189</f>
        <v>1e-12</v>
      </c>
      <c r="AE190" s="326">
        <f t="shared" ref="AE190:AG190" si="200" ca="1">AD190+AE191-AE189</f>
        <v>1e-12</v>
      </c>
      <c r="AF190" s="326">
        <f ca="1">AE190+AF191-AF189</f>
        <v>1e-12</v>
      </c>
      <c r="AG190" s="326">
        <f ca="1">AF190+AG191-AG189</f>
        <v>1e-12</v>
      </c>
      <c r="AH190" s="16"/>
      <c r="AI190" s="16"/>
      <c r="AJ190" s="16"/>
    </row>
    <row r="191" ht="12.75" customHeight="1" hidden="1" spans="1:36" x14ac:dyDescent="0.25" outlineLevel="1" collapsed="1">
      <c r="A191" s="16"/>
      <c r="B191" s="16"/>
      <c r="C191" s="139" t="s">
        <v>259</v>
      </c>
      <c r="D191" s="16"/>
      <c r="E191" s="16"/>
      <c r="F191" s="325">
        <f ca="1">F190+F189-(0)</f>
        <v>1e-12</v>
      </c>
      <c r="G191" s="325">
        <f t="shared" ref="G191:I191" si="201" ca="1">G190+G189-F190</f>
        <v>1e-12</v>
      </c>
      <c r="H191" s="325">
        <f ca="1">H190+H189-G190</f>
        <v>1e-12</v>
      </c>
      <c r="I191" s="325">
        <f ca="1">I190+I189-H190</f>
        <v>1e-12</v>
      </c>
      <c r="J191" s="326">
        <f ca="1">SUM(F191:I191)</f>
        <v>1e-12</v>
      </c>
      <c r="K191" s="325">
        <f t="shared" ref="K191:N191" si="202" ca="1">K190+K189-J190</f>
        <v>1e-12</v>
      </c>
      <c r="L191" s="325">
        <f ca="1">L190+L189-K190</f>
        <v>1e-12</v>
      </c>
      <c r="M191" s="325">
        <f ca="1">M190+M189-L190</f>
        <v>1e-12</v>
      </c>
      <c r="N191" s="325">
        <f ca="1">N190+N189-M190</f>
        <v>1e-12</v>
      </c>
      <c r="O191" s="326">
        <f ca="1">SUM(K191:N191)</f>
        <v>1e-12</v>
      </c>
      <c r="P191" s="325">
        <f t="shared" ref="P191:S191" si="203" ca="1">P190+P189-O190</f>
        <v>1e-12</v>
      </c>
      <c r="Q191" s="325">
        <f ca="1">Q190+Q189-P190</f>
        <v>1e-12</v>
      </c>
      <c r="R191" s="325">
        <f ca="1">R190+R189-Q190</f>
        <v>1e-12</v>
      </c>
      <c r="S191" s="325">
        <f ca="1">S190+S189-R190</f>
        <v>1e-12</v>
      </c>
      <c r="T191" s="326">
        <f ca="1">SUM(P191:S191)</f>
        <v>1e-12</v>
      </c>
      <c r="U191" s="325">
        <f t="shared" ref="U191:W191" si="204" ca="1">U190+U189-T190</f>
        <v>1e-12</v>
      </c>
      <c r="V191" s="325">
        <f ca="1">V190+V189-U190</f>
        <v>1e-12</v>
      </c>
      <c r="W191" s="325">
        <f ca="1">W190+W189-V190</f>
        <v>1e-12</v>
      </c>
      <c r="X191" s="327">
        <f ca="1">W191*(1+X192)</f>
        <v>1e-12</v>
      </c>
      <c r="Y191" s="326">
        <f ca="1">SUM(U191:X191)</f>
        <v>1e-12</v>
      </c>
      <c r="Z191" s="327">
        <f ca="1">X191*(1+Z192)</f>
        <v>1e-12</v>
      </c>
      <c r="AA191" s="327">
        <f t="shared" ref="AA191:AC191" si="205" ca="1">Z191*(1+AA192)</f>
        <v>1e-12</v>
      </c>
      <c r="AB191" s="327">
        <f ca="1">AA191*(1+AB192)</f>
        <v>1e-12</v>
      </c>
      <c r="AC191" s="327">
        <f ca="1">AB191*(1+AC192)</f>
        <v>1e-12</v>
      </c>
      <c r="AD191" s="326">
        <f ca="1">SUM(Z191:AC191)</f>
        <v>1e-12</v>
      </c>
      <c r="AE191" s="326">
        <f t="shared" ref="AE191:AG191" si="206" ca="1">AD191*(1+AE192)</f>
        <v>1e-12</v>
      </c>
      <c r="AF191" s="326">
        <f ca="1">AE191*(1+AF192)</f>
        <v>1e-12</v>
      </c>
      <c r="AG191" s="326">
        <f ca="1">AF191*(1+AG192)</f>
        <v>1e-12</v>
      </c>
      <c r="AH191" s="16"/>
      <c r="AI191" s="16"/>
      <c r="AJ191" s="16"/>
    </row>
    <row r="192" ht="12.75" customHeight="1" hidden="1" spans="1:36" x14ac:dyDescent="0.25" outlineLevel="1" collapsed="1">
      <c r="A192" s="16"/>
      <c r="B192" s="16"/>
      <c r="C192" s="120" t="s">
        <v>260</v>
      </c>
      <c r="D192" s="16"/>
      <c r="E192" s="16"/>
      <c r="F192" s="319"/>
      <c r="G192" s="318" t="str">
        <f t="shared" ref="G192:I192" si="207" ca="1">IFERROR(G191/F191-1,"--")</f>
        <v>--</v>
      </c>
      <c r="H192" s="318" t="str">
        <f ca="1">IFERROR(H191/G191-1,"--")</f>
        <v>--</v>
      </c>
      <c r="I192" s="318" t="str">
        <f ca="1">IFERROR(I191/H191-1,"--")</f>
        <v>--</v>
      </c>
      <c r="J192" s="168"/>
      <c r="K192" s="318" t="str">
        <f ca="1">IFERROR(K191/I191-1,"--")</f>
        <v>--</v>
      </c>
      <c r="L192" s="318" t="str">
        <f t="shared" ref="L192:N192" si="208" ca="1">IFERROR(L191/K191-1,"--")</f>
        <v>--</v>
      </c>
      <c r="M192" s="318" t="str">
        <f ca="1">IFERROR(M191/L191-1,"--")</f>
        <v>--</v>
      </c>
      <c r="N192" s="318" t="str">
        <f ca="1">IFERROR(N191/M191-1,"--")</f>
        <v>--</v>
      </c>
      <c r="O192" s="306" t="str">
        <f ca="1">IFERROR(O191/J191-1,"--")</f>
        <v>--</v>
      </c>
      <c r="P192" s="318" t="str">
        <f ca="1">IFERROR(P191/N191-1,"--")</f>
        <v>--</v>
      </c>
      <c r="Q192" s="318" t="str">
        <f t="shared" ref="Q192:S192" si="209" ca="1">IFERROR(Q191/P191-1,"--")</f>
        <v>--</v>
      </c>
      <c r="R192" s="318" t="str">
        <f ca="1">IFERROR(R191/Q191-1,"--")</f>
        <v>--</v>
      </c>
      <c r="S192" s="318" t="str">
        <f ca="1">IFERROR(S191/R191-1,"--")</f>
        <v>--</v>
      </c>
      <c r="T192" s="306" t="str">
        <f ca="1">IFERROR(T191/O191-1,"--")</f>
        <v>--</v>
      </c>
      <c r="U192" s="318" t="str">
        <f ca="1">IFERROR(U191/S191-1,"--")</f>
        <v>--</v>
      </c>
      <c r="V192" s="318" t="str">
        <f t="shared" ref="V192:W192" si="210" ca="1">IFERROR(V191/U191-1,"--")</f>
        <v>--</v>
      </c>
      <c r="W192" s="318" t="str">
        <f ca="1">IFERROR(W191/V191-1,"--")</f>
        <v>--</v>
      </c>
      <c r="X192" s="305">
        <f ca="1">IF(Case_Scenario="Bull",X193,IF(Case_Scenario="Base",X194,IF(Case_Scenario="bear",X195,"N/A")))</f>
        <v>0.05</v>
      </c>
      <c r="Y192" s="306"/>
      <c r="Z192" s="305">
        <f ca="1">IF(Case_Scenario="Bull",Z193,IF(Case_Scenario="Base",Z194,IF(Case_Scenario="bear",Z195,"N/A")))</f>
        <v>0.05</v>
      </c>
      <c r="AA192" s="305">
        <f ca="1">IF(Case_Scenario="Bull",AA193,IF(Case_Scenario="Base",AA194,IF(Case_Scenario="bear",AA195,"N/A")))</f>
        <v>0.05</v>
      </c>
      <c r="AB192" s="305">
        <f ca="1">IF(Case_Scenario="Bull",AB193,IF(Case_Scenario="Base",AB194,IF(Case_Scenario="bear",AB195,"N/A")))</f>
        <v>0.05</v>
      </c>
      <c r="AC192" s="305">
        <f ca="1">IF(Case_Scenario="Bull",AC193,IF(Case_Scenario="Base",AC194,IF(Case_Scenario="bear",AC195,"N/A")))</f>
        <v>0.05</v>
      </c>
      <c r="AD192" s="306"/>
      <c r="AE192" s="306">
        <f ca="1">IF(Case_Scenario="Bull",AE193,IF(Case_Scenario="Base",AE194,IF(Case_Scenario="bear",AE195,"N/A")))</f>
        <v>0.05</v>
      </c>
      <c r="AF192" s="306">
        <f ca="1">IF(Case_Scenario="Bull",AF193,IF(Case_Scenario="Base",AF194,IF(Case_Scenario="bear",AF195,"N/A")))</f>
        <v>0.05</v>
      </c>
      <c r="AG192" s="306">
        <f ca="1">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f ca="1">F191/F189</f>
      </c>
      <c r="G196" s="339">
        <f ca="1">G191/G189</f>
      </c>
      <c r="H196" s="339">
        <f ca="1">H191/H189</f>
      </c>
      <c r="I196" s="339">
        <f ca="1">I191/I189</f>
      </c>
      <c r="J196" s="340">
        <f ca="1">J191/J189</f>
      </c>
      <c r="K196" s="339">
        <f ca="1">K191/K189</f>
      </c>
      <c r="L196" s="339">
        <f ca="1">L191/L189</f>
      </c>
      <c r="M196" s="339">
        <f ca="1">M191/M189</f>
      </c>
      <c r="N196" s="339">
        <f ca="1">N191/N189</f>
      </c>
      <c r="O196" s="340">
        <f ca="1">O191/O189</f>
      </c>
      <c r="P196" s="339">
        <f ca="1">P191/P189</f>
      </c>
      <c r="Q196" s="339">
        <f ca="1">Q191/Q189</f>
      </c>
      <c r="R196" s="339">
        <f ca="1">R191/R189</f>
      </c>
      <c r="S196" s="339">
        <f ca="1">S191/S189</f>
      </c>
      <c r="T196" s="340">
        <f ca="1">T191/T189</f>
      </c>
      <c r="U196" s="339">
        <f ca="1">U191/U189</f>
      </c>
      <c r="V196" s="339">
        <f ca="1">V191/V189</f>
      </c>
      <c r="W196" s="339">
        <f ca="1">W191/W189</f>
      </c>
      <c r="X196" s="334">
        <f ca="1">IF(Case_Scenario="Bull",X197,IF(Case_Scenario="Base",X198,IF(Case_Scenario="bear",X199,"N/A")))</f>
        <v>1.25</v>
      </c>
      <c r="Y196" s="333">
        <f ca="1">AVERAGE(U196:X196)</f>
      </c>
      <c r="Z196" s="334">
        <f ca="1">IF(Case_Scenario="Bull",Z197,IF(Case_Scenario="Base",Z198,IF(Case_Scenario="bear",Z199,"N/A")))</f>
        <v>1.25</v>
      </c>
      <c r="AA196" s="334">
        <f ca="1">IF(Case_Scenario="Bull",AA197,IF(Case_Scenario="Base",AA198,IF(Case_Scenario="bear",AA199,"N/A")))</f>
        <v>1.25</v>
      </c>
      <c r="AB196" s="334">
        <f ca="1">IF(Case_Scenario="Bull",AB197,IF(Case_Scenario="Base",AB198,IF(Case_Scenario="bear",AB199,"N/A")))</f>
        <v>1.25</v>
      </c>
      <c r="AC196" s="334">
        <f ca="1">IF(Case_Scenario="Bull",AC197,IF(Case_Scenario="Base",AC198,IF(Case_Scenario="bear",AC199,"N/A")))</f>
        <v>1.25</v>
      </c>
      <c r="AD196" s="333">
        <f ca="1">AVERAGE(Z196:AC196)</f>
        <v>1.25</v>
      </c>
      <c r="AE196" s="333">
        <f ca="1">IF(Case_Scenario="Bull",AE197,IF(Case_Scenario="Base",AE198,IF(Case_Scenario="bear",AE199,"N/A")))</f>
        <v>1.25</v>
      </c>
      <c r="AF196" s="333">
        <f ca="1">IF(Case_Scenario="Bull",AF197,IF(Case_Scenario="Base",AF198,IF(Case_Scenario="bear",AF199,"N/A")))</f>
        <v>1.25</v>
      </c>
      <c r="AG196" s="333">
        <f ca="1">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 ca="1">C41</f>
        <v>Segment 4 Revenue</v>
      </c>
      <c r="D201" s="16"/>
      <c r="E201" s="16"/>
      <c r="F201" s="317">
        <f t="shared" ref="F201:W201" si="211" ca="1">F67</f>
        <v>1e-12</v>
      </c>
      <c r="G201" s="317">
        <f ca="1">G67</f>
        <v>1e-12</v>
      </c>
      <c r="H201" s="317">
        <f ca="1">H67</f>
        <v>1e-12</v>
      </c>
      <c r="I201" s="317">
        <f ca="1">I67</f>
        <v>1e-12</v>
      </c>
      <c r="J201" s="287">
        <f ca="1">J67</f>
        <v>1e-12</v>
      </c>
      <c r="K201" s="317">
        <f ca="1">K67</f>
        <v>1e-12</v>
      </c>
      <c r="L201" s="317">
        <f ca="1">L67</f>
        <v>1e-12</v>
      </c>
      <c r="M201" s="317">
        <f ca="1">M67</f>
        <v>1e-12</v>
      </c>
      <c r="N201" s="317">
        <f ca="1">N67</f>
        <v>1e-12</v>
      </c>
      <c r="O201" s="287">
        <f ca="1">O67</f>
        <v>1e-12</v>
      </c>
      <c r="P201" s="317">
        <f ca="1">P67</f>
        <v>1e-12</v>
      </c>
      <c r="Q201" s="317">
        <f ca="1">Q67</f>
        <v>1e-12</v>
      </c>
      <c r="R201" s="317">
        <f ca="1">R67</f>
        <v>1e-12</v>
      </c>
      <c r="S201" s="317">
        <f ca="1">S67</f>
        <v>1e-12</v>
      </c>
      <c r="T201" s="287">
        <f ca="1">T67</f>
        <v>1e-12</v>
      </c>
      <c r="U201" s="317">
        <f ca="1">U67</f>
        <v>1e-12</v>
      </c>
      <c r="V201" s="317">
        <f ca="1">V67</f>
        <v>1e-12</v>
      </c>
      <c r="W201" s="317">
        <f ca="1">W67</f>
        <v>1e-12</v>
      </c>
      <c r="X201" s="286">
        <f ca="1">X203/X208</f>
        <v>1e-12</v>
      </c>
      <c r="Y201" s="287">
        <f ca="1">SUM(U201:X201)</f>
        <v>1e-12</v>
      </c>
      <c r="Z201" s="286">
        <f t="shared" ref="Z201:AC201" si="212" ca="1">Z203/Z208</f>
        <v>1e-12</v>
      </c>
      <c r="AA201" s="286">
        <f ca="1">AA203/AA208</f>
        <v>1e-12</v>
      </c>
      <c r="AB201" s="286">
        <f ca="1">AB203/AB208</f>
        <v>1e-12</v>
      </c>
      <c r="AC201" s="286">
        <f ca="1">AC203/AC208</f>
        <v>1e-12</v>
      </c>
      <c r="AD201" s="287">
        <f ca="1">SUM(Z201:AC201)</f>
        <v>1e-12</v>
      </c>
      <c r="AE201" s="287">
        <f t="shared" ref="AE201:AG201" si="213" ca="1">AE203/AE208</f>
        <v>1e-12</v>
      </c>
      <c r="AF201" s="287">
        <f ca="1">AF203/AF208</f>
        <v>1e-12</v>
      </c>
      <c r="AG201" s="287">
        <f ca="1">AG203/AG208</f>
        <v>1e-12</v>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 ca="1">W202+X203-X201</f>
        <v>1e-12</v>
      </c>
      <c r="Y202" s="326">
        <f ca="1">T202+Y203-Y201</f>
        <v>1e-12</v>
      </c>
      <c r="Z202" s="327">
        <f ca="1">X202+Z203-Z201</f>
        <v>1e-12</v>
      </c>
      <c r="AA202" s="327">
        <f t="shared" ref="AA202:AC202" si="214" ca="1">Z202+AA203-AA201</f>
        <v>1e-12</v>
      </c>
      <c r="AB202" s="327">
        <f ca="1">AA202+AB203-AB201</f>
        <v>1e-12</v>
      </c>
      <c r="AC202" s="327">
        <f ca="1">AB202+AC203-AC201</f>
        <v>1e-12</v>
      </c>
      <c r="AD202" s="326">
        <f ca="1">Y202+AD203-AD201</f>
        <v>1e-12</v>
      </c>
      <c r="AE202" s="326">
        <f t="shared" ref="AE202:AG202" si="215" ca="1">AD202+AE203-AE201</f>
        <v>1e-12</v>
      </c>
      <c r="AF202" s="326">
        <f ca="1">AE202+AF203-AF201</f>
        <v>1e-12</v>
      </c>
      <c r="AG202" s="326">
        <f ca="1">AF202+AG203-AG201</f>
        <v>1e-12</v>
      </c>
      <c r="AH202" s="16"/>
      <c r="AI202" s="16"/>
      <c r="AJ202" s="16"/>
    </row>
    <row r="203" ht="12.75" customHeight="1" hidden="1" spans="1:36" x14ac:dyDescent="0.25" outlineLevel="1" collapsed="1">
      <c r="A203" s="16"/>
      <c r="B203" s="16"/>
      <c r="C203" s="139" t="s">
        <v>259</v>
      </c>
      <c r="D203" s="16"/>
      <c r="E203" s="16"/>
      <c r="F203" s="325">
        <f ca="1">F202+F201-(0)</f>
        <v>1e-12</v>
      </c>
      <c r="G203" s="325">
        <f t="shared" ref="G203:I203" si="216" ca="1">G202+G201-F202</f>
        <v>1e-12</v>
      </c>
      <c r="H203" s="325">
        <f ca="1">H202+H201-G202</f>
        <v>1e-12</v>
      </c>
      <c r="I203" s="325">
        <f ca="1">I202+I201-H202</f>
        <v>1e-12</v>
      </c>
      <c r="J203" s="326">
        <f ca="1">SUM(F203:I203)</f>
        <v>1e-12</v>
      </c>
      <c r="K203" s="325">
        <f t="shared" ref="K203:N203" si="217" ca="1">K202+K201-J202</f>
        <v>1e-12</v>
      </c>
      <c r="L203" s="325">
        <f ca="1">L202+L201-K202</f>
        <v>1e-12</v>
      </c>
      <c r="M203" s="325">
        <f ca="1">M202+M201-L202</f>
        <v>1e-12</v>
      </c>
      <c r="N203" s="325">
        <f ca="1">N202+N201-M202</f>
        <v>1e-12</v>
      </c>
      <c r="O203" s="326">
        <f ca="1">SUM(K203:N203)</f>
        <v>1e-12</v>
      </c>
      <c r="P203" s="325">
        <f t="shared" ref="P203:S203" si="218" ca="1">P202+P201-O202</f>
        <v>1e-12</v>
      </c>
      <c r="Q203" s="325">
        <f ca="1">Q202+Q201-P202</f>
        <v>1e-12</v>
      </c>
      <c r="R203" s="325">
        <f ca="1">R202+R201-Q202</f>
        <v>1e-12</v>
      </c>
      <c r="S203" s="325">
        <f ca="1">S202+S201-R202</f>
        <v>1e-12</v>
      </c>
      <c r="T203" s="326">
        <f ca="1">SUM(P203:S203)</f>
        <v>1e-12</v>
      </c>
      <c r="U203" s="325">
        <f t="shared" ref="U203:W203" si="219" ca="1">U202+U201-T202</f>
        <v>1e-12</v>
      </c>
      <c r="V203" s="325">
        <f ca="1">V202+V201-U202</f>
        <v>1e-12</v>
      </c>
      <c r="W203" s="325">
        <f ca="1">W202+W201-V202</f>
        <v>1e-12</v>
      </c>
      <c r="X203" s="327">
        <f ca="1">W203*(1+X204)</f>
        <v>1e-12</v>
      </c>
      <c r="Y203" s="326">
        <f ca="1">SUM(U203:X203)</f>
        <v>1e-12</v>
      </c>
      <c r="Z203" s="327">
        <f ca="1">X203*(1+Z204)</f>
        <v>1e-12</v>
      </c>
      <c r="AA203" s="327">
        <f t="shared" ref="AA203:AC203" si="220" ca="1">Z203*(1+AA204)</f>
        <v>1e-12</v>
      </c>
      <c r="AB203" s="327">
        <f ca="1">AA203*(1+AB204)</f>
        <v>1e-12</v>
      </c>
      <c r="AC203" s="327">
        <f ca="1">AB203*(1+AC204)</f>
        <v>1e-12</v>
      </c>
      <c r="AD203" s="326">
        <f ca="1">SUM(Z203:AC203)</f>
        <v>1e-12</v>
      </c>
      <c r="AE203" s="326">
        <f t="shared" ref="AE203:AG203" si="221" ca="1">AD203*(1+AE204)</f>
        <v>1e-12</v>
      </c>
      <c r="AF203" s="326">
        <f ca="1">AE203*(1+AF204)</f>
        <v>1e-12</v>
      </c>
      <c r="AG203" s="326">
        <f ca="1">AF203*(1+AG204)</f>
        <v>1e-12</v>
      </c>
      <c r="AH203" s="16"/>
      <c r="AI203" s="16"/>
      <c r="AJ203" s="16"/>
    </row>
    <row r="204" ht="12.75" customHeight="1" hidden="1" spans="1:36" x14ac:dyDescent="0.25" outlineLevel="1" collapsed="1">
      <c r="A204" s="16"/>
      <c r="B204" s="16"/>
      <c r="C204" s="120" t="s">
        <v>260</v>
      </c>
      <c r="D204" s="16"/>
      <c r="E204" s="16"/>
      <c r="F204" s="319"/>
      <c r="G204" s="318" t="str">
        <f t="shared" ref="G204:I204" si="222" ca="1">IFERROR(G203/F203-1,"--")</f>
        <v>--</v>
      </c>
      <c r="H204" s="318" t="str">
        <f ca="1">IFERROR(H203/G203-1,"--")</f>
        <v>--</v>
      </c>
      <c r="I204" s="318" t="str">
        <f ca="1">IFERROR(I203/H203-1,"--")</f>
        <v>--</v>
      </c>
      <c r="J204" s="168"/>
      <c r="K204" s="318" t="str">
        <f ca="1">IFERROR(K203/I203-1,"--")</f>
        <v>--</v>
      </c>
      <c r="L204" s="318" t="str">
        <f t="shared" ref="L204:N204" si="223" ca="1">IFERROR(L203/K203-1,"--")</f>
        <v>--</v>
      </c>
      <c r="M204" s="318" t="str">
        <f ca="1">IFERROR(M203/L203-1,"--")</f>
        <v>--</v>
      </c>
      <c r="N204" s="318" t="str">
        <f ca="1">IFERROR(N203/M203-1,"--")</f>
        <v>--</v>
      </c>
      <c r="O204" s="306" t="str">
        <f ca="1">IFERROR(O203/J203-1,"--")</f>
        <v>--</v>
      </c>
      <c r="P204" s="318" t="str">
        <f ca="1">IFERROR(P203/N203-1,"--")</f>
        <v>--</v>
      </c>
      <c r="Q204" s="318" t="str">
        <f t="shared" ref="Q204:S204" si="224" ca="1">IFERROR(Q203/P203-1,"--")</f>
        <v>--</v>
      </c>
      <c r="R204" s="318" t="str">
        <f ca="1">IFERROR(R203/Q203-1,"--")</f>
        <v>--</v>
      </c>
      <c r="S204" s="318" t="str">
        <f ca="1">IFERROR(S203/R203-1,"--")</f>
        <v>--</v>
      </c>
      <c r="T204" s="306" t="str">
        <f ca="1">IFERROR(T203/O203-1,"--")</f>
        <v>--</v>
      </c>
      <c r="U204" s="318" t="str">
        <f ca="1">IFERROR(U203/S203-1,"--")</f>
        <v>--</v>
      </c>
      <c r="V204" s="318" t="str">
        <f t="shared" ref="V204:W204" si="225" ca="1">IFERROR(V203/U203-1,"--")</f>
        <v>--</v>
      </c>
      <c r="W204" s="318" t="str">
        <f ca="1">IFERROR(W203/V203-1,"--")</f>
        <v>--</v>
      </c>
      <c r="X204" s="305">
        <f ca="1">IF(Case_Scenario="Bull",X205,IF(Case_Scenario="Base",X206,IF(Case_Scenario="bear",X207,"N/A")))</f>
        <v>0.05</v>
      </c>
      <c r="Y204" s="306"/>
      <c r="Z204" s="305">
        <f ca="1">IF(Case_Scenario="Bull",Z205,IF(Case_Scenario="Base",Z206,IF(Case_Scenario="bear",Z207,"N/A")))</f>
        <v>0.05</v>
      </c>
      <c r="AA204" s="305">
        <f ca="1">IF(Case_Scenario="Bull",AA205,IF(Case_Scenario="Base",AA206,IF(Case_Scenario="bear",AA207,"N/A")))</f>
        <v>0.05</v>
      </c>
      <c r="AB204" s="305">
        <f ca="1">IF(Case_Scenario="Bull",AB205,IF(Case_Scenario="Base",AB206,IF(Case_Scenario="bear",AB207,"N/A")))</f>
        <v>0.05</v>
      </c>
      <c r="AC204" s="305">
        <f ca="1">IF(Case_Scenario="Bull",AC205,IF(Case_Scenario="Base",AC206,IF(Case_Scenario="bear",AC207,"N/A")))</f>
        <v>0.05</v>
      </c>
      <c r="AD204" s="306"/>
      <c r="AE204" s="306">
        <f ca="1">IF(Case_Scenario="Bull",AE205,IF(Case_Scenario="Base",AE206,IF(Case_Scenario="bear",AE207,"N/A")))</f>
        <v>0.05</v>
      </c>
      <c r="AF204" s="306">
        <f ca="1">IF(Case_Scenario="Bull",AF205,IF(Case_Scenario="Base",AF206,IF(Case_Scenario="bear",AF207,"N/A")))</f>
        <v>0.05</v>
      </c>
      <c r="AG204" s="306">
        <f ca="1">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f ca="1">F203/F201</f>
      </c>
      <c r="G208" s="339">
        <f ca="1">G203/G201</f>
      </c>
      <c r="H208" s="339">
        <f ca="1">H203/H201</f>
      </c>
      <c r="I208" s="339">
        <f ca="1">I203/I201</f>
      </c>
      <c r="J208" s="340">
        <f ca="1">J203/J201</f>
      </c>
      <c r="K208" s="339">
        <f ca="1">K203/K201</f>
      </c>
      <c r="L208" s="339">
        <f ca="1">L203/L201</f>
      </c>
      <c r="M208" s="339">
        <f ca="1">M203/M201</f>
      </c>
      <c r="N208" s="339">
        <f ca="1">N203/N201</f>
      </c>
      <c r="O208" s="340">
        <f ca="1">O203/O201</f>
      </c>
      <c r="P208" s="339">
        <f ca="1">P203/P201</f>
      </c>
      <c r="Q208" s="339">
        <f ca="1">Q203/Q201</f>
      </c>
      <c r="R208" s="339">
        <f ca="1">R203/R201</f>
      </c>
      <c r="S208" s="339">
        <f ca="1">S203/S201</f>
      </c>
      <c r="T208" s="340">
        <f ca="1">T203/T201</f>
      </c>
      <c r="U208" s="339">
        <f ca="1">U203/U201</f>
      </c>
      <c r="V208" s="339">
        <f ca="1">V203/V201</f>
      </c>
      <c r="W208" s="339">
        <f ca="1">W203/W201</f>
      </c>
      <c r="X208" s="334">
        <f ca="1">IF(Case_Scenario="Bull",X209,IF(Case_Scenario="Base",X210,IF(Case_Scenario="bear",X211,"N/A")))</f>
        <v>1.25</v>
      </c>
      <c r="Y208" s="333">
        <f ca="1">AVERAGE(U208:X208)</f>
      </c>
      <c r="Z208" s="334">
        <f ca="1">IF(Case_Scenario="Bull",Z209,IF(Case_Scenario="Base",Z210,IF(Case_Scenario="bear",Z211,"N/A")))</f>
        <v>1.25</v>
      </c>
      <c r="AA208" s="334">
        <f ca="1">IF(Case_Scenario="Bull",AA209,IF(Case_Scenario="Base",AA210,IF(Case_Scenario="bear",AA211,"N/A")))</f>
        <v>1.25</v>
      </c>
      <c r="AB208" s="334">
        <f ca="1">IF(Case_Scenario="Bull",AB209,IF(Case_Scenario="Base",AB210,IF(Case_Scenario="bear",AB211,"N/A")))</f>
        <v>1.25</v>
      </c>
      <c r="AC208" s="334">
        <f ca="1">IF(Case_Scenario="Bull",AC209,IF(Case_Scenario="Base",AC210,IF(Case_Scenario="bear",AC211,"N/A")))</f>
        <v>1.25</v>
      </c>
      <c r="AD208" s="333">
        <f ca="1">AVERAGE(Z208:AC208)</f>
        <v>1.25</v>
      </c>
      <c r="AE208" s="333">
        <f ca="1">IF(Case_Scenario="Bull",AE209,IF(Case_Scenario="Base",AE210,IF(Case_Scenario="bear",AE211,"N/A")))</f>
        <v>1.25</v>
      </c>
      <c r="AF208" s="333">
        <f ca="1">IF(Case_Scenario="Bull",AF209,IF(Case_Scenario="Base",AF210,IF(Case_Scenario="bear",AF211,"N/A")))</f>
        <v>1.25</v>
      </c>
      <c r="AG208" s="333">
        <f ca="1">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 ca="1">C44</f>
        <v>Segment 5 Revenue</v>
      </c>
      <c r="D213" s="16"/>
      <c r="E213" s="16"/>
      <c r="F213" s="317">
        <f t="shared" ref="F213:W213" si="226" ca="1">F44</f>
        <v>1e-12</v>
      </c>
      <c r="G213" s="317">
        <f ca="1">G44</f>
        <v>1e-12</v>
      </c>
      <c r="H213" s="317">
        <f ca="1">H44</f>
        <v>1e-12</v>
      </c>
      <c r="I213" s="317">
        <f ca="1">I44</f>
        <v>1e-12</v>
      </c>
      <c r="J213" s="287">
        <f ca="1">J44</f>
        <v>1e-12</v>
      </c>
      <c r="K213" s="317">
        <f ca="1">K44</f>
        <v>1e-12</v>
      </c>
      <c r="L213" s="317">
        <f ca="1">L44</f>
        <v>1e-12</v>
      </c>
      <c r="M213" s="317">
        <f ca="1">M44</f>
        <v>1e-12</v>
      </c>
      <c r="N213" s="317">
        <f ca="1">N44</f>
        <v>1e-12</v>
      </c>
      <c r="O213" s="287">
        <f ca="1">O44</f>
        <v>1e-12</v>
      </c>
      <c r="P213" s="317">
        <f ca="1">P44</f>
        <v>1e-12</v>
      </c>
      <c r="Q213" s="317">
        <f ca="1">Q44</f>
        <v>1e-12</v>
      </c>
      <c r="R213" s="317">
        <f ca="1">R44</f>
        <v>1e-12</v>
      </c>
      <c r="S213" s="317">
        <f ca="1">S44</f>
        <v>1e-12</v>
      </c>
      <c r="T213" s="287">
        <f ca="1">T44</f>
        <v>1e-12</v>
      </c>
      <c r="U213" s="317">
        <f ca="1">U44</f>
        <v>1e-12</v>
      </c>
      <c r="V213" s="317">
        <f ca="1">V44</f>
        <v>1e-12</v>
      </c>
      <c r="W213" s="317">
        <f ca="1">W44</f>
        <v>1e-12</v>
      </c>
      <c r="X213" s="286">
        <f ca="1">X215/X220</f>
        <v>-124.32000000000001</v>
      </c>
      <c r="Y213" s="287">
        <f ca="1">SUM(U213:X213)</f>
        <v>-124.32000000000001</v>
      </c>
      <c r="Z213" s="286">
        <f t="shared" ref="Z213:AC213" si="227" ca="1">Z215/Z220</f>
        <v>-130.536</v>
      </c>
      <c r="AA213" s="286">
        <f ca="1">AA215/AA220</f>
        <v>-137.0628</v>
      </c>
      <c r="AB213" s="286">
        <f ca="1">AB215/AB220</f>
        <v>-143.91594000000003</v>
      </c>
      <c r="AC213" s="286">
        <f ca="1">AC215/AC220</f>
        <v>-151.11173700000003</v>
      </c>
      <c r="AD213" s="287">
        <f ca="1">SUM(Z213:AC213)</f>
        <v>-562.626477</v>
      </c>
      <c r="AE213" s="287">
        <f t="shared" ref="AE213:AG213" si="228" ca="1">AE215/AE220</f>
        <v>-590.7578008500002</v>
      </c>
      <c r="AF213" s="287">
        <f ca="1">AF215/AF220</f>
        <v>-620.2956908925001</v>
      </c>
      <c r="AG213" s="287">
        <f ca="1">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 ca="1">0+J215-J213</f>
        <v>1e-12</v>
      </c>
      <c r="K214" s="325">
        <v>0</v>
      </c>
      <c r="L214" s="325">
        <v>0</v>
      </c>
      <c r="M214" s="325">
        <v>16251</v>
      </c>
      <c r="N214" s="325">
        <v>17223</v>
      </c>
      <c r="O214" s="326">
        <f ca="1">15631+O215-O213</f>
        <v>17223</v>
      </c>
      <c r="P214" s="325">
        <v>20464</v>
      </c>
      <c r="Q214" s="325">
        <v>20388</v>
      </c>
      <c r="R214" s="325">
        <v>20240</v>
      </c>
      <c r="S214" s="325">
        <v>21008</v>
      </c>
      <c r="T214" s="326">
        <f ca="1">O214+T215-T213</f>
        <v>21008</v>
      </c>
      <c r="U214" s="325">
        <v>20464</v>
      </c>
      <c r="V214" s="325">
        <v>20388</v>
      </c>
      <c r="W214" s="325">
        <v>20240</v>
      </c>
      <c r="X214" s="327">
        <f ca="1">W214+X215-X213</f>
        <v>20208.92</v>
      </c>
      <c r="Y214" s="326">
        <f ca="1">T214+Y215-Y213</f>
        <v>20208.92</v>
      </c>
      <c r="Z214" s="327">
        <f ca="1">X214+Z215-Z213</f>
        <v>20176.286</v>
      </c>
      <c r="AA214" s="327">
        <f t="shared" ref="AA214:AC214" si="229" ca="1">Z214+AA215-AA213</f>
        <v>20142.0203</v>
      </c>
      <c r="AB214" s="327">
        <f ca="1">AA214+AB215-AB213</f>
        <v>20106.041315</v>
      </c>
      <c r="AC214" s="327">
        <f ca="1">AB214+AC215-AC213</f>
        <v>20068.26338075</v>
      </c>
      <c r="AD214" s="326">
        <f ca="1">Y214+AD215-AD213</f>
        <v>20068.26338075</v>
      </c>
      <c r="AE214" s="326">
        <f t="shared" ref="AE214:AG214" si="230" ca="1">AD214+AE215-AE213</f>
        <v>19920.573930537495</v>
      </c>
      <c r="AF214" s="326">
        <f ca="1">AE214+AF215-AF213</f>
        <v>19765.50000781437</v>
      </c>
      <c r="AG214" s="326">
        <f ca="1">AF214+AG215-AG213</f>
        <v>19602.672388955092</v>
      </c>
      <c r="AH214" s="16"/>
      <c r="AI214" s="16"/>
      <c r="AJ214" s="16"/>
    </row>
    <row r="215" ht="12.75" customHeight="1" hidden="1" spans="1:36" x14ac:dyDescent="0.25" outlineLevel="1" collapsed="1">
      <c r="A215" s="16"/>
      <c r="B215" s="16"/>
      <c r="C215" s="139" t="s">
        <v>259</v>
      </c>
      <c r="D215" s="16"/>
      <c r="E215" s="16"/>
      <c r="F215" s="325">
        <f ca="1">F214+F213-(0)</f>
        <v>1e-12</v>
      </c>
      <c r="G215" s="325">
        <f t="shared" ref="G215:I215" si="231" ca="1">G214+G213-F214</f>
        <v>1e-12</v>
      </c>
      <c r="H215" s="325">
        <f ca="1">H214+H213-G214</f>
        <v>1e-12</v>
      </c>
      <c r="I215" s="325">
        <f ca="1">I214+I213-H214</f>
        <v>1e-12</v>
      </c>
      <c r="J215" s="326">
        <f ca="1">SUM(F215:I215)</f>
        <v>1e-12</v>
      </c>
      <c r="K215" s="325">
        <f t="shared" ref="K215:L215" si="232" ca="1">K214+K213-J214</f>
        <v>1e-12</v>
      </c>
      <c r="L215" s="325">
        <f ca="1">L214+L213-K214</f>
        <v>1e-12</v>
      </c>
      <c r="M215" s="325">
        <f ca="1">M214+M213-15631</f>
        <v>620</v>
      </c>
      <c r="N215" s="325">
        <f ca="1">N214+N213-M214</f>
        <v>972</v>
      </c>
      <c r="O215" s="326">
        <f ca="1">SUM(M215:N215)</f>
        <v>1592</v>
      </c>
      <c r="P215" s="325">
        <f t="shared" ref="P215:S215" si="233" ca="1">P214+P213-O214</f>
        <v>3241</v>
      </c>
      <c r="Q215" s="325">
        <f ca="1">Q214+Q213-P214</f>
        <v>-76</v>
      </c>
      <c r="R215" s="325">
        <f ca="1">R214+R213-Q214</f>
        <v>-148</v>
      </c>
      <c r="S215" s="325">
        <f ca="1">S214+S213-R214</f>
        <v>768</v>
      </c>
      <c r="T215" s="326">
        <f ca="1">SUM(P215:S215)</f>
        <v>3785</v>
      </c>
      <c r="U215" s="325">
        <f t="shared" ref="U215:W215" si="234" ca="1">U214+U213-T214</f>
        <v>-544</v>
      </c>
      <c r="V215" s="325">
        <f ca="1">V214+V213-U214</f>
        <v>-76</v>
      </c>
      <c r="W215" s="325">
        <f ca="1">W214+W213-V214</f>
        <v>-148</v>
      </c>
      <c r="X215" s="327">
        <f ca="1">W215*(1+X216)</f>
        <v>-155.4</v>
      </c>
      <c r="Y215" s="326">
        <f ca="1">SUM(U215:X215)</f>
        <v>-923.4</v>
      </c>
      <c r="Z215" s="327">
        <f ca="1">X215*(1+Z216)</f>
        <v>-163.17000000000002</v>
      </c>
      <c r="AA215" s="327">
        <f t="shared" ref="AA215:AC215" si="235" ca="1">Z215*(1+AA216)</f>
        <v>-171.32850000000002</v>
      </c>
      <c r="AB215" s="327">
        <f ca="1">AA215*(1+AB216)</f>
        <v>-179.89492500000003</v>
      </c>
      <c r="AC215" s="327">
        <f ca="1">AB215*(1+AC216)</f>
        <v>-188.88967125000005</v>
      </c>
      <c r="AD215" s="326">
        <f ca="1">SUM(Z215:AC215)</f>
        <v>-703.2830962500002</v>
      </c>
      <c r="AE215" s="326">
        <f t="shared" ref="AE215:AG215" si="236" ca="1">AD215*(1+AE216)</f>
        <v>-738.4472510625002</v>
      </c>
      <c r="AF215" s="326">
        <f ca="1">AE215*(1+AF216)</f>
        <v>-775.3696136156252</v>
      </c>
      <c r="AG215" s="326">
        <f ca="1">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37" ca="1">IFERROR(G215/F215-1,"--")</f>
        <v>--</v>
      </c>
      <c r="H216" s="318" t="str">
        <f ca="1">IFERROR(H215/G215-1,"--")</f>
        <v>--</v>
      </c>
      <c r="I216" s="318" t="str">
        <f ca="1">IFERROR(I215/H215-1,"--")</f>
        <v>--</v>
      </c>
      <c r="J216" s="168"/>
      <c r="K216" s="318" t="str">
        <f ca="1">IFERROR(K215/I215-1,"--")</f>
        <v>--</v>
      </c>
      <c r="L216" s="318" t="str">
        <f t="shared" ref="L216:N216" si="238" ca="1">IFERROR(L215/K215-1,"--")</f>
        <v>--</v>
      </c>
      <c r="M216" s="318" t="str">
        <f ca="1">IFERROR(M215/L215-1,"--")</f>
        <v>--</v>
      </c>
      <c r="N216" s="318">
        <f ca="1">IFERROR(N215/M215-1,"--")</f>
        <v>0.5677419354838709</v>
      </c>
      <c r="O216" s="306" t="str">
        <f ca="1">IFERROR(O215/J215-1,"--")</f>
        <v>--</v>
      </c>
      <c r="P216" s="318">
        <f ca="1">IFERROR(P215/N215-1,"--")</f>
        <v>2.3343621399176953</v>
      </c>
      <c r="Q216" s="318">
        <f t="shared" ref="Q216:S216" si="239" ca="1">IFERROR(Q215/P215-1,"--")</f>
        <v>-1.02344955260722</v>
      </c>
      <c r="R216" s="318">
        <f ca="1">IFERROR(R215/Q215-1,"--")</f>
        <v>0.9473684210526316</v>
      </c>
      <c r="S216" s="318">
        <f ca="1">IFERROR(S215/R215-1,"--")</f>
        <v>-6.1891891891891895</v>
      </c>
      <c r="T216" s="306">
        <f ca="1">IFERROR(T215/O215-1,"--")</f>
        <v>1.3775125628140703</v>
      </c>
      <c r="U216" s="318">
        <f ca="1">IFERROR(U215/S215-1,"--")</f>
        <v>-1.7083333333333335</v>
      </c>
      <c r="V216" s="318">
        <f t="shared" ref="V216:W216" si="240" ca="1">IFERROR(V215/U215-1,"--")</f>
        <v>-0.8602941176470589</v>
      </c>
      <c r="W216" s="318">
        <f ca="1">IFERROR(W215/V215-1,"--")</f>
        <v>0.9473684210526316</v>
      </c>
      <c r="X216" s="305">
        <f ca="1">IF(Case_Scenario="Bull",X217,IF(Case_Scenario="Base",X218,IF(Case_Scenario="bear",X219,"N/A")))</f>
        <v>0.05</v>
      </c>
      <c r="Y216" s="306"/>
      <c r="Z216" s="305">
        <f ca="1">IF(Case_Scenario="Bull",Z217,IF(Case_Scenario="Base",Z218,IF(Case_Scenario="bear",Z219,"N/A")))</f>
        <v>0.05</v>
      </c>
      <c r="AA216" s="305">
        <f ca="1">IF(Case_Scenario="Bull",AA217,IF(Case_Scenario="Base",AA218,IF(Case_Scenario="bear",AA219,"N/A")))</f>
        <v>0.05</v>
      </c>
      <c r="AB216" s="305">
        <f ca="1">IF(Case_Scenario="Bull",AB217,IF(Case_Scenario="Base",AB218,IF(Case_Scenario="bear",AB219,"N/A")))</f>
        <v>0.05</v>
      </c>
      <c r="AC216" s="305">
        <f ca="1">IF(Case_Scenario="Bull",AC217,IF(Case_Scenario="Base",AC218,IF(Case_Scenario="bear",AC219,"N/A")))</f>
        <v>0.05</v>
      </c>
      <c r="AD216" s="306"/>
      <c r="AE216" s="306">
        <f ca="1">IF(Case_Scenario="Bull",AE217,IF(Case_Scenario="Base",AE218,IF(Case_Scenario="bear",AE219,"N/A")))</f>
        <v>0.05</v>
      </c>
      <c r="AF216" s="306">
        <f ca="1">IF(Case_Scenario="Bull",AF217,IF(Case_Scenario="Base",AF218,IF(Case_Scenario="bear",AF219,"N/A")))</f>
        <v>0.05</v>
      </c>
      <c r="AG216" s="306">
        <f ca="1">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f ca="1">F215/F213</f>
      </c>
      <c r="G220" s="339">
        <f ca="1">G215/G213</f>
      </c>
      <c r="H220" s="339">
        <f ca="1">H215/H213</f>
      </c>
      <c r="I220" s="339">
        <f ca="1">I215/I213</f>
      </c>
      <c r="J220" s="340">
        <f ca="1">J215/J213</f>
      </c>
      <c r="K220" s="339">
        <f ca="1">K215/K213</f>
      </c>
      <c r="L220" s="339">
        <f ca="1">L215/L213</f>
      </c>
      <c r="M220" s="339">
        <f ca="1">M215/M213</f>
      </c>
      <c r="N220" s="339">
        <f ca="1">N215/N213</f>
      </c>
      <c r="O220" s="340">
        <f ca="1">O215/O213</f>
      </c>
      <c r="P220" s="339">
        <f ca="1">P215/P213</f>
      </c>
      <c r="Q220" s="339">
        <f ca="1">Q215/Q213</f>
      </c>
      <c r="R220" s="339">
        <f ca="1">R215/R213</f>
      </c>
      <c r="S220" s="339">
        <f ca="1">S215/S213</f>
      </c>
      <c r="T220" s="340">
        <f ca="1">T215/T213</f>
      </c>
      <c r="U220" s="339">
        <f ca="1">U215/U213</f>
      </c>
      <c r="V220" s="339">
        <f ca="1">V215/V213</f>
      </c>
      <c r="W220" s="339">
        <f ca="1">W215/W213</f>
      </c>
      <c r="X220" s="334">
        <f ca="1">IF(Case_Scenario="Bull",X221,IF(Case_Scenario="Base",X222,IF(Case_Scenario="bear",X223,"N/A")))</f>
        <v>1.25</v>
      </c>
      <c r="Y220" s="333">
        <f ca="1">AVERAGE(U220:X220)</f>
      </c>
      <c r="Z220" s="334">
        <f ca="1">IF(Case_Scenario="Bull",Z221,IF(Case_Scenario="Base",Z222,IF(Case_Scenario="bear",Z223,"N/A")))</f>
        <v>1.25</v>
      </c>
      <c r="AA220" s="334">
        <f ca="1">IF(Case_Scenario="Bull",AA221,IF(Case_Scenario="Base",AA222,IF(Case_Scenario="bear",AA223,"N/A")))</f>
        <v>1.25</v>
      </c>
      <c r="AB220" s="334">
        <f ca="1">IF(Case_Scenario="Bull",AB221,IF(Case_Scenario="Base",AB222,IF(Case_Scenario="bear",AB223,"N/A")))</f>
        <v>1.25</v>
      </c>
      <c r="AC220" s="334">
        <f ca="1">IF(Case_Scenario="Bull",AC221,IF(Case_Scenario="Base",AC222,IF(Case_Scenario="bear",AC223,"N/A")))</f>
        <v>1.25</v>
      </c>
      <c r="AD220" s="333">
        <f ca="1">AVERAGE(Z220:AC220)</f>
        <v>1.25</v>
      </c>
      <c r="AE220" s="333">
        <f ca="1">IF(Case_Scenario="Bull",AE221,IF(Case_Scenario="Base",AE222,IF(Case_Scenario="bear",AE223,"N/A")))</f>
        <v>1.25</v>
      </c>
      <c r="AF220" s="333">
        <f ca="1">IF(Case_Scenario="Bull",AF221,IF(Case_Scenario="Base",AF222,IF(Case_Scenario="bear",AF223,"N/A")))</f>
        <v>1.25</v>
      </c>
      <c r="AG220" s="333">
        <f ca="1">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 ca="1">C47</f>
        <v>Segment 6 Revenue</v>
      </c>
      <c r="D225" s="16"/>
      <c r="E225" s="16"/>
      <c r="F225" s="317">
        <f t="shared" ref="F225:W225" si="241" ca="1">F47</f>
        <v>1e-12</v>
      </c>
      <c r="G225" s="317">
        <f ca="1">G47</f>
        <v>1e-12</v>
      </c>
      <c r="H225" s="317">
        <f ca="1">H47</f>
        <v>1e-12</v>
      </c>
      <c r="I225" s="317">
        <f ca="1">I47</f>
        <v>1e-12</v>
      </c>
      <c r="J225" s="287">
        <f ca="1">J47</f>
        <v>1e-12</v>
      </c>
      <c r="K225" s="317">
        <f ca="1">K47</f>
        <v>1e-12</v>
      </c>
      <c r="L225" s="317">
        <f ca="1">L47</f>
        <v>1e-12</v>
      </c>
      <c r="M225" s="317">
        <f ca="1">M47</f>
        <v>1e-12</v>
      </c>
      <c r="N225" s="317">
        <f ca="1">N47</f>
        <v>1e-12</v>
      </c>
      <c r="O225" s="287">
        <f ca="1">O47</f>
        <v>1e-12</v>
      </c>
      <c r="P225" s="317">
        <f ca="1">P47</f>
        <v>1e-12</v>
      </c>
      <c r="Q225" s="317">
        <f ca="1">Q47</f>
        <v>1e-12</v>
      </c>
      <c r="R225" s="317">
        <f ca="1">R47</f>
        <v>1e-12</v>
      </c>
      <c r="S225" s="317">
        <f ca="1">S47</f>
        <v>1e-12</v>
      </c>
      <c r="T225" s="287">
        <f ca="1">T47</f>
        <v>1e-12</v>
      </c>
      <c r="U225" s="317">
        <f ca="1">U47</f>
        <v>1e-12</v>
      </c>
      <c r="V225" s="317">
        <f ca="1">V47</f>
        <v>1e-12</v>
      </c>
      <c r="W225" s="317">
        <f ca="1">W47</f>
        <v>1e-12</v>
      </c>
      <c r="X225" s="286">
        <f ca="1">X227/X232</f>
        <v>1e-12</v>
      </c>
      <c r="Y225" s="287">
        <f ca="1">SUM(U225:X225)</f>
        <v>1e-12</v>
      </c>
      <c r="Z225" s="286">
        <f t="shared" ref="Z225:AC225" si="242" ca="1">Z227/Z232</f>
        <v>1e-12</v>
      </c>
      <c r="AA225" s="286">
        <f ca="1">AA227/AA232</f>
        <v>1e-12</v>
      </c>
      <c r="AB225" s="286">
        <f ca="1">AB227/AB232</f>
        <v>1e-12</v>
      </c>
      <c r="AC225" s="286">
        <f ca="1">AC227/AC232</f>
        <v>1e-12</v>
      </c>
      <c r="AD225" s="287">
        <f ca="1">SUM(Z225:AC225)</f>
        <v>1e-12</v>
      </c>
      <c r="AE225" s="287">
        <f t="shared" ref="AE225:AG225" si="243" ca="1">AE227/AE232</f>
        <v>1e-12</v>
      </c>
      <c r="AF225" s="287">
        <f ca="1">AF227/AF232</f>
        <v>1e-12</v>
      </c>
      <c r="AG225" s="287">
        <f ca="1">AG227/AG232</f>
        <v>1e-12</v>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 ca="1">W226+X227-X225</f>
        <v>1e-12</v>
      </c>
      <c r="Y226" s="326">
        <f ca="1">T226+Y227-Y225</f>
        <v>1e-12</v>
      </c>
      <c r="Z226" s="327">
        <f ca="1">X226+Z227-Z225</f>
        <v>1e-12</v>
      </c>
      <c r="AA226" s="327">
        <f t="shared" ref="AA226:AC226" si="244" ca="1">Z226+AA227-AA225</f>
        <v>1e-12</v>
      </c>
      <c r="AB226" s="327">
        <f ca="1">AA226+AB227-AB225</f>
        <v>1e-12</v>
      </c>
      <c r="AC226" s="327">
        <f ca="1">AB226+AC227-AC225</f>
        <v>1e-12</v>
      </c>
      <c r="AD226" s="326">
        <f ca="1">Y226+AD227-AD225</f>
        <v>1e-12</v>
      </c>
      <c r="AE226" s="326">
        <f t="shared" ref="AE226:AG226" si="245" ca="1">AD226+AE227-AE225</f>
        <v>1e-12</v>
      </c>
      <c r="AF226" s="326">
        <f ca="1">AE226+AF227-AF225</f>
        <v>1e-12</v>
      </c>
      <c r="AG226" s="326">
        <f ca="1">AF226+AG227-AG225</f>
        <v>1e-12</v>
      </c>
      <c r="AH226" s="16"/>
      <c r="AI226" s="16"/>
      <c r="AJ226" s="16"/>
    </row>
    <row r="227" ht="12.75" customHeight="1" hidden="1" spans="1:36" x14ac:dyDescent="0.25" outlineLevel="1" collapsed="1">
      <c r="A227" s="16"/>
      <c r="B227" s="16"/>
      <c r="C227" s="139" t="s">
        <v>259</v>
      </c>
      <c r="D227" s="16"/>
      <c r="E227" s="16"/>
      <c r="F227" s="325">
        <f ca="1">F226+F225-(0)</f>
        <v>1e-12</v>
      </c>
      <c r="G227" s="325">
        <f t="shared" ref="G227:I227" si="246" ca="1">G226+G225-F226</f>
        <v>1e-12</v>
      </c>
      <c r="H227" s="325">
        <f ca="1">H226+H225-G226</f>
        <v>1e-12</v>
      </c>
      <c r="I227" s="325">
        <f ca="1">I226+I225-H226</f>
        <v>1e-12</v>
      </c>
      <c r="J227" s="326">
        <f ca="1">SUM(F227:I227)</f>
        <v>1e-12</v>
      </c>
      <c r="K227" s="325">
        <f t="shared" ref="K227:N227" si="247" ca="1">K226+K225-J226</f>
        <v>1e-12</v>
      </c>
      <c r="L227" s="325">
        <f ca="1">L226+L225-K226</f>
        <v>1e-12</v>
      </c>
      <c r="M227" s="325">
        <f ca="1">M226+M225-L226</f>
        <v>1e-12</v>
      </c>
      <c r="N227" s="325">
        <f ca="1">N226+N225-M226</f>
        <v>1e-12</v>
      </c>
      <c r="O227" s="326">
        <f ca="1">SUM(K227:N227)</f>
        <v>1e-12</v>
      </c>
      <c r="P227" s="325">
        <f t="shared" ref="P227:S227" si="248" ca="1">P226+P225-O226</f>
        <v>1e-12</v>
      </c>
      <c r="Q227" s="325">
        <f ca="1">Q226+Q225-P226</f>
        <v>1e-12</v>
      </c>
      <c r="R227" s="325">
        <f ca="1">R226+R225-Q226</f>
        <v>1e-12</v>
      </c>
      <c r="S227" s="325">
        <f ca="1">S226+S225-R226</f>
        <v>1e-12</v>
      </c>
      <c r="T227" s="326">
        <f ca="1">SUM(P227:S227)</f>
        <v>1e-12</v>
      </c>
      <c r="U227" s="325">
        <f t="shared" ref="U227:W227" si="249" ca="1">U226+U225-T226</f>
        <v>1e-12</v>
      </c>
      <c r="V227" s="325">
        <f ca="1">V226+V225-U226</f>
        <v>1e-12</v>
      </c>
      <c r="W227" s="325">
        <f ca="1">W226+W225-V226</f>
        <v>1e-12</v>
      </c>
      <c r="X227" s="327">
        <f ca="1">W227*(1+X228)</f>
        <v>1e-12</v>
      </c>
      <c r="Y227" s="326">
        <f ca="1">SUM(U227:X227)</f>
        <v>1e-12</v>
      </c>
      <c r="Z227" s="327">
        <f ca="1">X227*(1+Z228)</f>
        <v>1e-12</v>
      </c>
      <c r="AA227" s="327">
        <f t="shared" ref="AA227:AC227" si="250" ca="1">Z227*(1+AA228)</f>
        <v>1e-12</v>
      </c>
      <c r="AB227" s="327">
        <f ca="1">AA227*(1+AB228)</f>
        <v>1e-12</v>
      </c>
      <c r="AC227" s="327">
        <f ca="1">AB227*(1+AC228)</f>
        <v>1e-12</v>
      </c>
      <c r="AD227" s="326">
        <f ca="1">SUM(Z227:AC227)</f>
        <v>1e-12</v>
      </c>
      <c r="AE227" s="326">
        <f t="shared" ref="AE227:AG227" si="251" ca="1">AD227*(1+AE228)</f>
        <v>1e-12</v>
      </c>
      <c r="AF227" s="326">
        <f ca="1">AE227*(1+AF228)</f>
        <v>1e-12</v>
      </c>
      <c r="AG227" s="326">
        <f ca="1">AF227*(1+AG228)</f>
        <v>1e-12</v>
      </c>
      <c r="AH227" s="16"/>
      <c r="AI227" s="16"/>
      <c r="AJ227" s="16"/>
    </row>
    <row r="228" ht="12.75" customHeight="1" hidden="1" spans="1:36" x14ac:dyDescent="0.25" outlineLevel="1" collapsed="1">
      <c r="A228" s="16"/>
      <c r="B228" s="16"/>
      <c r="C228" s="120" t="s">
        <v>260</v>
      </c>
      <c r="D228" s="16"/>
      <c r="E228" s="16"/>
      <c r="F228" s="319"/>
      <c r="G228" s="318" t="str">
        <f t="shared" ref="G228:I228" si="252" ca="1">IFERROR(G227/F227-1,"--")</f>
        <v>--</v>
      </c>
      <c r="H228" s="318" t="str">
        <f ca="1">IFERROR(H227/G227-1,"--")</f>
        <v>--</v>
      </c>
      <c r="I228" s="318" t="str">
        <f ca="1">IFERROR(I227/H227-1,"--")</f>
        <v>--</v>
      </c>
      <c r="J228" s="168"/>
      <c r="K228" s="318" t="str">
        <f ca="1">IFERROR(K227/I227-1,"--")</f>
        <v>--</v>
      </c>
      <c r="L228" s="318" t="str">
        <f t="shared" ref="L228:N228" si="253" ca="1">IFERROR(L227/K227-1,"--")</f>
        <v>--</v>
      </c>
      <c r="M228" s="318" t="str">
        <f ca="1">IFERROR(M227/L227-1,"--")</f>
        <v>--</v>
      </c>
      <c r="N228" s="318" t="str">
        <f ca="1">IFERROR(N227/M227-1,"--")</f>
        <v>--</v>
      </c>
      <c r="O228" s="306" t="str">
        <f ca="1">IFERROR(O227/J227-1,"--")</f>
        <v>--</v>
      </c>
      <c r="P228" s="318" t="str">
        <f ca="1">IFERROR(P227/N227-1,"--")</f>
        <v>--</v>
      </c>
      <c r="Q228" s="318" t="str">
        <f t="shared" ref="Q228:S228" si="254" ca="1">IFERROR(Q227/P227-1,"--")</f>
        <v>--</v>
      </c>
      <c r="R228" s="318" t="str">
        <f ca="1">IFERROR(R227/Q227-1,"--")</f>
        <v>--</v>
      </c>
      <c r="S228" s="318" t="str">
        <f ca="1">IFERROR(S227/R227-1,"--")</f>
        <v>--</v>
      </c>
      <c r="T228" s="306" t="str">
        <f ca="1">IFERROR(T227/O227-1,"--")</f>
        <v>--</v>
      </c>
      <c r="U228" s="318" t="str">
        <f ca="1">IFERROR(U227/S227-1,"--")</f>
        <v>--</v>
      </c>
      <c r="V228" s="318" t="str">
        <f t="shared" ref="V228:W228" si="255" ca="1">IFERROR(V227/U227-1,"--")</f>
        <v>--</v>
      </c>
      <c r="W228" s="318" t="str">
        <f ca="1">IFERROR(W227/V227-1,"--")</f>
        <v>--</v>
      </c>
      <c r="X228" s="305">
        <f ca="1">IF(Case_Scenario="Bull",X229,IF(Case_Scenario="Base",X230,IF(Case_Scenario="bear",X231,"N/A")))</f>
        <v>0.05</v>
      </c>
      <c r="Y228" s="306"/>
      <c r="Z228" s="305">
        <f ca="1">IF(Case_Scenario="Bull",Z229,IF(Case_Scenario="Base",Z230,IF(Case_Scenario="bear",Z231,"N/A")))</f>
        <v>0.05</v>
      </c>
      <c r="AA228" s="305">
        <f ca="1">IF(Case_Scenario="Bull",AA229,IF(Case_Scenario="Base",AA230,IF(Case_Scenario="bear",AA231,"N/A")))</f>
        <v>0.05</v>
      </c>
      <c r="AB228" s="305">
        <f ca="1">IF(Case_Scenario="Bull",AB229,IF(Case_Scenario="Base",AB230,IF(Case_Scenario="bear",AB231,"N/A")))</f>
        <v>0.05</v>
      </c>
      <c r="AC228" s="305">
        <f ca="1">IF(Case_Scenario="Bull",AC229,IF(Case_Scenario="Base",AC230,IF(Case_Scenario="bear",AC231,"N/A")))</f>
        <v>0.05</v>
      </c>
      <c r="AD228" s="306"/>
      <c r="AE228" s="306">
        <f ca="1">IF(Case_Scenario="Bull",AE229,IF(Case_Scenario="Base",AE230,IF(Case_Scenario="bear",AE231,"N/A")))</f>
        <v>0.05</v>
      </c>
      <c r="AF228" s="306">
        <f ca="1">IF(Case_Scenario="Bull",AF229,IF(Case_Scenario="Base",AF230,IF(Case_Scenario="bear",AF231,"N/A")))</f>
        <v>0.05</v>
      </c>
      <c r="AG228" s="306">
        <f ca="1">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f ca="1">F227/F225</f>
      </c>
      <c r="G232" s="339">
        <f ca="1">G227/G225</f>
      </c>
      <c r="H232" s="339">
        <f ca="1">H227/H225</f>
      </c>
      <c r="I232" s="339">
        <f ca="1">I227/I225</f>
      </c>
      <c r="J232" s="340">
        <f ca="1">J227/J225</f>
      </c>
      <c r="K232" s="339">
        <f ca="1">K227/K225</f>
      </c>
      <c r="L232" s="339">
        <f ca="1">L227/L225</f>
      </c>
      <c r="M232" s="339">
        <f ca="1">M227/M225</f>
      </c>
      <c r="N232" s="339">
        <f ca="1">N227/N225</f>
      </c>
      <c r="O232" s="340">
        <f ca="1">O227/O225</f>
      </c>
      <c r="P232" s="339">
        <f ca="1">P227/P225</f>
      </c>
      <c r="Q232" s="339">
        <f ca="1">Q227/Q225</f>
      </c>
      <c r="R232" s="339">
        <f ca="1">R227/R225</f>
      </c>
      <c r="S232" s="339">
        <f ca="1">S227/S225</f>
      </c>
      <c r="T232" s="340">
        <f ca="1">T227/T225</f>
      </c>
      <c r="U232" s="339">
        <f ca="1">U227/U225</f>
      </c>
      <c r="V232" s="339">
        <f ca="1">V227/V225</f>
      </c>
      <c r="W232" s="339">
        <f ca="1">W227/W225</f>
      </c>
      <c r="X232" s="334">
        <f ca="1">IF(Case_Scenario="Bull",X233,IF(Case_Scenario="Base",X234,IF(Case_Scenario="bear",X235,"N/A")))</f>
        <v>1.25</v>
      </c>
      <c r="Y232" s="333">
        <f ca="1">AVERAGE(U232:X232)</f>
      </c>
      <c r="Z232" s="334">
        <f ca="1">IF(Case_Scenario="Bull",Z233,IF(Case_Scenario="Base",Z234,IF(Case_Scenario="bear",Z235,"N/A")))</f>
        <v>1.25</v>
      </c>
      <c r="AA232" s="334">
        <f ca="1">IF(Case_Scenario="Bull",AA233,IF(Case_Scenario="Base",AA234,IF(Case_Scenario="bear",AA235,"N/A")))</f>
        <v>1.25</v>
      </c>
      <c r="AB232" s="334">
        <f ca="1">IF(Case_Scenario="Bull",AB233,IF(Case_Scenario="Base",AB234,IF(Case_Scenario="bear",AB235,"N/A")))</f>
        <v>1.25</v>
      </c>
      <c r="AC232" s="334">
        <f ca="1">IF(Case_Scenario="Bull",AC233,IF(Case_Scenario="Base",AC234,IF(Case_Scenario="bear",AC235,"N/A")))</f>
        <v>1.25</v>
      </c>
      <c r="AD232" s="333">
        <f ca="1">AVERAGE(Z232:AC232)</f>
        <v>1.25</v>
      </c>
      <c r="AE232" s="333">
        <f ca="1">IF(Case_Scenario="Bull",AE233,IF(Case_Scenario="Base",AE234,IF(Case_Scenario="bear",AE235,"N/A")))</f>
        <v>1.25</v>
      </c>
      <c r="AF232" s="333">
        <f ca="1">IF(Case_Scenario="Bull",AF233,IF(Case_Scenario="Base",AF234,IF(Case_Scenario="bear",AF235,"N/A")))</f>
        <v>1.25</v>
      </c>
      <c r="AG232" s="333">
        <f ca="1">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 ca="1">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 ca="1">$C$25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 ca="1">$C$73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 ca="1">$C$118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 ca="1">$C$160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 ca="1">$C$190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 ca="1">$C$204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 ca="1">$C$216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 ca="1">$C$234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 ca="1">$C$275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 ca="1">$C$286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 ca="1">G24</f>
        <v>2023</v>
      </c>
      <c r="G24" s="16">
        <f ca="1">H24</f>
        <v>2023</v>
      </c>
      <c r="H24" s="16">
        <f ca="1">I24</f>
        <v>2023</v>
      </c>
      <c r="I24" s="16">
        <f ca="1">J24</f>
        <v>2023</v>
      </c>
      <c r="J24" s="16">
        <f ca="1">O24-1</f>
        <v>2023</v>
      </c>
      <c r="K24" s="16">
        <f t="shared" ref="K24:N24" si="1" ca="1">L24</f>
        <v>2024</v>
      </c>
      <c r="L24" s="16">
        <f ca="1">M24</f>
        <v>2024</v>
      </c>
      <c r="M24" s="16">
        <f ca="1">N24</f>
        <v>2024</v>
      </c>
      <c r="N24" s="16">
        <f ca="1">O24</f>
        <v>2024</v>
      </c>
      <c r="O24" s="16">
        <f ca="1">T24-1</f>
        <v>2024</v>
      </c>
      <c r="P24" s="16">
        <f t="shared" ref="P24:S24" si="2" ca="1">Q24</f>
        <v>2025</v>
      </c>
      <c r="Q24" s="16">
        <f ca="1">R24</f>
        <v>2025</v>
      </c>
      <c r="R24" s="16">
        <f ca="1">S24</f>
        <v>2025</v>
      </c>
      <c r="S24" s="16">
        <f ca="1">T24</f>
        <v>2025</v>
      </c>
      <c r="T24" s="16">
        <f ca="1">YEAR(Last_FYE)</f>
        <v>2025</v>
      </c>
      <c r="U24" s="16">
        <f t="shared" ref="U24:X24" si="3" ca="1">V24</f>
        <v>2026</v>
      </c>
      <c r="V24" s="16">
        <f ca="1">W24</f>
        <v>2026</v>
      </c>
      <c r="W24" s="16">
        <f ca="1">X24</f>
        <v>2026</v>
      </c>
      <c r="X24" s="16">
        <f ca="1">Y24</f>
        <v>2026</v>
      </c>
      <c r="Y24" s="16">
        <f ca="1">T24+1</f>
        <v>2026</v>
      </c>
      <c r="Z24" s="16">
        <f t="shared" ref="Z24:AC24" si="4" ca="1">AA24</f>
        <v>2027</v>
      </c>
      <c r="AA24" s="16">
        <f ca="1">AB24</f>
        <v>2027</v>
      </c>
      <c r="AB24" s="16">
        <f ca="1">AC24</f>
        <v>2027</v>
      </c>
      <c r="AC24" s="16">
        <f ca="1">AD24</f>
        <v>2027</v>
      </c>
      <c r="AD24" s="16">
        <f ca="1">Y24+1</f>
        <v>2027</v>
      </c>
      <c r="AE24" s="16">
        <f t="shared" ref="AE24:AG24" si="5" ca="1">AD24+1</f>
        <v>2028</v>
      </c>
      <c r="AF24" s="16">
        <f ca="1">AE24+1</f>
        <v>2029</v>
      </c>
      <c r="AG24" s="16">
        <f ca="1">AF24+1</f>
        <v>2030</v>
      </c>
      <c r="AH24" s="16"/>
      <c r="AI24" s="16"/>
      <c r="AJ24" s="16"/>
      <c r="AK24" s="16"/>
    </row>
    <row r="25" ht="13.5" customHeight="1" spans="1:37" x14ac:dyDescent="0.25">
      <c r="A25" s="264" t="s">
        <v>1</v>
      </c>
      <c r="B25" s="16"/>
      <c r="C25" s="350" t="s">
        <v>266</v>
      </c>
      <c r="D25" s="194"/>
      <c r="E25" s="194"/>
      <c r="F25" s="194" t="str">
        <f ca="1">"1Q"&amp;RIGHT(F24,2)</f>
        <v>1Q23</v>
      </c>
      <c r="G25" s="194" t="str">
        <f ca="1">"2Q"&amp;RIGHT(G24,2)</f>
        <v>2Q23</v>
      </c>
      <c r="H25" s="194" t="str">
        <f ca="1">"3Q"&amp;RIGHT(H24,2)</f>
        <v>3Q23</v>
      </c>
      <c r="I25" s="194" t="str">
        <f ca="1">"4Q"&amp;RIGHT(I24,2)</f>
        <v>4Q23</v>
      </c>
      <c r="J25" s="194">
        <f ca="1">J24</f>
        <v>2023</v>
      </c>
      <c r="K25" s="194" t="str">
        <f ca="1">"1Q"&amp;RIGHT(K24,2)</f>
        <v>1Q24</v>
      </c>
      <c r="L25" s="194" t="str">
        <f ca="1">"2Q"&amp;RIGHT(L24,2)</f>
        <v>2Q24</v>
      </c>
      <c r="M25" s="194" t="str">
        <f ca="1">"3Q"&amp;RIGHT(M24,2)</f>
        <v>3Q24</v>
      </c>
      <c r="N25" s="194" t="str">
        <f ca="1">"4Q"&amp;RIGHT(N24,2)</f>
        <v>4Q24</v>
      </c>
      <c r="O25" s="194">
        <f ca="1">O24</f>
        <v>2024</v>
      </c>
      <c r="P25" s="194" t="str">
        <f ca="1">"1Q"&amp;RIGHT(P24,2)</f>
        <v>1Q25</v>
      </c>
      <c r="Q25" s="194" t="str">
        <f ca="1">"2Q"&amp;RIGHT(Q24,2)</f>
        <v>2Q25</v>
      </c>
      <c r="R25" s="194" t="str">
        <f ca="1">"3Q"&amp;RIGHT(R24,2)</f>
        <v>3Q25</v>
      </c>
      <c r="S25" s="194" t="str">
        <f ca="1">"4Q"&amp;RIGHT(S24,2)</f>
        <v>4Q25</v>
      </c>
      <c r="T25" s="194">
        <f ca="1">T24</f>
        <v>2025</v>
      </c>
      <c r="U25" s="351" t="str">
        <f ca="1">IF(Last_FQR="4Q","1Q"&amp;RIGHT(U24,2)&amp;"e","1Q"&amp;RIGHT(U24,2))</f>
        <v>1Q26</v>
      </c>
      <c r="V25" s="351" t="str">
        <f ca="1">IF(Last_FQR="4Q","2Q"&amp;RIGHT(W24,2)&amp;"e",IF(Last_FQR="1Q","2Q"&amp;RIGHT(W24,2)&amp;"e","2Q"&amp;RIGHT(W24,2)))</f>
        <v>2Q26</v>
      </c>
      <c r="W25" s="351" t="str">
        <f ca="1">IF(Last_FQR="4Q","3Q"&amp;RIGHT(W24,2)&amp;"e",IF(Last_FQR="1Q","3Q"&amp;RIGHT(W24,2)&amp;"e",IF(Last_FQR="2Q","3Q"&amp;RIGHT(W24,2)&amp;"e","3Q"&amp;RIGHT(W24,2))))</f>
        <v>3Q26e</v>
      </c>
      <c r="X25" s="351" t="str">
        <f ca="1">"4Q"&amp;RIGHT(U24,2)&amp;"e"</f>
        <v>4Q26e</v>
      </c>
      <c r="Y25" s="194" t="str">
        <f ca="1">Y24&amp;"e"</f>
        <v>2026e</v>
      </c>
      <c r="Z25" s="194" t="str">
        <f ca="1">"1Q"&amp;RIGHT(Z24,2)&amp;"e"</f>
        <v>1Q27e</v>
      </c>
      <c r="AA25" s="194" t="str">
        <f ca="1">"2Q"&amp;RIGHT(AA24,2)&amp;"e"</f>
        <v>2Q27e</v>
      </c>
      <c r="AB25" s="194" t="str">
        <f ca="1">"3Q"&amp;RIGHT(AB24,2)&amp;"e"</f>
        <v>3Q27e</v>
      </c>
      <c r="AC25" s="194" t="str">
        <f ca="1">"4Q"&amp;RIGHT(AC24,2)&amp;"e"</f>
        <v>4Q27e</v>
      </c>
      <c r="AD25" s="194" t="str">
        <f t="shared" ref="AD25:AG25" si="6" ca="1">AD24&amp;"e"</f>
        <v>2027e</v>
      </c>
      <c r="AE25" s="194" t="str">
        <f ca="1">AE24&amp;"e"</f>
        <v>2028e</v>
      </c>
      <c r="AF25" s="194" t="str">
        <f ca="1">AF24&amp;"e"</f>
        <v>2029e</v>
      </c>
      <c r="AG25" s="352" t="str">
        <f ca="1">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 ca="1">SUM(F26:I26)</f>
        <v>366</v>
      </c>
      <c r="K26" s="201">
        <v>90</v>
      </c>
      <c r="L26" s="201">
        <v>91</v>
      </c>
      <c r="M26" s="201">
        <v>92</v>
      </c>
      <c r="N26" s="201">
        <v>92</v>
      </c>
      <c r="O26" s="201">
        <f ca="1">SUM(K26:N26)</f>
        <v>365</v>
      </c>
      <c r="P26" s="201">
        <v>90</v>
      </c>
      <c r="Q26" s="201">
        <v>91</v>
      </c>
      <c r="R26" s="201">
        <v>92</v>
      </c>
      <c r="S26" s="201">
        <v>92</v>
      </c>
      <c r="T26" s="201">
        <f ca="1">SUM(P26:S26)</f>
        <v>365</v>
      </c>
      <c r="U26" s="201">
        <v>90</v>
      </c>
      <c r="V26" s="201">
        <v>91</v>
      </c>
      <c r="W26" s="201">
        <v>92</v>
      </c>
      <c r="X26" s="201">
        <v>92</v>
      </c>
      <c r="Y26" s="201">
        <f ca="1">SUM(U26:X26)</f>
        <v>365</v>
      </c>
      <c r="Z26" s="201">
        <v>91</v>
      </c>
      <c r="AA26" s="201">
        <v>91</v>
      </c>
      <c r="AB26" s="201">
        <v>92</v>
      </c>
      <c r="AC26" s="201">
        <v>92</v>
      </c>
      <c r="AD26" s="201">
        <f ca="1">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 ca="1">'Segment Analysis'!F7</f>
        <v>69787</v>
      </c>
      <c r="G28" s="353">
        <f ca="1">'Segment Analysis'!G7</f>
        <v>74604</v>
      </c>
      <c r="H28" s="353">
        <f ca="1">'Segment Analysis'!H7</f>
        <v>76693</v>
      </c>
      <c r="I28" s="353">
        <f ca="1">'Segment Analysis'!I7</f>
        <v>86310</v>
      </c>
      <c r="J28" s="282">
        <f ca="1">SUM(F28:I28)</f>
        <v>307394</v>
      </c>
      <c r="K28" s="353">
        <f ca="1">'Segment Analysis'!K7</f>
        <v>80539</v>
      </c>
      <c r="L28" s="353">
        <f ca="1">'Segment Analysis'!L7</f>
        <v>84742</v>
      </c>
      <c r="M28" s="353">
        <f ca="1">'Segment Analysis'!M7</f>
        <v>88268</v>
      </c>
      <c r="N28" s="353">
        <f ca="1">'Segment Analysis'!N7</f>
        <v>96469</v>
      </c>
      <c r="O28" s="282">
        <f ca="1">SUM(K28:N28)</f>
        <v>350018</v>
      </c>
      <c r="P28" s="353">
        <f ca="1">'Segment Analysis'!P7</f>
        <v>90234</v>
      </c>
      <c r="Q28" s="353">
        <f ca="1">'Segment Analysis'!Q7</f>
        <v>96428</v>
      </c>
      <c r="R28" s="353">
        <f ca="1">'Segment Analysis'!R7</f>
        <v>102346</v>
      </c>
      <c r="S28" s="353">
        <f ca="1">'Segment Analysis'!S7</f>
        <v>113829</v>
      </c>
      <c r="T28" s="282">
        <f ca="1">SUM(P28:S28)</f>
        <v>402837</v>
      </c>
      <c r="U28" s="353">
        <f ca="1">'Segment Analysis'!U7</f>
        <v>109896</v>
      </c>
      <c r="V28" s="353">
        <f ca="1">'Segment Analysis'!V7</f>
        <v>27570</v>
      </c>
      <c r="W28" s="353">
        <f ca="1">'Segment Analysis'!W7</f>
        <v>22918</v>
      </c>
      <c r="X28" s="281">
        <f ca="1">'Segment Analysis'!X7</f>
        <v>21772.1</v>
      </c>
      <c r="Y28" s="282">
        <f t="shared" ref="Y28:Y30" si="7" ca="1">SUM(U28:X28)</f>
        <v>96682.1</v>
      </c>
      <c r="Z28" s="281">
        <f ca="1">'Segment Analysis'!Z7</f>
        <v>25691.077999999998</v>
      </c>
      <c r="AA28" s="281">
        <f ca="1">'Segment Analysis'!AA7</f>
        <v>29287.82892</v>
      </c>
      <c r="AB28" s="281">
        <f ca="1">'Segment Analysis'!AB7</f>
        <v>25773.2894496</v>
      </c>
      <c r="AC28" s="281">
        <f ca="1">'Segment Analysis'!AC7</f>
        <v>24484.62497712</v>
      </c>
      <c r="AD28" s="282">
        <f t="shared" ref="AD28:AD30" si="8" ca="1">SUM(Z28:AC28)</f>
        <v>105236.82134671998</v>
      </c>
      <c r="AE28" s="282">
        <f ca="1">'Segment Analysis'!AE7</f>
        <v>107341.55777365438</v>
      </c>
      <c r="AF28" s="282">
        <f ca="1">'Segment Analysis'!AF7</f>
        <v>109488.38892912747</v>
      </c>
      <c r="AG28" s="282">
        <f ca="1">'Segment Analysis'!AG7</f>
        <v>111678.15670771002</v>
      </c>
      <c r="AH28" s="16"/>
      <c r="AI28" s="16"/>
      <c r="AJ28" s="16"/>
      <c r="AK28" s="16"/>
    </row>
    <row r="29" ht="13.5" customHeight="1" spans="1:37" x14ac:dyDescent="0.25">
      <c r="A29" s="264"/>
      <c r="B29" s="16"/>
      <c r="C29" s="139" t="s">
        <v>269</v>
      </c>
      <c r="D29" s="16"/>
      <c r="E29" s="16"/>
      <c r="F29" s="354">
        <v>-30612</v>
      </c>
      <c r="G29" s="354">
        <v>-31916</v>
      </c>
      <c r="H29" s="354">
        <v>-33229</v>
      </c>
      <c r="I29" s="354">
        <f ca="1">-133332-SUM(F29:H29)</f>
        <v>-37575</v>
      </c>
      <c r="J29" s="355">
        <f ca="1">SUM(F29:I29)</f>
        <v>-133332</v>
      </c>
      <c r="K29" s="354">
        <v>-33712</v>
      </c>
      <c r="L29" s="354">
        <v>-35507</v>
      </c>
      <c r="M29" s="354">
        <v>-36474</v>
      </c>
      <c r="N29" s="354">
        <v>-40613</v>
      </c>
      <c r="O29" s="355">
        <f ca="1">SUM(K29:N29)</f>
        <v>-146306</v>
      </c>
      <c r="P29" s="354">
        <v>-36361</v>
      </c>
      <c r="Q29" s="354">
        <v>-39039</v>
      </c>
      <c r="R29" s="354">
        <v>-41369</v>
      </c>
      <c r="S29" s="354">
        <v>-45767</v>
      </c>
      <c r="T29" s="355">
        <f ca="1">SUM(P29:S29)</f>
        <v>-162536</v>
      </c>
      <c r="U29" s="354">
        <v>-41271</v>
      </c>
      <c r="V29" s="354">
        <f ca="1">-18258</f>
        <v>-18258</v>
      </c>
      <c r="W29" s="354">
        <v>-15331</v>
      </c>
      <c r="X29" s="356">
        <f ca="1">IF(Cover!$F$37="Bottom Up",(X30-X28),(-X28*(1-X66)))</f>
        <v>-18941.727</v>
      </c>
      <c r="Y29" s="355">
        <f ca="1">SUM(U29:X29)</f>
        <v>-68822.727</v>
      </c>
      <c r="Z29" s="356">
        <f ca="1">IF(Cover!$F$37="Bottom Up",(Z30-Z28),(-Z28*(1-Z66)))</f>
        <v>-22094.32708</v>
      </c>
      <c r="AA29" s="356">
        <f ca="1">IF(Cover!$F$37="Bottom Up",(AA30-AA28),(-AA28*(1-AA66)))</f>
        <v>-25041.0937266</v>
      </c>
      <c r="AB29" s="356">
        <f ca="1">IF(Cover!$F$37="Bottom Up",(AB30-AB28),(-AB28*(1-AB66)))</f>
        <v>-22680.494715648</v>
      </c>
      <c r="AC29" s="356">
        <f ca="1">IF(Cover!$F$37="Bottom Up",(AC30-AC28),(-AC28*(1-AC66)))</f>
        <v>-21179.2006052088</v>
      </c>
      <c r="AD29" s="355">
        <f ca="1">SUM(Z29:AC29)</f>
        <v>-90995.1161274568</v>
      </c>
      <c r="AE29" s="355">
        <f ca="1">IF(Cover!$F$37="Bottom Up",(AE30-AE28),(-AE28*(1-AE66)))</f>
        <v>-92421.08124311642</v>
      </c>
      <c r="AF29" s="355">
        <f ca="1">IF(Cover!$F$37="Bottom Up",(AF30-AF28),(-AF28*(1-AF66)))</f>
        <v>-94160.01447904963</v>
      </c>
      <c r="AG29" s="355">
        <f ca="1">IF(Cover!$F$37="Bottom Up",(AG30-AG28),(-AG28*(1-AG66)))</f>
        <v>-95819.85845521519</v>
      </c>
      <c r="AH29" s="16"/>
      <c r="AI29" s="16"/>
      <c r="AJ29" s="16"/>
      <c r="AK29" s="16"/>
    </row>
    <row r="30" ht="13.5" customHeight="1" spans="1:37" x14ac:dyDescent="0.25">
      <c r="A30" s="264"/>
      <c r="B30" s="16"/>
      <c r="C30" s="139" t="s">
        <v>270</v>
      </c>
      <c r="D30" s="16"/>
      <c r="E30" s="16"/>
      <c r="F30" s="353">
        <f ca="1">SUM(F28:F29)</f>
        <v>39175</v>
      </c>
      <c r="G30" s="353">
        <f ca="1">SUM(G28:G29)</f>
        <v>42688</v>
      </c>
      <c r="H30" s="353">
        <f ca="1">SUM(H28:H29)</f>
        <v>43464</v>
      </c>
      <c r="I30" s="353">
        <f ca="1">SUM(I28:I29)</f>
        <v>48735</v>
      </c>
      <c r="J30" s="282">
        <f ca="1">SUM(F30:I30)</f>
        <v>174062</v>
      </c>
      <c r="K30" s="353">
        <f ca="1">SUM(K28:K29)</f>
        <v>46827</v>
      </c>
      <c r="L30" s="353">
        <f ca="1">SUM(L28:L29)</f>
        <v>49235</v>
      </c>
      <c r="M30" s="353">
        <f ca="1">SUM(M28:M29)</f>
        <v>51794</v>
      </c>
      <c r="N30" s="353">
        <f ca="1">SUM(N28:N29)</f>
        <v>55856</v>
      </c>
      <c r="O30" s="282">
        <f ca="1">SUM(K30:N30)</f>
        <v>203712</v>
      </c>
      <c r="P30" s="353">
        <f ca="1">SUM(P28:P29)</f>
        <v>53873</v>
      </c>
      <c r="Q30" s="353">
        <f ca="1">SUM(Q28:Q29)</f>
        <v>57389</v>
      </c>
      <c r="R30" s="353">
        <f ca="1">SUM(R28:R29)</f>
        <v>60977</v>
      </c>
      <c r="S30" s="353">
        <f ca="1">SUM(S28:S29)</f>
        <v>68062</v>
      </c>
      <c r="T30" s="282">
        <f ca="1">SUM(P30:S30)</f>
        <v>240301</v>
      </c>
      <c r="U30" s="353">
        <f ca="1">SUM(U28:U29)</f>
        <v>68625</v>
      </c>
      <c r="V30" s="353">
        <f ca="1">SUM(V28:V29)</f>
        <v>9312</v>
      </c>
      <c r="W30" s="353">
        <f ca="1">SUM(W28:W29)</f>
        <v>7587</v>
      </c>
      <c r="X30" s="281">
        <f ca="1">IF(Cover!$F$37="Bottom Up",(X36-SUM(X32:X33,X35)),X28+X29)</f>
        <v>2830.3729999999996</v>
      </c>
      <c r="Y30" s="282">
        <f ca="1">SUM(U30:X30)</f>
        <v>27859.373</v>
      </c>
      <c r="Z30" s="281">
        <f ca="1">IF(Cover!$F$37="Bottom Up",(Z36-SUM(Z32:Z33,Z35)),Z28+Z29)</f>
        <v>3596.7509199999986</v>
      </c>
      <c r="AA30" s="281">
        <f ca="1">IF(Cover!$F$37="Bottom Up",(AA36-SUM(AA32:AA33,AA35)),AA28+AA29)</f>
        <v>4246.7351934</v>
      </c>
      <c r="AB30" s="281">
        <f ca="1">IF(Cover!$F$37="Bottom Up",(AB36-SUM(AB32:AB33,AB35)),AB28+AB29)</f>
        <v>3092.7947339519997</v>
      </c>
      <c r="AC30" s="281">
        <f ca="1">IF(Cover!$F$37="Bottom Up",(AC36-SUM(AC32:AC33,AC35)),AC28+AC29)</f>
        <v>3305.4243719111983</v>
      </c>
      <c r="AD30" s="282">
        <f ca="1">SUM(Z30:AC30)</f>
        <v>14241.705219263196</v>
      </c>
      <c r="AE30" s="282">
        <f ca="1">IF(Cover!$F$37="Bottom Up",(AE36-SUM(AE32:AE33,AE35)),AE28+AE29)</f>
        <v>14920.476530537955</v>
      </c>
      <c r="AF30" s="282">
        <f ca="1">IF(Cover!$F$37="Bottom Up",(AF36-SUM(AF32:AF33,AF35)),AF28+AF29)</f>
        <v>15328.374450077841</v>
      </c>
      <c r="AG30" s="282">
        <f ca="1">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-10292</v>
      </c>
      <c r="G32" s="358">
        <v>-10262</v>
      </c>
      <c r="H32" s="358">
        <v>-10863</v>
      </c>
      <c r="I32" s="358">
        <f ca="1">-44342-SUM(F32:H32)</f>
        <v>-12925</v>
      </c>
      <c r="J32" s="162">
        <f t="shared" ref="J32:J36" si="9" ca="1">SUM(F32:I32)</f>
        <v>-44342</v>
      </c>
      <c r="K32" s="358">
        <v>-9452</v>
      </c>
      <c r="L32" s="358">
        <v>-9950</v>
      </c>
      <c r="M32" s="358">
        <v>-10826</v>
      </c>
      <c r="N32" s="358">
        <v>-11768</v>
      </c>
      <c r="O32" s="162">
        <f t="shared" ref="O32:O36" si="10" ca="1">SUM(K32:N32)</f>
        <v>-41996</v>
      </c>
      <c r="P32" s="358">
        <v>-9711</v>
      </c>
      <c r="Q32" s="358">
        <v>-12310</v>
      </c>
      <c r="R32" s="358">
        <v>-14598</v>
      </c>
      <c r="S32" s="358">
        <v>-13556</v>
      </c>
      <c r="T32" s="162">
        <f t="shared" ref="T32:T36" si="11" ca="1">SUM(P32:S32)</f>
        <v>-50175</v>
      </c>
      <c r="U32" s="358">
        <v>-11897</v>
      </c>
      <c r="V32" s="358">
        <f ca="1">-4693</f>
        <v>-4693</v>
      </c>
      <c r="W32" s="358">
        <v>-4373</v>
      </c>
      <c r="X32" s="359">
        <f t="shared" ref="X32:X33" si="12" ca="1">X67*X$28</f>
        <v>-4789.862</v>
      </c>
      <c r="Y32" s="162">
        <f t="shared" ref="Y32:Y36" si="13" ca="1">SUM(U32:X32)</f>
        <v>-18349.862</v>
      </c>
      <c r="Z32" s="359">
        <f t="shared" ref="Z32:AC32" si="14" ca="1">Z67*Z$28</f>
        <v>-5780.49255</v>
      </c>
      <c r="AA32" s="359">
        <f ca="1">AA67*AA$28</f>
        <v>-6589.761507</v>
      </c>
      <c r="AB32" s="359">
        <f ca="1">AB67*AB$28</f>
        <v>-5670.123678912</v>
      </c>
      <c r="AC32" s="359">
        <f ca="1">AC67*AC$28</f>
        <v>-5386.6174949664</v>
      </c>
      <c r="AD32" s="162">
        <f t="shared" ref="AD32:AD36" si="15" ca="1">SUM(Z32:AC32)</f>
        <v>-23426.995230878398</v>
      </c>
      <c r="AE32" s="162">
        <f t="shared" ref="AE32:AG32" si="16" ca="1">AE67*AE$28</f>
        <v>-23078.43492133569</v>
      </c>
      <c r="AF32" s="162">
        <f ca="1">AF67*AF$28</f>
        <v>-23102.050064045896</v>
      </c>
      <c r="AG32" s="162">
        <f ca="1">AG67*AG$28</f>
        <v>-23005.700281788264</v>
      </c>
      <c r="AH32" s="16"/>
      <c r="AI32" s="16"/>
      <c r="AJ32" s="16"/>
      <c r="AK32" s="16"/>
    </row>
    <row r="33" ht="13.5" customHeight="1" spans="1:37" x14ac:dyDescent="0.25">
      <c r="A33" s="264"/>
      <c r="B33" s="16"/>
      <c r="C33" s="139" t="s">
        <v>272</v>
      </c>
      <c r="D33" s="16"/>
      <c r="E33" s="16"/>
      <c r="F33" s="358">
        <v>-11468</v>
      </c>
      <c r="G33" s="358">
        <v>-10588</v>
      </c>
      <c r="H33" s="358">
        <v>-11258</v>
      </c>
      <c r="I33" s="358">
        <v>-12113</v>
      </c>
      <c r="J33" s="162">
        <f ca="1">SUM(F33:I33)</f>
        <v>-45427</v>
      </c>
      <c r="K33" s="358">
        <v>-11903</v>
      </c>
      <c r="L33" s="358">
        <v>-11860</v>
      </c>
      <c r="M33" s="358">
        <v>-12447</v>
      </c>
      <c r="N33" s="358">
        <v>-13116</v>
      </c>
      <c r="O33" s="162">
        <f ca="1">SUM(K33:N33)</f>
        <v>-49326</v>
      </c>
      <c r="P33" s="358">
        <v>-13556</v>
      </c>
      <c r="Q33" s="358">
        <v>-13808</v>
      </c>
      <c r="R33" s="358">
        <v>-15151</v>
      </c>
      <c r="S33" s="358">
        <v>-18572</v>
      </c>
      <c r="T33" s="162">
        <f ca="1">SUM(P33:S33)</f>
        <v>-61087</v>
      </c>
      <c r="U33" s="358">
        <v>-17032</v>
      </c>
      <c r="V33" s="358">
        <v>0</v>
      </c>
      <c r="W33" s="358">
        <v>0</v>
      </c>
      <c r="X33" s="359">
        <f ca="1">X68*X$28</f>
        <v>1e-12</v>
      </c>
      <c r="Y33" s="162">
        <f ca="1">SUM(U33:X33)</f>
        <v>-17032</v>
      </c>
      <c r="Z33" s="359">
        <f t="shared" ref="Z33:AC33" si="17" ca="1">Z68*Z$28</f>
        <v>1e-12</v>
      </c>
      <c r="AA33" s="359">
        <f ca="1">AA68*AA$28</f>
        <v>1e-12</v>
      </c>
      <c r="AB33" s="359">
        <f ca="1">AB68*AB$28</f>
        <v>1e-12</v>
      </c>
      <c r="AC33" s="359">
        <f ca="1">AC68*AC$28</f>
        <v>1e-12</v>
      </c>
      <c r="AD33" s="162">
        <f ca="1">SUM(Z33:AC33)</f>
        <v>1e-12</v>
      </c>
      <c r="AE33" s="162">
        <f t="shared" ref="AE33:AG33" si="18" ca="1">AE68*AE$28</f>
        <v>1e-12</v>
      </c>
      <c r="AF33" s="162">
        <f ca="1">AF68*AF$28</f>
        <v>1e-12</v>
      </c>
      <c r="AG33" s="162">
        <f ca="1">AG68*AG$28</f>
        <v>1e-12</v>
      </c>
      <c r="AH33" s="16"/>
      <c r="AI33" s="16"/>
      <c r="AJ33" s="16"/>
      <c r="AK33" s="16"/>
    </row>
    <row r="34" ht="13.5" customHeight="1" spans="1:37" x14ac:dyDescent="0.25">
      <c r="A34" s="264"/>
      <c r="B34" s="16"/>
      <c r="C34" s="139" t="s">
        <v>273</v>
      </c>
      <c r="D34" s="16"/>
      <c r="E34" s="16"/>
      <c r="F34" s="358">
        <v>0</v>
      </c>
      <c r="G34" s="358">
        <v>0</v>
      </c>
      <c r="H34" s="358">
        <v>0</v>
      </c>
      <c r="I34" s="358">
        <v>0</v>
      </c>
      <c r="J34" s="162">
        <f ca="1">SUM(F34:I34)</f>
        <v>1e-12</v>
      </c>
      <c r="K34" s="358">
        <v>0</v>
      </c>
      <c r="L34" s="358">
        <v>0</v>
      </c>
      <c r="M34" s="358">
        <v>0</v>
      </c>
      <c r="N34" s="358">
        <v>0</v>
      </c>
      <c r="O34" s="162">
        <f ca="1">SUM(K34:N34)</f>
        <v>1e-12</v>
      </c>
      <c r="P34" s="358">
        <v>0</v>
      </c>
      <c r="Q34" s="358">
        <v>0</v>
      </c>
      <c r="R34" s="358">
        <v>0</v>
      </c>
      <c r="S34" s="358">
        <v>0</v>
      </c>
      <c r="T34" s="162">
        <f ca="1">SUM(P34:S34)</f>
        <v>1e-12</v>
      </c>
      <c r="U34" s="358">
        <v>0</v>
      </c>
      <c r="V34" s="358">
        <v>-409</v>
      </c>
      <c r="W34" s="358">
        <v>-425</v>
      </c>
      <c r="X34" s="359">
        <f ca="1">-X76</f>
        <v>-331.18750000000006</v>
      </c>
      <c r="Y34" s="162">
        <f ca="1">SUM(U34:X34)</f>
        <v>-1556.1875</v>
      </c>
      <c r="Z34" s="359">
        <f t="shared" ref="Z34:AC34" si="19" ca="1">-Z76</f>
        <v>-331.86891850000006</v>
      </c>
      <c r="AA34" s="359">
        <f ca="1">-AA76</f>
        <v>-336.85146518625004</v>
      </c>
      <c r="AB34" s="359">
        <f ca="1">-AB76</f>
        <v>-342.23237867969067</v>
      </c>
      <c r="AC34" s="359">
        <f ca="1">-AC76</f>
        <v>-343.91086566405204</v>
      </c>
      <c r="AD34" s="162">
        <f ca="1">SUM(Z34:AC34)</f>
        <v>-1354.863628029993</v>
      </c>
      <c r="AE34" s="162">
        <f t="shared" ref="AE34:AG34" si="20" ca="1">-AE76</f>
        <v>-1420.1551602334257</v>
      </c>
      <c r="AF34" s="162">
        <f ca="1">-AF76</f>
        <v>-1472.475831890681</v>
      </c>
      <c r="AG34" s="162">
        <f ca="1">-AG76</f>
        <v>-1524.1208520524956</v>
      </c>
      <c r="AH34" s="16"/>
      <c r="AI34" s="16"/>
      <c r="AJ34" s="16"/>
      <c r="AK34" s="16"/>
    </row>
    <row r="35" ht="13.5" customHeight="1" spans="1:37" x14ac:dyDescent="0.25">
      <c r="A35" s="264"/>
      <c r="B35" s="16"/>
      <c r="C35" s="139" t="s">
        <v>274</v>
      </c>
      <c r="D35" s="16"/>
      <c r="E35" s="16"/>
      <c r="F35" s="354">
        <v>0</v>
      </c>
      <c r="G35" s="354">
        <v>0</v>
      </c>
      <c r="H35" s="354">
        <v>0</v>
      </c>
      <c r="I35" s="354">
        <v>0</v>
      </c>
      <c r="J35" s="355">
        <f ca="1">SUM(F35:I35)</f>
        <v>1e-12</v>
      </c>
      <c r="K35" s="354">
        <v>0</v>
      </c>
      <c r="L35" s="354">
        <v>0</v>
      </c>
      <c r="M35" s="354">
        <v>0</v>
      </c>
      <c r="N35" s="354">
        <v>0</v>
      </c>
      <c r="O35" s="355">
        <f ca="1">SUM(K35:N35)</f>
        <v>1e-12</v>
      </c>
      <c r="P35" s="354">
        <v>0</v>
      </c>
      <c r="Q35" s="354">
        <v>0</v>
      </c>
      <c r="R35" s="354">
        <v>0</v>
      </c>
      <c r="S35" s="354">
        <v>0</v>
      </c>
      <c r="T35" s="355">
        <f ca="1">SUM(P35:S35)</f>
        <v>1e-12</v>
      </c>
      <c r="U35" s="354">
        <v>0</v>
      </c>
      <c r="V35" s="354">
        <v>0</v>
      </c>
      <c r="W35" s="354">
        <v>0</v>
      </c>
      <c r="X35" s="356">
        <f ca="1">X69*X$28</f>
        <v>1e-12</v>
      </c>
      <c r="Y35" s="355">
        <f ca="1">SUM(U35:X35)</f>
        <v>1e-12</v>
      </c>
      <c r="Z35" s="356">
        <f t="shared" ref="Z35:AC35" si="21" ca="1">Z69*Z$28</f>
        <v>1e-12</v>
      </c>
      <c r="AA35" s="356">
        <f ca="1">AA69*AA$28</f>
        <v>1e-12</v>
      </c>
      <c r="AB35" s="356">
        <f ca="1">AB69*AB$28</f>
        <v>1e-12</v>
      </c>
      <c r="AC35" s="356">
        <f ca="1">AC69*AC$28</f>
        <v>1e-12</v>
      </c>
      <c r="AD35" s="355">
        <f ca="1">SUM(Z35:AC35)</f>
        <v>1e-12</v>
      </c>
      <c r="AE35" s="355">
        <f t="shared" ref="AE35:AG35" si="22" ca="1">AE69*AE$28</f>
        <v>1e-12</v>
      </c>
      <c r="AF35" s="355">
        <f ca="1">AF69*AF$28</f>
        <v>1e-12</v>
      </c>
      <c r="AG35" s="355">
        <f ca="1">AG69*AG$28</f>
        <v>1e-12</v>
      </c>
      <c r="AH35" s="16"/>
      <c r="AI35" s="16"/>
      <c r="AJ35" s="16"/>
      <c r="AK35" s="16"/>
    </row>
    <row r="36" ht="13.5" customHeight="1" spans="1:37" x14ac:dyDescent="0.25">
      <c r="A36" s="264"/>
      <c r="B36" s="16"/>
      <c r="C36" s="139" t="s">
        <v>275</v>
      </c>
      <c r="D36" s="16"/>
      <c r="E36" s="16"/>
      <c r="F36" s="353">
        <f ca="1">IF($C$34="Depreciation &amp; Amortization (incl. in SG&amp;A)",F30+SUM(F32:F33,F35),F30+SUM(F32:F35))</f>
        <v>17415</v>
      </c>
      <c r="G36" s="353">
        <f ca="1">IF($C$34="Depreciation &amp; Amortization (incl. in SG&amp;A)",G30+SUM(G32:G33,G35),G30+SUM(G32:G35))</f>
        <v>21838</v>
      </c>
      <c r="H36" s="353">
        <f ca="1">IF($C$34="Depreciation &amp; Amortization (incl. in SG&amp;A)",H30+SUM(H32:H33,H35),H30+SUM(H32:H35))</f>
        <v>21343</v>
      </c>
      <c r="I36" s="353">
        <f ca="1">IF($C$34="Depreciation &amp; Amortization (incl. in SG&amp;A)",I30+SUM(I32:I33,I35),I30+SUM(I32:I35))</f>
        <v>23697</v>
      </c>
      <c r="J36" s="282">
        <f ca="1">SUM(F36:I36)</f>
        <v>84293</v>
      </c>
      <c r="K36" s="353">
        <f ca="1">IF($C$34="Depreciation &amp; Amortization (incl. in SG&amp;A)",K30+SUM(K32:K33,K35),K30+SUM(K32:K35))</f>
        <v>25472</v>
      </c>
      <c r="L36" s="353">
        <f ca="1">IF($C$34="Depreciation &amp; Amortization (incl. in SG&amp;A)",L30+SUM(L32:L33,L35),L30+SUM(L32:L35))</f>
        <v>27425</v>
      </c>
      <c r="M36" s="353">
        <f ca="1">IF($C$34="Depreciation &amp; Amortization (incl. in SG&amp;A)",M30+SUM(M32:M33,M35),M30+SUM(M32:M35))</f>
        <v>28521</v>
      </c>
      <c r="N36" s="353">
        <f ca="1">IF($C$34="Depreciation &amp; Amortization (incl. in SG&amp;A)",N30+SUM(N32:N33,N35),N30+SUM(N32:N35))</f>
        <v>30972</v>
      </c>
      <c r="O36" s="282">
        <f ca="1">SUM(K36:N36)</f>
        <v>112390</v>
      </c>
      <c r="P36" s="353">
        <f ca="1">IF($C$34="Depreciation &amp; Amortization (incl. in SG&amp;A)",P30+SUM(P32:P33,P35),P30+SUM(P32:P35))</f>
        <v>30606</v>
      </c>
      <c r="Q36" s="353">
        <f ca="1">IF($C$34="Depreciation &amp; Amortization (incl. in SG&amp;A)",Q30+SUM(Q32:Q33,Q35),Q30+SUM(Q32:Q35))</f>
        <v>31271</v>
      </c>
      <c r="R36" s="353">
        <f ca="1">IF($C$34="Depreciation &amp; Amortization (incl. in SG&amp;A)",R30+SUM(R32:R33,R35),R30+SUM(R32:R35))</f>
        <v>31228</v>
      </c>
      <c r="S36" s="353">
        <f ca="1">IF($C$34="Depreciation &amp; Amortization (incl. in SG&amp;A)",S30+SUM(S32:S33,S35),S30+SUM(S32:S35))</f>
        <v>35934</v>
      </c>
      <c r="T36" s="282">
        <f ca="1">SUM(P36:S36)</f>
        <v>129039</v>
      </c>
      <c r="U36" s="353">
        <f ca="1">IF($C$34="Depreciation &amp; Amortization (incl. in SG&amp;A)",U30+SUM(U32:U33,U35),U30+SUM(U32:U35))</f>
        <v>39696</v>
      </c>
      <c r="V36" s="353">
        <f ca="1">IF($C$34="Depreciation &amp; Amortization (incl. in SG&amp;A)",V30+SUM(V32:V33,V35),V30+SUM(V32:V35))</f>
        <v>4210</v>
      </c>
      <c r="W36" s="353">
        <f ca="1">IF($C$34="Depreciation &amp; Amortization (incl. in SG&amp;A)",W30+SUM(W32:W33,W35),W30+SUM(W32:W35))</f>
        <v>2789</v>
      </c>
      <c r="X36" s="281">
        <f ca="1">IF(Cover!$F$37="Bottom Up",'Segment Analysis'!X33,IF($C$34="Depreciation &amp; Amortization (incl. in SG&amp;A)",X30+SUM(X32:X33,X35),X30+SUM(X32:X35)))</f>
        <v>-2290.6765000000005</v>
      </c>
      <c r="Y36" s="282">
        <f ca="1">SUM(U36:X36)</f>
        <v>7953.3234999999995</v>
      </c>
      <c r="Z36" s="281">
        <f ca="1">IF(Cover!$F$37="Bottom Up",'Segment Analysis'!Z33,IF($C$34="Depreciation &amp; Amortization (incl. in SG&amp;A)",Z30+SUM(Z32:Z33,Z35),Z30+SUM(Z32:Z35)))</f>
        <v>-2515.6105485000016</v>
      </c>
      <c r="AA36" s="281">
        <f ca="1">IF(Cover!$F$37="Bottom Up",'Segment Analysis'!AA33,IF($C$34="Depreciation &amp; Amortization (incl. in SG&amp;A)",AA30+SUM(AA32:AA33,AA35),AA30+SUM(AA32:AA35)))</f>
        <v>-2679.87777878625</v>
      </c>
      <c r="AB36" s="281">
        <f ca="1">IF(Cover!$F$37="Bottom Up",'Segment Analysis'!AB33,IF($C$34="Depreciation &amp; Amortization (incl. in SG&amp;A)",AB30+SUM(AB32:AB33,AB35),AB30+SUM(AB32:AB35)))</f>
        <v>-2919.561323639691</v>
      </c>
      <c r="AC36" s="281">
        <f ca="1">IF(Cover!$F$37="Bottom Up",'Segment Analysis'!AC33,IF($C$34="Depreciation &amp; Amortization (incl. in SG&amp;A)",AC30+SUM(AC32:AC33,AC35),AC30+SUM(AC32:AC35)))</f>
        <v>-2425.1039887192537</v>
      </c>
      <c r="AD36" s="282">
        <f ca="1">SUM(Z36:AC36)</f>
        <v>-10540.153639645196</v>
      </c>
      <c r="AE36" s="282">
        <f ca="1">IF(Cover!$F$37="Bottom Up",'Segment Analysis'!AE33,IF($C$34="Depreciation &amp; Amortization (incl. in SG&amp;A)",AE30+SUM(AE32:AE33,AE35),AE30+SUM(AE32:AE35)))</f>
        <v>-9578.113551031161</v>
      </c>
      <c r="AF36" s="282">
        <f ca="1">IF(Cover!$F$37="Bottom Up",'Segment Analysis'!AF33,IF($C$34="Depreciation &amp; Amortization (incl. in SG&amp;A)",AF30+SUM(AF32:AF33,AF35),AF30+SUM(AF32:AF35)))</f>
        <v>-9246.151445858737</v>
      </c>
      <c r="AG36" s="282">
        <f ca="1">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797</v>
      </c>
      <c r="G38" s="358">
        <v>892</v>
      </c>
      <c r="H38" s="358">
        <v>1066</v>
      </c>
      <c r="I38" s="358">
        <v>1110</v>
      </c>
      <c r="J38" s="162">
        <f t="shared" ref="J38:J42" si="23" ca="1">SUM(F38:I38)</f>
        <v>3865</v>
      </c>
      <c r="K38" s="358">
        <v>1061</v>
      </c>
      <c r="L38" s="358">
        <v>1090</v>
      </c>
      <c r="M38" s="358">
        <v>1243</v>
      </c>
      <c r="N38" s="358">
        <v>1088</v>
      </c>
      <c r="O38" s="162">
        <f t="shared" ref="O38:O42" si="24" ca="1">SUM(K38:N38)</f>
        <v>4482</v>
      </c>
      <c r="P38" s="358">
        <v>1001</v>
      </c>
      <c r="Q38" s="358">
        <v>1050</v>
      </c>
      <c r="R38" s="358">
        <v>1076</v>
      </c>
      <c r="S38" s="358">
        <v>1209</v>
      </c>
      <c r="T38" s="162">
        <f t="shared" ref="T38:T42" si="25" ca="1">SUM(P38:S38)</f>
        <v>4336</v>
      </c>
      <c r="U38" s="358">
        <v>1381</v>
      </c>
      <c r="V38" s="358">
        <v>0</v>
      </c>
      <c r="W38" s="358">
        <v>0</v>
      </c>
      <c r="X38" s="359">
        <f ca="1">X329</f>
        <v>1e-12</v>
      </c>
      <c r="Y38" s="162">
        <f ca="1">SUM(U38:X38)</f>
        <v>1381</v>
      </c>
      <c r="Z38" s="359">
        <f ca="1">Z329</f>
        <v>1e-12</v>
      </c>
      <c r="AA38" s="359">
        <f ca="1">AA329</f>
        <v>1e-12</v>
      </c>
      <c r="AB38" s="359">
        <f ca="1">AB329</f>
        <v>1e-12</v>
      </c>
      <c r="AC38" s="359">
        <f ca="1">AC329</f>
        <v>1e-12</v>
      </c>
      <c r="AD38" s="162">
        <f ca="1">SUM(Z38:AC38)</f>
        <v>1e-12</v>
      </c>
      <c r="AE38" s="162">
        <f ca="1">AE329</f>
        <v>1e-12</v>
      </c>
      <c r="AF38" s="162">
        <f ca="1">AF329</f>
        <v>1e-12</v>
      </c>
      <c r="AG38" s="162">
        <f ca="1">AG329</f>
        <v>1e-12</v>
      </c>
      <c r="AH38" s="16"/>
      <c r="AI38" s="16"/>
      <c r="AJ38" s="16"/>
      <c r="AK38" s="16"/>
    </row>
    <row r="39" ht="13.5" customHeight="1" spans="1:37" x14ac:dyDescent="0.25">
      <c r="A39" s="264"/>
      <c r="B39" s="16"/>
      <c r="C39" s="139" t="s">
        <v>277</v>
      </c>
      <c r="D39" s="16"/>
      <c r="E39" s="16"/>
      <c r="F39" s="358">
        <v>-80</v>
      </c>
      <c r="G39" s="358">
        <v>-43</v>
      </c>
      <c r="H39" s="358">
        <v>-116</v>
      </c>
      <c r="I39" s="358">
        <f ca="1">-308-SUM(F39:H39)</f>
        <v>-69</v>
      </c>
      <c r="J39" s="162">
        <f ca="1">SUM(F39:I39)</f>
        <v>-308</v>
      </c>
      <c r="K39" s="358">
        <v>-94</v>
      </c>
      <c r="L39" s="358">
        <v>-7</v>
      </c>
      <c r="M39" s="358">
        <v>-8</v>
      </c>
      <c r="N39" s="358">
        <v>-9</v>
      </c>
      <c r="O39" s="162">
        <f ca="1">SUM(K39:N39)</f>
        <v>-118</v>
      </c>
      <c r="P39" s="358">
        <v>-15</v>
      </c>
      <c r="Q39" s="358">
        <v>-16</v>
      </c>
      <c r="R39" s="358">
        <v>-17</v>
      </c>
      <c r="S39" s="358">
        <v>-17</v>
      </c>
      <c r="T39" s="162">
        <f ca="1">SUM(P39:S39)</f>
        <v>-65</v>
      </c>
      <c r="U39" s="358">
        <v>-17</v>
      </c>
      <c r="V39" s="358">
        <f ca="1">-216</f>
        <v>-216</v>
      </c>
      <c r="W39" s="358">
        <v>-223</v>
      </c>
      <c r="X39" s="359">
        <f ca="1">X322</f>
        <v>-217.976675</v>
      </c>
      <c r="Y39" s="162">
        <f ca="1">SUM(U39:X39)</f>
        <v>-673.976675</v>
      </c>
      <c r="Z39" s="359">
        <f ca="1">Z322</f>
        <v>-221.63678493085126</v>
      </c>
      <c r="AA39" s="359">
        <f ca="1">AA322</f>
        <v>-254.78133354057417</v>
      </c>
      <c r="AB39" s="359">
        <f ca="1">AB322</f>
        <v>-297.8309994642739</v>
      </c>
      <c r="AC39" s="359">
        <f ca="1">AC322</f>
        <v>-346.2643010216294</v>
      </c>
      <c r="AD39" s="162">
        <f ca="1">SUM(Z39:AC39)</f>
        <v>-1120.5134189573287</v>
      </c>
      <c r="AE39" s="162">
        <f ca="1">AE322</f>
        <v>-1818.8185439276426</v>
      </c>
      <c r="AF39" s="162">
        <f ca="1">AF322</f>
        <v>-2566.0962194391195</v>
      </c>
      <c r="AG39" s="162">
        <f ca="1">AG322</f>
        <v>-3498.729945843482</v>
      </c>
      <c r="AH39" s="16"/>
      <c r="AI39" s="16"/>
      <c r="AJ39" s="16"/>
      <c r="AK39" s="16"/>
    </row>
    <row r="40" ht="13.5" customHeight="1" spans="1:37" x14ac:dyDescent="0.25">
      <c r="A40" s="264"/>
      <c r="B40" s="16"/>
      <c r="C40" s="139" t="s">
        <v>278</v>
      </c>
      <c r="D40" s="16"/>
      <c r="E40" s="16"/>
      <c r="F40" s="358">
        <v>0</v>
      </c>
      <c r="G40" s="358">
        <v>0</v>
      </c>
      <c r="H40" s="358">
        <v>0</v>
      </c>
      <c r="I40" s="358">
        <v>0</v>
      </c>
      <c r="J40" s="162">
        <f ca="1">SUM(F40:I40)</f>
        <v>1e-12</v>
      </c>
      <c r="K40" s="358">
        <v>0</v>
      </c>
      <c r="L40" s="358">
        <v>0</v>
      </c>
      <c r="M40" s="358">
        <v>0</v>
      </c>
      <c r="N40" s="358">
        <v>0</v>
      </c>
      <c r="O40" s="162">
        <f ca="1">SUM(K40:N40)</f>
        <v>1e-12</v>
      </c>
      <c r="P40" s="358">
        <v>0</v>
      </c>
      <c r="Q40" s="358">
        <v>0</v>
      </c>
      <c r="R40" s="358">
        <v>0</v>
      </c>
      <c r="S40" s="358">
        <v>0</v>
      </c>
      <c r="T40" s="162">
        <f ca="1">SUM(P40:S40)</f>
        <v>1e-12</v>
      </c>
      <c r="U40" s="358">
        <v>0</v>
      </c>
      <c r="V40" s="358">
        <v>0</v>
      </c>
      <c r="W40" s="358">
        <v>0</v>
      </c>
      <c r="X40" s="361">
        <f ca="1">Drivers!X62</f>
        <v>1e-12</v>
      </c>
      <c r="Y40" s="162">
        <f ca="1">SUM(U40:X40)</f>
        <v>1e-12</v>
      </c>
      <c r="Z40" s="361">
        <f ca="1">Drivers!Z62</f>
        <v>1e-12</v>
      </c>
      <c r="AA40" s="361">
        <f ca="1">Drivers!AA62</f>
        <v>1e-12</v>
      </c>
      <c r="AB40" s="361">
        <f ca="1">Drivers!AB62</f>
        <v>1e-12</v>
      </c>
      <c r="AC40" s="361">
        <f ca="1">Drivers!AC62</f>
        <v>1e-12</v>
      </c>
      <c r="AD40" s="162">
        <f ca="1">SUM(Z40:AC40)</f>
        <v>1e-12</v>
      </c>
      <c r="AE40" s="362">
        <f ca="1">Drivers!AE62</f>
        <v>1e-12</v>
      </c>
      <c r="AF40" s="362">
        <f ca="1">Drivers!AF62</f>
        <v>1e-12</v>
      </c>
      <c r="AG40" s="362">
        <f ca="1">Drivers!AG62</f>
        <v>1e-12</v>
      </c>
      <c r="AH40" s="16"/>
      <c r="AI40" s="16"/>
      <c r="AJ40" s="16"/>
      <c r="AK40" s="16"/>
    </row>
    <row r="41" ht="13.5" customHeight="1" spans="1:37" x14ac:dyDescent="0.25">
      <c r="A41" s="264"/>
      <c r="B41" s="16"/>
      <c r="C41" s="139" t="s">
        <v>279</v>
      </c>
      <c r="D41" s="16"/>
      <c r="E41" s="16"/>
      <c r="F41" s="354">
        <v>73</v>
      </c>
      <c r="G41" s="354">
        <v>-784</v>
      </c>
      <c r="H41" s="354">
        <v>-1096</v>
      </c>
      <c r="I41" s="354">
        <v>-326</v>
      </c>
      <c r="J41" s="355">
        <f ca="1">SUM(F41:I41)</f>
        <v>-2133</v>
      </c>
      <c r="K41" s="354">
        <v>1876</v>
      </c>
      <c r="L41" s="354">
        <v>-957</v>
      </c>
      <c r="M41" s="354">
        <v>1950</v>
      </c>
      <c r="N41" s="354">
        <v>192</v>
      </c>
      <c r="O41" s="355">
        <f ca="1">SUM(K41:N41)</f>
        <v>3061</v>
      </c>
      <c r="P41" s="354">
        <v>10197</v>
      </c>
      <c r="Q41" s="354">
        <v>1628</v>
      </c>
      <c r="R41" s="354">
        <v>11700</v>
      </c>
      <c r="S41" s="354">
        <v>1991</v>
      </c>
      <c r="T41" s="355">
        <f ca="1">SUM(P41:S41)</f>
        <v>25516</v>
      </c>
      <c r="U41" s="354">
        <v>36352</v>
      </c>
      <c r="V41" s="354">
        <v>0</v>
      </c>
      <c r="W41" s="354">
        <v>0</v>
      </c>
      <c r="X41" s="356">
        <f ca="1">X70*X28</f>
        <v>1e-12</v>
      </c>
      <c r="Y41" s="355">
        <f ca="1">SUM(U41:X41)</f>
        <v>36352</v>
      </c>
      <c r="Z41" s="356">
        <f t="shared" ref="Z41:AC41" si="26" ca="1">Z70*Z28</f>
        <v>1e-12</v>
      </c>
      <c r="AA41" s="356">
        <f ca="1">AA70*AA28</f>
        <v>1e-12</v>
      </c>
      <c r="AB41" s="356">
        <f ca="1">AB70*AB28</f>
        <v>1e-12</v>
      </c>
      <c r="AC41" s="356">
        <f ca="1">AC70*AC28</f>
        <v>1e-12</v>
      </c>
      <c r="AD41" s="355">
        <f ca="1">SUM(Z41:AC41)</f>
        <v>1e-12</v>
      </c>
      <c r="AE41" s="355">
        <f t="shared" ref="AE41:AG41" si="27" ca="1">AE70*AE28</f>
        <v>1e-12</v>
      </c>
      <c r="AF41" s="355">
        <f ca="1">AF70*AF28</f>
        <v>1e-12</v>
      </c>
      <c r="AG41" s="355">
        <f ca="1">AG70*AG28</f>
        <v>1e-12</v>
      </c>
      <c r="AH41" s="16"/>
      <c r="AI41" s="16"/>
      <c r="AJ41" s="16"/>
      <c r="AK41" s="16"/>
    </row>
    <row r="42" ht="13.5" customHeight="1" spans="1:37" x14ac:dyDescent="0.25">
      <c r="A42" s="264"/>
      <c r="B42" s="16"/>
      <c r="C42" s="139" t="s">
        <v>280</v>
      </c>
      <c r="D42" s="16"/>
      <c r="E42" s="16"/>
      <c r="F42" s="353">
        <f ca="1">F36+SUM(F38:F41)</f>
        <v>18205</v>
      </c>
      <c r="G42" s="353">
        <f ca="1">G36+SUM(G38:G41)</f>
        <v>21903</v>
      </c>
      <c r="H42" s="353">
        <f ca="1">H36+SUM(H38:H41)</f>
        <v>21197</v>
      </c>
      <c r="I42" s="353">
        <f ca="1">I36+SUM(I38:I41)</f>
        <v>24412</v>
      </c>
      <c r="J42" s="282">
        <f ca="1">SUM(F42:I42)</f>
        <v>85717</v>
      </c>
      <c r="K42" s="353">
        <f ca="1">K36+SUM(K38:K41)</f>
        <v>28315</v>
      </c>
      <c r="L42" s="353">
        <f ca="1">L36+SUM(L38:L41)</f>
        <v>27551</v>
      </c>
      <c r="M42" s="353">
        <f ca="1">M36+SUM(M38:M41)</f>
        <v>31706</v>
      </c>
      <c r="N42" s="353">
        <f ca="1">N36+SUM(N38:N41)</f>
        <v>32243</v>
      </c>
      <c r="O42" s="282">
        <f ca="1">SUM(K42:N42)</f>
        <v>119815</v>
      </c>
      <c r="P42" s="353">
        <f ca="1">P36+SUM(P38:P41)</f>
        <v>41789</v>
      </c>
      <c r="Q42" s="353">
        <f ca="1">Q36+SUM(Q38:Q41)</f>
        <v>33933</v>
      </c>
      <c r="R42" s="353">
        <f ca="1">IF($C$8="On",R36+SUM(R38:R41),IF($C$8="off",R36+SUM(R40:R41),"N/A"))</f>
        <v>-58359</v>
      </c>
      <c r="S42" s="353">
        <f ca="1">IF($C$8="On",S36+SUM(S38:S41),IF($C$8="off",S36+SUM(S40:S41),"N/A"))</f>
        <v>-74712</v>
      </c>
      <c r="T42" s="282">
        <f ca="1">SUM(P42:S42)</f>
        <v>158826</v>
      </c>
      <c r="U42" s="353">
        <f ca="1">U36+SUM(U38:U41)</f>
        <v>77412</v>
      </c>
      <c r="V42" s="353">
        <f ca="1">V36+SUM(V38:V41)</f>
        <v>3994</v>
      </c>
      <c r="W42" s="353">
        <f t="shared" ref="W42:X42" si="28" ca="1">IF($C$8="On",W36+SUM(W38:W41),IF($C$8="off",W36+SUM(W40:W41),"N/A"))</f>
        <v>2566</v>
      </c>
      <c r="X42" s="281">
        <f ca="1">IF($C$8="On",X36+SUM(X38:X41),IF($C$8="off",X36+SUM(X40:X41),"N/A"))</f>
        <v>-2508.6531750000004</v>
      </c>
      <c r="Y42" s="282">
        <f ca="1">SUM(U42:X42)</f>
        <v>-56002.653175</v>
      </c>
      <c r="Z42" s="281">
        <f ca="1">IF($C$8="On",Z36+SUM(Z38:Z41),IF($C$8="off",Z36+SUM(Z40:Z41),"N/A"))</f>
        <v>-2737.247333430853</v>
      </c>
      <c r="AA42" s="281">
        <f ca="1">IF($C$8="On",AA36+SUM(AA38:AA41),IF($C$8="off",AA36+SUM(AA40:AA41),"N/A"))</f>
        <v>-2934.659112326824</v>
      </c>
      <c r="AB42" s="281">
        <f ca="1">IF($C$8="On",AB36+SUM(AB38:AB41),IF($C$8="off",AB36+SUM(AB40:AB41),"N/A"))</f>
        <v>-3217.3923231039653</v>
      </c>
      <c r="AC42" s="281">
        <f ca="1">IF($C$8="On",AC36+SUM(AC38:AC41),IF($C$8="off",AC36+SUM(AC40:AC41),"N/A"))</f>
        <v>-2771.368289740883</v>
      </c>
      <c r="AD42" s="282">
        <f ca="1">SUM(Z42:AC42)</f>
        <v>-11660.667058602525</v>
      </c>
      <c r="AE42" s="282">
        <f ca="1">IF($C$8="On",AE36+SUM(AE38:AE41),IF($C$8="off",AE36+SUM(AE40:AE41),"N/A"))</f>
        <v>-11396.932094958804</v>
      </c>
      <c r="AF42" s="282">
        <f ca="1">IF($C$8="On",AF36+SUM(AF38:AF41),IF($C$8="off",AF36+SUM(AF40:AF41),"N/A"))</f>
        <v>-11812.247665297857</v>
      </c>
      <c r="AG42" s="282">
        <f ca="1">IF($C$8="On",AG36+SUM(AG38:AG41),IF($C$8="off",AG36+SUM(AG40:AG41),"N/A"))</f>
        <v>-12170.252827189412</v>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-3154</v>
      </c>
      <c r="G44" s="354">
        <v>-3535</v>
      </c>
      <c r="H44" s="354">
        <v>-1508</v>
      </c>
      <c r="I44" s="354">
        <f ca="1">-11922-SUM(F44:H44)</f>
        <v>-3725</v>
      </c>
      <c r="J44" s="355">
        <f t="shared" ref="J44:J45" si="29" ca="1">SUM(F44:I44)</f>
        <v>-11922</v>
      </c>
      <c r="K44" s="354">
        <v>-4653</v>
      </c>
      <c r="L44" s="354">
        <v>-3932</v>
      </c>
      <c r="M44" s="354">
        <v>-5405</v>
      </c>
      <c r="N44" s="354">
        <v>-5707</v>
      </c>
      <c r="O44" s="355">
        <f t="shared" ref="O44:O45" si="30" ca="1">SUM(K44:N44)</f>
        <v>-19697</v>
      </c>
      <c r="P44" s="354">
        <v>-7249</v>
      </c>
      <c r="Q44" s="354">
        <v>-5737</v>
      </c>
      <c r="R44" s="354">
        <v>-9008</v>
      </c>
      <c r="S44" s="354">
        <v>-4662</v>
      </c>
      <c r="T44" s="355">
        <f t="shared" ref="T44:T45" si="31" ca="1">SUM(P44:S44)</f>
        <v>-26656</v>
      </c>
      <c r="U44" s="354">
        <v>-14834</v>
      </c>
      <c r="V44" s="354">
        <f ca="1">-976</f>
        <v>-976</v>
      </c>
      <c r="W44" s="354">
        <v>-670</v>
      </c>
      <c r="X44" s="356">
        <f ca="1">-X71*X42</f>
        <v>602.076762</v>
      </c>
      <c r="Y44" s="355">
        <f ca="1">SUM(U44:X44)</f>
        <v>-15877.923238</v>
      </c>
      <c r="Z44" s="356">
        <f ca="1">-Z71*Z42</f>
        <v>656.9393600234047</v>
      </c>
      <c r="AA44" s="356">
        <f ca="1">-AA71*AA42</f>
        <v>704.3181869584378</v>
      </c>
      <c r="AB44" s="356">
        <f ca="1">-AB71*AB42</f>
        <v>772.1741575449516</v>
      </c>
      <c r="AC44" s="356">
        <f ca="1">-AC71*AC42</f>
        <v>665.1283895378119</v>
      </c>
      <c r="AD44" s="355">
        <f ca="1">SUM(Z44:AC44)</f>
        <v>2798.5600940646063</v>
      </c>
      <c r="AE44" s="355">
        <f ca="1">-AE71*AE42</f>
        <v>2735.263702790113</v>
      </c>
      <c r="AF44" s="355">
        <f ca="1">-AF71*AF42</f>
        <v>2834.9394396714856</v>
      </c>
      <c r="AG44" s="355">
        <f ca="1">-AG71*AG42</f>
        <v>2920.8606785254588</v>
      </c>
      <c r="AH44" s="16"/>
      <c r="AI44" s="16"/>
      <c r="AJ44" s="16"/>
      <c r="AK44" s="16"/>
    </row>
    <row r="45" ht="13.5" customHeight="1" spans="1:37" x14ac:dyDescent="0.25">
      <c r="A45" s="264"/>
      <c r="B45" s="16"/>
      <c r="C45" s="139" t="s">
        <v>282</v>
      </c>
      <c r="D45" s="16"/>
      <c r="E45" s="16"/>
      <c r="F45" s="353">
        <f ca="1">F42+F44</f>
        <v>15051</v>
      </c>
      <c r="G45" s="353">
        <f ca="1">G42+G44</f>
        <v>18368</v>
      </c>
      <c r="H45" s="353">
        <f ca="1">H42+H44</f>
        <v>19689</v>
      </c>
      <c r="I45" s="353">
        <f ca="1">I42+I44</f>
        <v>20687</v>
      </c>
      <c r="J45" s="282">
        <f ca="1">SUM(F45:I45)</f>
        <v>73795</v>
      </c>
      <c r="K45" s="353">
        <f ca="1">K42+K44</f>
        <v>23662</v>
      </c>
      <c r="L45" s="353">
        <f ca="1">L42+L44</f>
        <v>23619</v>
      </c>
      <c r="M45" s="353">
        <f ca="1">M42+M44</f>
        <v>26301</v>
      </c>
      <c r="N45" s="353">
        <f ca="1">N42+N44</f>
        <v>26536</v>
      </c>
      <c r="O45" s="282">
        <f ca="1">SUM(K45:N45)</f>
        <v>100118</v>
      </c>
      <c r="P45" s="353">
        <f ca="1">P42+P44</f>
        <v>34540</v>
      </c>
      <c r="Q45" s="353">
        <f ca="1">Q42+Q44</f>
        <v>28196</v>
      </c>
      <c r="R45" s="353">
        <f ca="1">R42+R44</f>
        <v>34979</v>
      </c>
      <c r="S45" s="353">
        <f ca="1">S42+S44</f>
        <v>34455</v>
      </c>
      <c r="T45" s="282">
        <f ca="1">SUM(P45:S45)</f>
        <v>132170</v>
      </c>
      <c r="U45" s="353">
        <f ca="1">U42+U44</f>
        <v>62578</v>
      </c>
      <c r="V45" s="353">
        <f ca="1">V42+V44</f>
        <v>3018</v>
      </c>
      <c r="W45" s="353">
        <f ca="1">W42+W44</f>
        <v>1896</v>
      </c>
      <c r="X45" s="281">
        <f ca="1">X42+X44</f>
        <v>-1906.5764130000002</v>
      </c>
      <c r="Y45" s="282">
        <f ca="1">SUM(U45:X45)</f>
        <v>-71880.576413</v>
      </c>
      <c r="Z45" s="281">
        <f ca="1">Z42+Z44</f>
        <v>-2080.307973407448</v>
      </c>
      <c r="AA45" s="281">
        <f ca="1">AA42+AA44</f>
        <v>-2230.3409253683863</v>
      </c>
      <c r="AB45" s="281">
        <f ca="1">AB42+AB44</f>
        <v>-2445.218165559014</v>
      </c>
      <c r="AC45" s="281">
        <f ca="1">AC42+AC44</f>
        <v>-2106.239900203071</v>
      </c>
      <c r="AD45" s="282">
        <f ca="1">SUM(Z45:AC45)</f>
        <v>-8862.10696453792</v>
      </c>
      <c r="AE45" s="282">
        <f ca="1">AE42+AE44</f>
        <v>-8661.66839216869</v>
      </c>
      <c r="AF45" s="282">
        <f ca="1">AF42+AF44</f>
        <v>-8977.308225626371</v>
      </c>
      <c r="AG45" s="282">
        <f ca="1">AG42+AG44</f>
        <v>-9249.392148663952</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ca="1">SUM(F47:I47)</f>
        <v>1e-12</v>
      </c>
      <c r="K47" s="358">
        <v>0</v>
      </c>
      <c r="L47" s="358">
        <v>0</v>
      </c>
      <c r="M47" s="358">
        <v>0</v>
      </c>
      <c r="N47" s="358">
        <v>0</v>
      </c>
      <c r="O47" s="162">
        <f ca="1">SUM(K47:N47)</f>
        <v>1e-12</v>
      </c>
      <c r="P47" s="358">
        <v>0</v>
      </c>
      <c r="Q47" s="358">
        <v>0</v>
      </c>
      <c r="R47" s="358">
        <v>0</v>
      </c>
      <c r="S47" s="358">
        <v>0</v>
      </c>
      <c r="T47" s="162">
        <f ca="1">SUM(P47:S47)</f>
        <v>1e-12</v>
      </c>
      <c r="U47" s="358">
        <v>0</v>
      </c>
      <c r="V47" s="358">
        <v>0</v>
      </c>
      <c r="W47" s="358">
        <v>0</v>
      </c>
      <c r="X47" s="365">
        <v>0</v>
      </c>
      <c r="Y47" s="162">
        <f t="shared" ref="Y47:Y51" si="32" ca="1">SUM(U47:X47)</f>
        <v>1e-12</v>
      </c>
      <c r="Z47" s="365">
        <v>0</v>
      </c>
      <c r="AA47" s="365">
        <v>0</v>
      </c>
      <c r="AB47" s="365">
        <v>0</v>
      </c>
      <c r="AC47" s="365">
        <v>0</v>
      </c>
      <c r="AD47" s="162">
        <f t="shared" ref="AD47:AD51" si="33" ca="1">SUM(Z47:AC47)</f>
        <v>1e-12</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v>0</v>
      </c>
      <c r="I48" s="358">
        <v>0</v>
      </c>
      <c r="J48" s="162">
        <f ca="1">SUM(F48:I48)</f>
        <v>1e-12</v>
      </c>
      <c r="K48" s="358">
        <v>0</v>
      </c>
      <c r="L48" s="358">
        <v>0</v>
      </c>
      <c r="M48" s="358">
        <v>0</v>
      </c>
      <c r="N48" s="358">
        <v>0</v>
      </c>
      <c r="O48" s="162">
        <f ca="1">SUM(K48:N48)</f>
        <v>1e-12</v>
      </c>
      <c r="P48" s="358">
        <v>0</v>
      </c>
      <c r="Q48" s="358">
        <v>0</v>
      </c>
      <c r="R48" s="358">
        <v>0</v>
      </c>
      <c r="S48" s="358">
        <v>0</v>
      </c>
      <c r="T48" s="162">
        <f ca="1">SUM(P48:S48)</f>
        <v>1e-12</v>
      </c>
      <c r="U48" s="358">
        <v>0</v>
      </c>
      <c r="V48" s="358">
        <v>0</v>
      </c>
      <c r="W48" s="358">
        <v>0</v>
      </c>
      <c r="X48" s="365">
        <v>0</v>
      </c>
      <c r="Y48" s="162">
        <f ca="1">SUM(U48:X48)</f>
        <v>1e-12</v>
      </c>
      <c r="Z48" s="365">
        <v>0</v>
      </c>
      <c r="AA48" s="365">
        <v>0</v>
      </c>
      <c r="AB48" s="365">
        <v>0</v>
      </c>
      <c r="AC48" s="365">
        <v>0</v>
      </c>
      <c r="AD48" s="162">
        <f ca="1">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 ca="1">SUM(F49:I49)</f>
        <v>1e-12</v>
      </c>
      <c r="K49" s="358">
        <v>0</v>
      </c>
      <c r="L49" s="358">
        <v>0</v>
      </c>
      <c r="M49" s="358">
        <v>0</v>
      </c>
      <c r="N49" s="358">
        <v>0</v>
      </c>
      <c r="O49" s="162">
        <f ca="1">SUM(K49:N49)</f>
        <v>1e-12</v>
      </c>
      <c r="P49" s="358">
        <v>0</v>
      </c>
      <c r="Q49" s="358">
        <v>0</v>
      </c>
      <c r="R49" s="358">
        <v>0</v>
      </c>
      <c r="S49" s="358">
        <v>0</v>
      </c>
      <c r="T49" s="162">
        <f ca="1">SUM(P49:S49)</f>
        <v>1e-12</v>
      </c>
      <c r="U49" s="358">
        <v>0</v>
      </c>
      <c r="V49" s="358">
        <v>0</v>
      </c>
      <c r="W49" s="358">
        <v>0</v>
      </c>
      <c r="X49" s="365">
        <v>0</v>
      </c>
      <c r="Y49" s="162">
        <f ca="1">SUM(U49:X49)</f>
        <v>1e-12</v>
      </c>
      <c r="Z49" s="365">
        <v>0</v>
      </c>
      <c r="AA49" s="365">
        <v>0</v>
      </c>
      <c r="AB49" s="365">
        <v>0</v>
      </c>
      <c r="AC49" s="365">
        <v>0</v>
      </c>
      <c r="AD49" s="162">
        <f ca="1">SUM(Z49:AC49)</f>
        <v>1e-12</v>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 ca="1">SUM(F50:I50)</f>
        <v>1e-12</v>
      </c>
      <c r="K50" s="354">
        <v>0</v>
      </c>
      <c r="L50" s="354">
        <v>0</v>
      </c>
      <c r="M50" s="354">
        <v>0</v>
      </c>
      <c r="N50" s="354">
        <v>0</v>
      </c>
      <c r="O50" s="355">
        <f ca="1">SUM(K50:N50)</f>
        <v>1e-12</v>
      </c>
      <c r="P50" s="354">
        <v>0</v>
      </c>
      <c r="Q50" s="354">
        <v>0</v>
      </c>
      <c r="R50" s="354">
        <v>0</v>
      </c>
      <c r="S50" s="354">
        <v>0</v>
      </c>
      <c r="T50" s="355">
        <f ca="1">SUM(P50:S50)</f>
        <v>1e-12</v>
      </c>
      <c r="U50" s="354">
        <v>0</v>
      </c>
      <c r="V50" s="354">
        <v>0</v>
      </c>
      <c r="W50" s="354">
        <v>-7</v>
      </c>
      <c r="X50" s="368">
        <v>0</v>
      </c>
      <c r="Y50" s="355">
        <f ca="1">SUM(U50:X50)</f>
        <v>-7</v>
      </c>
      <c r="Z50" s="368">
        <v>0</v>
      </c>
      <c r="AA50" s="368">
        <v>0</v>
      </c>
      <c r="AB50" s="368">
        <v>0</v>
      </c>
      <c r="AC50" s="368">
        <v>0</v>
      </c>
      <c r="AD50" s="355">
        <f ca="1">SUM(Z50:AC50)</f>
        <v>1e-12</v>
      </c>
      <c r="AE50" s="369">
        <v>0</v>
      </c>
      <c r="AF50" s="369">
        <v>0</v>
      </c>
      <c r="AG50" s="369">
        <v>0</v>
      </c>
      <c r="AH50" s="16"/>
      <c r="AI50" s="16"/>
      <c r="AJ50" s="16"/>
      <c r="AK50" s="16"/>
    </row>
    <row r="51" ht="13.5" customHeight="1" spans="1:37" x14ac:dyDescent="0.25">
      <c r="A51" s="264"/>
      <c r="B51" s="16"/>
      <c r="C51" s="139" t="s">
        <v>287</v>
      </c>
      <c r="D51" s="16"/>
      <c r="E51" s="16"/>
      <c r="F51" s="353">
        <f ca="1">SUM(F45:F50)</f>
        <v>15051</v>
      </c>
      <c r="G51" s="353">
        <f ca="1">SUM(G45:G50)</f>
        <v>18368</v>
      </c>
      <c r="H51" s="353">
        <f ca="1">SUM(H45:H50)</f>
        <v>19689</v>
      </c>
      <c r="I51" s="353">
        <f ca="1">SUM(I45:I50)</f>
        <v>20687</v>
      </c>
      <c r="J51" s="282">
        <f ca="1">SUM(F51:I51)</f>
        <v>73795</v>
      </c>
      <c r="K51" s="353">
        <f ca="1">SUM(K45:K50)</f>
        <v>23662</v>
      </c>
      <c r="L51" s="353">
        <f ca="1">SUM(L45:L50)</f>
        <v>23619</v>
      </c>
      <c r="M51" s="353">
        <f ca="1">SUM(M45:M50)</f>
        <v>26301</v>
      </c>
      <c r="N51" s="353">
        <f ca="1">SUM(N45:N50)</f>
        <v>26536</v>
      </c>
      <c r="O51" s="282">
        <f ca="1">SUM(K51:N51)</f>
        <v>100118</v>
      </c>
      <c r="P51" s="353">
        <f ca="1">SUM(P45:P50)</f>
        <v>34540</v>
      </c>
      <c r="Q51" s="353">
        <f ca="1">SUM(Q45:Q50)</f>
        <v>28196</v>
      </c>
      <c r="R51" s="353">
        <f ca="1">SUM(R45:R50)</f>
        <v>34979</v>
      </c>
      <c r="S51" s="353">
        <f ca="1">SUM(S45:S50)</f>
        <v>34455</v>
      </c>
      <c r="T51" s="282">
        <f ca="1">SUM(P51:S51)</f>
        <v>132170</v>
      </c>
      <c r="U51" s="353">
        <f ca="1">SUM(U45:U50)</f>
        <v>62578</v>
      </c>
      <c r="V51" s="353">
        <f ca="1">SUM(V45:V50)</f>
        <v>3018</v>
      </c>
      <c r="W51" s="353">
        <f ca="1">SUM(W45:W50)</f>
        <v>1889</v>
      </c>
      <c r="X51" s="281">
        <f ca="1">SUM(X45:X50)</f>
        <v>-1906.5764130000002</v>
      </c>
      <c r="Y51" s="282">
        <f ca="1">SUM(U51:X51)</f>
        <v>-71887.576413</v>
      </c>
      <c r="Z51" s="281">
        <f ca="1">SUM(Z45:Z50)</f>
        <v>-2080.307973407448</v>
      </c>
      <c r="AA51" s="281">
        <f ca="1">SUM(AA45:AA50)</f>
        <v>-2230.3409253683863</v>
      </c>
      <c r="AB51" s="281">
        <f ca="1">SUM(AB45:AB50)</f>
        <v>-2445.218165559014</v>
      </c>
      <c r="AC51" s="281">
        <f ca="1">SUM(AC45:AC50)</f>
        <v>-2106.239900203071</v>
      </c>
      <c r="AD51" s="282">
        <f ca="1">SUM(Z51:AC51)</f>
        <v>-8862.10696453792</v>
      </c>
      <c r="AE51" s="282">
        <f ca="1">SUM(AE45:AE50)</f>
        <v>-8661.66839216869</v>
      </c>
      <c r="AF51" s="282">
        <f ca="1">SUM(AF45:AF50)</f>
        <v>-8977.308225626371</v>
      </c>
      <c r="AG51" s="282">
        <f ca="1">SUM(AG45:AG50)</f>
        <v>-9249.392148663952</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34" ca="1">(F45)/F282</f>
        <v>18.243636363636362</v>
      </c>
      <c r="G53" s="370">
        <f ca="1">(G45)/G282</f>
        <v>22.592865928659286</v>
      </c>
      <c r="H53" s="370">
        <f ca="1">(H45)/H282</f>
        <v>24.42803970223325</v>
      </c>
      <c r="I53" s="370">
        <f ca="1">(I45)/I282</f>
        <v>25.82646691635456</v>
      </c>
      <c r="J53" s="127">
        <f ca="1">J45/J282</f>
        <v>92.12858926342072</v>
      </c>
      <c r="K53" s="370">
        <f t="shared" ref="K53:N53" si="35" ca="1">(K45)/K282</f>
        <v>28.68121212121212</v>
      </c>
      <c r="L53" s="370">
        <f ca="1">(L45)/L282</f>
        <v>29.051660516605168</v>
      </c>
      <c r="M53" s="370">
        <f ca="1">(M45)/M282</f>
        <v>32.63151364764268</v>
      </c>
      <c r="N53" s="370">
        <f ca="1">(N45)/N282</f>
        <v>33.12858926342072</v>
      </c>
      <c r="O53" s="127">
        <f ca="1">O45/O282</f>
        <v>124.99126092384519</v>
      </c>
      <c r="P53" s="370">
        <f t="shared" ref="P53:S53" si="36" ca="1">(P45)/P282</f>
        <v>45.74834437086093</v>
      </c>
      <c r="Q53" s="370">
        <f ca="1">(Q45)/Q282</f>
        <v>37.494680851063826</v>
      </c>
      <c r="R53" s="370">
        <f ca="1">(R45)/R282</f>
        <v>46.514627659574465</v>
      </c>
      <c r="S53" s="370">
        <f ca="1">(S45)/S282</f>
        <v>46.06283422459893</v>
      </c>
      <c r="T53" s="127">
        <f ca="1">T45/T282</f>
        <v>176.69786096256684</v>
      </c>
      <c r="U53" s="370">
        <f t="shared" ref="U53:W53" si="37" ca="1">(U45)/U282</f>
        <v>87.15598885793872</v>
      </c>
      <c r="V53" s="370">
        <f ca="1">(V45)/V282</f>
        <v>4.280851063829787</v>
      </c>
      <c r="W53" s="370">
        <f ca="1">(W45)/W282</f>
        <v>2.747826086956522</v>
      </c>
      <c r="X53" s="371">
        <f ca="1">X45/X282</f>
        <v>-2.834320072259252</v>
      </c>
      <c r="Y53" s="127">
        <f ca="1">Y45/Y282</f>
        <v>-103.21458888203429</v>
      </c>
      <c r="Z53" s="371">
        <f ca="1">Z45/Z282</f>
        <v>-3.102479417071294</v>
      </c>
      <c r="AA53" s="371">
        <f ca="1">AA45/AA282</f>
        <v>-3.3369028955834916</v>
      </c>
      <c r="AB53" s="371">
        <f ca="1">AB45/AB282</f>
        <v>-3.6701637267511953</v>
      </c>
      <c r="AC53" s="371">
        <f ca="1">AC45/AC282</f>
        <v>-3.17157999103777</v>
      </c>
      <c r="AD53" s="127">
        <f ca="1">AD45/AD282</f>
        <v>-13.280257541733093</v>
      </c>
      <c r="AE53" s="127">
        <f ca="1">AE45/AE282</f>
        <v>-13.191836665880945</v>
      </c>
      <c r="AF53" s="127">
        <f ca="1">AF45/AF282</f>
        <v>-13.945821421400778</v>
      </c>
      <c r="AG53" s="127">
        <f ca="1">AG45/AG282</f>
        <v>-14.661517316592418</v>
      </c>
      <c r="AH53" s="16"/>
      <c r="AI53" s="16"/>
      <c r="AJ53" s="16"/>
      <c r="AK53" s="16"/>
    </row>
    <row r="54" ht="13.5" customHeight="1" spans="1:37" x14ac:dyDescent="0.25">
      <c r="A54" s="264"/>
      <c r="B54" s="16"/>
      <c r="C54" s="139" t="s">
        <v>289</v>
      </c>
      <c r="D54" s="16"/>
      <c r="E54" s="16"/>
      <c r="F54" s="370">
        <f t="shared" ref="F54:I54" si="38" ca="1">(F45)/F284</f>
        <v>18.221549636803875</v>
      </c>
      <c r="G54" s="370">
        <f ca="1">(G45)/G284</f>
        <v>22.565110565110565</v>
      </c>
      <c r="H54" s="370">
        <f ca="1">(H45)/H284</f>
        <v>24.397769516728623</v>
      </c>
      <c r="I54" s="370">
        <f ca="1">(I45)/I284</f>
        <v>25.82646691635456</v>
      </c>
      <c r="J54" s="127">
        <f ca="1">J45/J284</f>
        <v>92.12858926342072</v>
      </c>
      <c r="K54" s="370">
        <f t="shared" ref="K54:N54" si="39" ca="1">(K45)/K284</f>
        <v>28.646489104116224</v>
      </c>
      <c r="L54" s="370">
        <f ca="1">(L45)/L284</f>
        <v>29.015970515970515</v>
      </c>
      <c r="M54" s="370">
        <f ca="1">(M45)/M284</f>
        <v>32.5910780669145</v>
      </c>
      <c r="N54" s="370">
        <f ca="1">(N45)/N284</f>
        <v>33.12858926342072</v>
      </c>
      <c r="O54" s="127">
        <f ca="1">O45/O284</f>
        <v>124.99126092384519</v>
      </c>
      <c r="P54" s="370">
        <f t="shared" ref="P54:S54" si="40" ca="1">(P45)/P284</f>
        <v>45.68783068783069</v>
      </c>
      <c r="Q54" s="370">
        <f ca="1">(Q45)/Q284</f>
        <v>37.44488711819389</v>
      </c>
      <c r="R54" s="370">
        <f ca="1">(R45)/R284</f>
        <v>46.39124668435013</v>
      </c>
      <c r="S54" s="370">
        <f ca="1">(S45)/S284</f>
        <v>45.94</v>
      </c>
      <c r="T54" s="127">
        <f ca="1">T45/T284</f>
        <v>176.22666666666666</v>
      </c>
      <c r="U54" s="370">
        <f t="shared" ref="U54:W54" si="41" ca="1">(U45)/U284</f>
        <v>86.91388888888889</v>
      </c>
      <c r="V54" s="370">
        <f ca="1">(V45)/V284</f>
        <v>4.2687411598302685</v>
      </c>
      <c r="W54" s="370">
        <f ca="1">(W45)/W284</f>
        <v>2.739884393063584</v>
      </c>
      <c r="X54" s="371">
        <f ca="1">X45/X284</f>
        <v>-2.8259180421336656</v>
      </c>
      <c r="Y54" s="127">
        <f ca="1">Y45/Y284</f>
        <v>-102.9190223989828</v>
      </c>
      <c r="Z54" s="371">
        <f ca="1">Z45/Z284</f>
        <v>-3.0932531349001025</v>
      </c>
      <c r="AA54" s="371">
        <f ca="1">AA45/AA284</f>
        <v>-3.3269477345562044</v>
      </c>
      <c r="AB54" s="371">
        <f ca="1">AB45/AB284</f>
        <v>-3.6591791962541347</v>
      </c>
      <c r="AC54" s="371">
        <f ca="1">AC45/AC284</f>
        <v>-3.1620571279332355</v>
      </c>
      <c r="AD54" s="127">
        <f ca="1">AD45/AD284</f>
        <v>-13.240574374198903</v>
      </c>
      <c r="AE54" s="127">
        <f ca="1">AE45/AE284</f>
        <v>-13.151776004801274</v>
      </c>
      <c r="AF54" s="127">
        <f ca="1">AF45/AF284</f>
        <v>-13.902627280691348</v>
      </c>
      <c r="AG54" s="127">
        <f ca="1">AG45/AG284</f>
        <v>-14.615183296034983</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42" ca="1">F51/F282</f>
        <v>18.243636363636362</v>
      </c>
      <c r="G56" s="370">
        <f ca="1">G51/G282</f>
        <v>22.592865928659286</v>
      </c>
      <c r="H56" s="370">
        <f ca="1">H51/H282</f>
        <v>24.42803970223325</v>
      </c>
      <c r="I56" s="370">
        <f ca="1">I51/I282</f>
        <v>25.82646691635456</v>
      </c>
      <c r="J56" s="127">
        <f ca="1">J51/J282</f>
        <v>92.12858926342072</v>
      </c>
      <c r="K56" s="370">
        <f ca="1">K51/K282</f>
        <v>28.68121212121212</v>
      </c>
      <c r="L56" s="370">
        <f ca="1">L51/L282</f>
        <v>29.051660516605168</v>
      </c>
      <c r="M56" s="370">
        <f ca="1">M51/M282</f>
        <v>32.63151364764268</v>
      </c>
      <c r="N56" s="370">
        <f ca="1">N51/N282</f>
        <v>33.12858926342072</v>
      </c>
      <c r="O56" s="127">
        <f ca="1">O51/O282</f>
        <v>124.99126092384519</v>
      </c>
      <c r="P56" s="370">
        <f ca="1">P51/P282</f>
        <v>45.74834437086093</v>
      </c>
      <c r="Q56" s="370">
        <f ca="1">Q51/Q282</f>
        <v>37.494680851063826</v>
      </c>
      <c r="R56" s="370">
        <f ca="1">R51/R282</f>
        <v>46.514627659574465</v>
      </c>
      <c r="S56" s="370">
        <f ca="1">S51/S282</f>
        <v>46.06283422459893</v>
      </c>
      <c r="T56" s="127">
        <f ca="1">T51/T282</f>
        <v>176.69786096256684</v>
      </c>
      <c r="U56" s="370">
        <f ca="1">U51/U282</f>
        <v>87.15598885793872</v>
      </c>
      <c r="V56" s="370">
        <f ca="1">V51/V282</f>
        <v>4.280851063829787</v>
      </c>
      <c r="W56" s="370">
        <f ca="1">W51/W282</f>
        <v>2.7376811594202897</v>
      </c>
      <c r="X56" s="371">
        <f ca="1">X51/X282</f>
        <v>-2.834320072259252</v>
      </c>
      <c r="Y56" s="127">
        <f ca="1">Y51/Y282</f>
        <v>-103.22464030563478</v>
      </c>
      <c r="Z56" s="371">
        <f ca="1">Z51/Z282</f>
        <v>-3.102479417071294</v>
      </c>
      <c r="AA56" s="371">
        <f ca="1">AA51/AA282</f>
        <v>-3.3369028955834916</v>
      </c>
      <c r="AB56" s="371">
        <f ca="1">AB51/AB282</f>
        <v>-3.6701637267511953</v>
      </c>
      <c r="AC56" s="371">
        <f ca="1">AC51/AC282</f>
        <v>-3.17157999103777</v>
      </c>
      <c r="AD56" s="127">
        <f ca="1">AD51/AD282</f>
        <v>-13.280257541733093</v>
      </c>
      <c r="AE56" s="127">
        <f ca="1">AE51/AE282</f>
        <v>-13.191836665880945</v>
      </c>
      <c r="AF56" s="127">
        <f ca="1">AF51/AF282</f>
        <v>-13.945821421400778</v>
      </c>
      <c r="AG56" s="127">
        <f ca="1">AG51/AG282</f>
        <v>-14.661517316592418</v>
      </c>
      <c r="AH56" s="16"/>
      <c r="AI56" s="16"/>
      <c r="AJ56" s="16"/>
      <c r="AK56" s="16"/>
    </row>
    <row r="57" ht="13.5" customHeight="1" spans="1:37" x14ac:dyDescent="0.25">
      <c r="A57" s="264"/>
      <c r="B57" s="16"/>
      <c r="C57" s="139" t="s">
        <v>291</v>
      </c>
      <c r="D57" s="16"/>
      <c r="E57" s="16"/>
      <c r="F57" s="370">
        <f t="shared" ref="F57:AG57" si="43" ca="1">F51/F284</f>
        <v>18.221549636803875</v>
      </c>
      <c r="G57" s="370">
        <f ca="1">G51/G284</f>
        <v>22.565110565110565</v>
      </c>
      <c r="H57" s="370">
        <f ca="1">H51/H284</f>
        <v>24.397769516728623</v>
      </c>
      <c r="I57" s="370">
        <f ca="1">I51/I284</f>
        <v>25.82646691635456</v>
      </c>
      <c r="J57" s="127">
        <f ca="1">J51/J284</f>
        <v>92.12858926342072</v>
      </c>
      <c r="K57" s="370">
        <f ca="1">K51/K284</f>
        <v>28.646489104116224</v>
      </c>
      <c r="L57" s="370">
        <f ca="1">L51/L284</f>
        <v>29.015970515970515</v>
      </c>
      <c r="M57" s="370">
        <f ca="1">M51/M284</f>
        <v>32.5910780669145</v>
      </c>
      <c r="N57" s="370">
        <f ca="1">N51/N284</f>
        <v>33.12858926342072</v>
      </c>
      <c r="O57" s="127">
        <f ca="1">O51/O284</f>
        <v>124.99126092384519</v>
      </c>
      <c r="P57" s="370">
        <f ca="1">P51/P284</f>
        <v>45.68783068783069</v>
      </c>
      <c r="Q57" s="370">
        <f ca="1">Q51/Q284</f>
        <v>37.44488711819389</v>
      </c>
      <c r="R57" s="370">
        <f ca="1">R51/R284</f>
        <v>46.39124668435013</v>
      </c>
      <c r="S57" s="370">
        <f ca="1">S51/S284</f>
        <v>45.94</v>
      </c>
      <c r="T57" s="127">
        <f ca="1">T51/T284</f>
        <v>176.22666666666666</v>
      </c>
      <c r="U57" s="370">
        <f ca="1">U51/U284</f>
        <v>86.91388888888889</v>
      </c>
      <c r="V57" s="370">
        <f ca="1">V51/V284</f>
        <v>4.2687411598302685</v>
      </c>
      <c r="W57" s="370">
        <f ca="1">W51/W284</f>
        <v>2.729768786127168</v>
      </c>
      <c r="X57" s="371">
        <f ca="1">X51/X284</f>
        <v>-2.8259180421336656</v>
      </c>
      <c r="Y57" s="127">
        <f ca="1">Y51/Y284</f>
        <v>-102.92904503921115</v>
      </c>
      <c r="Z57" s="371">
        <f ca="1">Z51/Z284</f>
        <v>-3.0932531349001025</v>
      </c>
      <c r="AA57" s="371">
        <f ca="1">AA51/AA284</f>
        <v>-3.3269477345562044</v>
      </c>
      <c r="AB57" s="371">
        <f ca="1">AB51/AB284</f>
        <v>-3.6591791962541347</v>
      </c>
      <c r="AC57" s="371">
        <f ca="1">AC51/AC284</f>
        <v>-3.1620571279332355</v>
      </c>
      <c r="AD57" s="127">
        <f ca="1">AD51/AD284</f>
        <v>-13.240574374198903</v>
      </c>
      <c r="AE57" s="127">
        <f ca="1">AE51/AE284</f>
        <v>-13.151776004801274</v>
      </c>
      <c r="AF57" s="127">
        <f ca="1">AF51/AF284</f>
        <v>-13.902627280691348</v>
      </c>
      <c r="AG57" s="127">
        <f ca="1">AG51/AG284</f>
        <v>-14.615183296034983</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44" ca="1">F51-F44-F41-F40-F39-F38</f>
        <v>17415</v>
      </c>
      <c r="G59" s="353">
        <f ca="1">G51-G44-G41-G40-G39-G38</f>
        <v>21838</v>
      </c>
      <c r="H59" s="353">
        <f ca="1">H51-H44-H41-H40-H39-H38</f>
        <v>21343</v>
      </c>
      <c r="I59" s="353">
        <f ca="1">I51-I44-I41-I40-I39-I38</f>
        <v>23697</v>
      </c>
      <c r="J59" s="282">
        <f t="shared" ref="J59:J61" si="45" ca="1">SUM(F59:I59)</f>
        <v>84293</v>
      </c>
      <c r="K59" s="353">
        <f t="shared" ref="K59:N59" si="46" ca="1">K51-K44-K41-K40-K39-K38</f>
        <v>25472</v>
      </c>
      <c r="L59" s="353">
        <f ca="1">L51-L44-L41-L40-L39-L38</f>
        <v>27425</v>
      </c>
      <c r="M59" s="353">
        <f ca="1">M51-M44-M41-M40-M39-M38</f>
        <v>28521</v>
      </c>
      <c r="N59" s="353">
        <f ca="1">N51-N44-N41-N40-N39-N38</f>
        <v>30972</v>
      </c>
      <c r="O59" s="282">
        <f t="shared" ref="O59:O61" si="47" ca="1">SUM(K59:N59)</f>
        <v>112390</v>
      </c>
      <c r="P59" s="353">
        <f t="shared" ref="P59:S59" si="48" ca="1">P51-P44-P41-P40-P39-P38</f>
        <v>30606</v>
      </c>
      <c r="Q59" s="353">
        <f ca="1">Q51-Q44-Q41-Q40-Q39-Q38</f>
        <v>31271</v>
      </c>
      <c r="R59" s="353">
        <f ca="1">R51-R44-R41-R40-R39-R38</f>
        <v>31228</v>
      </c>
      <c r="S59" s="353">
        <f ca="1">S51-S44-S41-S40-S39-S38</f>
        <v>35934</v>
      </c>
      <c r="T59" s="282">
        <f t="shared" ref="T59:T61" si="49" ca="1">SUM(P59:S59)</f>
        <v>129039</v>
      </c>
      <c r="U59" s="353">
        <f t="shared" ref="U59:X59" si="50" ca="1">U51-U44-U41-U40-U39-U38</f>
        <v>39696</v>
      </c>
      <c r="V59" s="353">
        <f ca="1">V51-V44-V41-V40-V39-V38</f>
        <v>4210</v>
      </c>
      <c r="W59" s="353">
        <f ca="1">W51-W44-W41-W40-W39-W38</f>
        <v>2782</v>
      </c>
      <c r="X59" s="281">
        <f ca="1">X51-X44-X41-X40-X39-X38</f>
        <v>-2290.6765000000005</v>
      </c>
      <c r="Y59" s="282">
        <f ca="1">SUM(U59:X59)</f>
        <v>-93068.6765</v>
      </c>
      <c r="Z59" s="281">
        <f ca="1">Z51-Z44-Z41-Z40-Z39-Z38</f>
        <v>-2515.6105485000016</v>
      </c>
      <c r="AA59" s="281">
        <f ca="1">AA51-AA44-AA41-AA40-AA39-AA38</f>
        <v>-2679.87777878625</v>
      </c>
      <c r="AB59" s="281">
        <f ca="1">AB51-AB44-AB41-AB40-AB39-AB38</f>
        <v>-2919.561323639691</v>
      </c>
      <c r="AC59" s="281">
        <f ca="1">AC51-AC44-AC41-AC40-AC39-AC38</f>
        <v>-2425.1039887192537</v>
      </c>
      <c r="AD59" s="282">
        <f ca="1">SUM(Z59:AC59)</f>
        <v>-10540.153639645196</v>
      </c>
      <c r="AE59" s="282">
        <f ca="1">AE51-AE44-AE41-AE40-AE39-AE38</f>
        <v>-9578.113551031161</v>
      </c>
      <c r="AF59" s="282">
        <f ca="1">AF51-AF44-AF41-AF40-AF39-AF38</f>
        <v>-9246.151445858737</v>
      </c>
      <c r="AG59" s="282">
        <f ca="1">AG51-AG44-AG41-AG40-AG39-AG38</f>
        <v>-8671.522881345929</v>
      </c>
      <c r="AH59" s="16"/>
      <c r="AI59" s="16"/>
      <c r="AJ59" s="16"/>
      <c r="AK59" s="16"/>
    </row>
    <row r="60" ht="13.5" customHeight="1" spans="1:37" x14ac:dyDescent="0.25">
      <c r="A60" s="264"/>
      <c r="B60" s="16"/>
      <c r="C60" s="139" t="s">
        <v>273</v>
      </c>
      <c r="D60" s="16"/>
      <c r="E60" s="16"/>
      <c r="F60" s="372">
        <f t="shared" ref="F60:I60" si="51" ca="1">-F34</f>
        <v>1e-12</v>
      </c>
      <c r="G60" s="372">
        <f ca="1">-G34</f>
        <v>1e-12</v>
      </c>
      <c r="H60" s="372">
        <f ca="1">-H34</f>
        <v>1e-12</v>
      </c>
      <c r="I60" s="372">
        <f ca="1">-I34</f>
        <v>1e-12</v>
      </c>
      <c r="J60" s="355">
        <f ca="1">SUM(F60:I60)</f>
        <v>1e-12</v>
      </c>
      <c r="K60" s="372">
        <f t="shared" ref="K60:N60" si="52" ca="1">-K34</f>
        <v>1e-12</v>
      </c>
      <c r="L60" s="372">
        <f ca="1">-L34</f>
        <v>1e-12</v>
      </c>
      <c r="M60" s="372">
        <f ca="1">-M34</f>
        <v>1e-12</v>
      </c>
      <c r="N60" s="372">
        <f ca="1">-N34</f>
        <v>1e-12</v>
      </c>
      <c r="O60" s="355">
        <f ca="1">SUM(K60:N60)</f>
        <v>1e-12</v>
      </c>
      <c r="P60" s="372">
        <f t="shared" ref="P60:S60" si="53" ca="1">-P34</f>
        <v>1e-12</v>
      </c>
      <c r="Q60" s="372">
        <f ca="1">-Q34</f>
        <v>1e-12</v>
      </c>
      <c r="R60" s="372">
        <f ca="1">-R34</f>
        <v>1e-12</v>
      </c>
      <c r="S60" s="372">
        <f ca="1">-S34</f>
        <v>1e-12</v>
      </c>
      <c r="T60" s="355">
        <f ca="1">SUM(P60:S60)</f>
        <v>1e-12</v>
      </c>
      <c r="U60" s="372">
        <f t="shared" ref="U60:X60" si="54" ca="1">-U34</f>
        <v>1e-12</v>
      </c>
      <c r="V60" s="372">
        <f ca="1">-V34</f>
        <v>409</v>
      </c>
      <c r="W60" s="372">
        <f ca="1">-W34</f>
        <v>425</v>
      </c>
      <c r="X60" s="356">
        <f ca="1">-X34</f>
        <v>331.18750000000006</v>
      </c>
      <c r="Y60" s="355">
        <f ca="1">SUM(U60:X60)</f>
        <v>1556.1875</v>
      </c>
      <c r="Z60" s="356">
        <f t="shared" ref="Z60:AC60" si="55" ca="1">-Z34</f>
        <v>331.86891850000006</v>
      </c>
      <c r="AA60" s="356">
        <f ca="1">-AA34</f>
        <v>336.85146518625004</v>
      </c>
      <c r="AB60" s="356">
        <f ca="1">-AB34</f>
        <v>342.23237867969067</v>
      </c>
      <c r="AC60" s="356">
        <f ca="1">-AC34</f>
        <v>343.91086566405204</v>
      </c>
      <c r="AD60" s="355">
        <f ca="1">SUM(Z60:AC60)</f>
        <v>1354.863628029993</v>
      </c>
      <c r="AE60" s="355">
        <f t="shared" ref="AE60:AG60" si="56" ca="1">-AE34</f>
        <v>1420.1551602334257</v>
      </c>
      <c r="AF60" s="355">
        <f ca="1">-AF34</f>
        <v>1472.475831890681</v>
      </c>
      <c r="AG60" s="355">
        <f ca="1">-AG34</f>
        <v>1524.1208520524956</v>
      </c>
      <c r="AH60" s="16"/>
      <c r="AI60" s="16"/>
      <c r="AJ60" s="16"/>
      <c r="AK60" s="16"/>
    </row>
    <row r="61" ht="13.5" customHeight="1" spans="1:37" x14ac:dyDescent="0.25">
      <c r="A61" s="264"/>
      <c r="B61" s="16"/>
      <c r="C61" s="139" t="s">
        <v>292</v>
      </c>
      <c r="D61" s="16"/>
      <c r="E61" s="16"/>
      <c r="F61" s="353">
        <f t="shared" ref="F61:I61" si="57" ca="1">SUM(F59:F60)</f>
        <v>17415</v>
      </c>
      <c r="G61" s="353">
        <f ca="1">SUM(G59:G60)</f>
        <v>21838</v>
      </c>
      <c r="H61" s="353">
        <f ca="1">SUM(H59:H60)</f>
        <v>21343</v>
      </c>
      <c r="I61" s="353">
        <f ca="1">SUM(I59:I60)</f>
        <v>23697</v>
      </c>
      <c r="J61" s="282">
        <f ca="1">SUM(F61:I61)</f>
        <v>84293</v>
      </c>
      <c r="K61" s="353">
        <f t="shared" ref="K61:N61" si="58" ca="1">SUM(K59:K60)</f>
        <v>25472</v>
      </c>
      <c r="L61" s="353">
        <f ca="1">SUM(L59:L60)</f>
        <v>27425</v>
      </c>
      <c r="M61" s="353">
        <f ca="1">SUM(M59:M60)</f>
        <v>28521</v>
      </c>
      <c r="N61" s="353">
        <f ca="1">SUM(N59:N60)</f>
        <v>30972</v>
      </c>
      <c r="O61" s="282">
        <f ca="1">SUM(K61:N61)</f>
        <v>112390</v>
      </c>
      <c r="P61" s="353">
        <f t="shared" ref="P61:S61" si="59" ca="1">SUM(P59:P60)</f>
        <v>30606</v>
      </c>
      <c r="Q61" s="353">
        <f ca="1">SUM(Q59:Q60)</f>
        <v>31271</v>
      </c>
      <c r="R61" s="353">
        <f ca="1">SUM(R59:R60)</f>
        <v>31228</v>
      </c>
      <c r="S61" s="353">
        <f ca="1">SUM(S59:S60)</f>
        <v>35934</v>
      </c>
      <c r="T61" s="282">
        <f ca="1">SUM(P61:S61)</f>
        <v>129039</v>
      </c>
      <c r="U61" s="353">
        <f t="shared" ref="U61:X61" si="60" ca="1">SUM(U59:U60)</f>
        <v>39696</v>
      </c>
      <c r="V61" s="353">
        <f ca="1">SUM(V59:V60)</f>
        <v>4619</v>
      </c>
      <c r="W61" s="353">
        <f ca="1">SUM(W59:W60)</f>
        <v>3207</v>
      </c>
      <c r="X61" s="281">
        <f ca="1">SUM(X59:X60)</f>
        <v>-1959.4890000000005</v>
      </c>
      <c r="Y61" s="282">
        <f ca="1">SUM(U61:X61)</f>
        <v>-91903.489</v>
      </c>
      <c r="Z61" s="281">
        <f ca="1">SUM(Z59:Z60)</f>
        <v>-2183.7416300000014</v>
      </c>
      <c r="AA61" s="281">
        <f ca="1">SUM(AA59:AA60)</f>
        <v>-2343.0263136</v>
      </c>
      <c r="AB61" s="281">
        <f ca="1">SUM(AB59:AB60)</f>
        <v>-2577.3289449600006</v>
      </c>
      <c r="AC61" s="281">
        <f ca="1">SUM(AC59:AC60)</f>
        <v>-2081.193123055202</v>
      </c>
      <c r="AD61" s="282">
        <f ca="1">SUM(Z61:AC61)</f>
        <v>-9185.290011615205</v>
      </c>
      <c r="AE61" s="282">
        <f ca="1">SUM(AE59:AE60)</f>
        <v>-8157.958390797736</v>
      </c>
      <c r="AF61" s="282">
        <f ca="1">SUM(AF59:AF60)</f>
        <v>-7773.6756139680565</v>
      </c>
      <c r="AG61" s="282">
        <f ca="1">SUM(AG59:AG60)</f>
        <v>-7147.402029293433</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61" ca="1">F$25</f>
        <v>1e-12</v>
      </c>
      <c r="G63" s="194">
        <f ca="1">G$25</f>
        <v>1e-12</v>
      </c>
      <c r="H63" s="194">
        <f ca="1">H$25</f>
        <v>1e-12</v>
      </c>
      <c r="I63" s="194">
        <f ca="1">I$25</f>
        <v>1e-12</v>
      </c>
      <c r="J63" s="194">
        <f ca="1">J$25</f>
        <v>2023</v>
      </c>
      <c r="K63" s="194">
        <f ca="1">K$25</f>
        <v>1e-12</v>
      </c>
      <c r="L63" s="194">
        <f ca="1">L$25</f>
        <v>1e-12</v>
      </c>
      <c r="M63" s="194">
        <f ca="1">M$25</f>
        <v>1e-12</v>
      </c>
      <c r="N63" s="194">
        <f ca="1">N$25</f>
        <v>1e-12</v>
      </c>
      <c r="O63" s="194">
        <f ca="1">O$25</f>
        <v>2024</v>
      </c>
      <c r="P63" s="194">
        <f ca="1">P$25</f>
        <v>1e-12</v>
      </c>
      <c r="Q63" s="194">
        <f ca="1">Q$25</f>
        <v>1e-12</v>
      </c>
      <c r="R63" s="194">
        <f ca="1">R$25</f>
        <v>1e-12</v>
      </c>
      <c r="S63" s="194">
        <f ca="1">S$25</f>
        <v>1e-12</v>
      </c>
      <c r="T63" s="194">
        <f ca="1">T$25</f>
        <v>2025</v>
      </c>
      <c r="U63" s="194">
        <f ca="1">U$25</f>
        <v>1e-12</v>
      </c>
      <c r="V63" s="194" t="str">
        <f ca="1">V$25</f>
        <v>2Q26</v>
      </c>
      <c r="W63" s="194" t="str">
        <f ca="1">W$25</f>
        <v>3Q26e</v>
      </c>
      <c r="X63" s="194" t="str">
        <f ca="1">X$25</f>
        <v>4Q26e</v>
      </c>
      <c r="Y63" s="194" t="str">
        <f ca="1">Y$25</f>
        <v>2026e</v>
      </c>
      <c r="Z63" s="194" t="str">
        <f ca="1">Z$25</f>
        <v>1Q27e</v>
      </c>
      <c r="AA63" s="194" t="str">
        <f ca="1">AA$25</f>
        <v>2Q27e</v>
      </c>
      <c r="AB63" s="194" t="str">
        <f ca="1">AB$25</f>
        <v>3Q27e</v>
      </c>
      <c r="AC63" s="194" t="str">
        <f ca="1">AC$25</f>
        <v>4Q27e</v>
      </c>
      <c r="AD63" s="194" t="str">
        <f ca="1">AD$25</f>
        <v>2027e</v>
      </c>
      <c r="AE63" s="194" t="str">
        <f ca="1">AE$25</f>
        <v>2028e</v>
      </c>
      <c r="AF63" s="194" t="str">
        <f ca="1">AF$25</f>
        <v>2029e</v>
      </c>
      <c r="AG63" s="352" t="str">
        <f ca="1">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62" ca="1">F30/F28</f>
        <v>0.5613509679453194</v>
      </c>
      <c r="G66" s="377">
        <f ca="1">G30/G28</f>
        <v>0.5721945204010509</v>
      </c>
      <c r="H66" s="377">
        <f ca="1">H30/H28</f>
        <v>0.5667270806983689</v>
      </c>
      <c r="I66" s="377">
        <f ca="1">I30/I28</f>
        <v>0.564650677789364</v>
      </c>
      <c r="J66" s="378">
        <f ca="1">J30/J28</f>
        <v>0.566250479840205</v>
      </c>
      <c r="K66" s="377">
        <f ca="1">K30/K28</f>
        <v>0.5814201815269621</v>
      </c>
      <c r="L66" s="377">
        <f ca="1">L30/L28</f>
        <v>0.5809987963465578</v>
      </c>
      <c r="M66" s="377">
        <f ca="1">M30/M28</f>
        <v>0.5867811664476368</v>
      </c>
      <c r="N66" s="377">
        <f ca="1">N30/N28</f>
        <v>0.5790046543449191</v>
      </c>
      <c r="O66" s="378">
        <f ca="1">O30/O28</f>
        <v>0.5820043540617911</v>
      </c>
      <c r="P66" s="377">
        <f ca="1">P30/P28</f>
        <v>0.5970365937451515</v>
      </c>
      <c r="Q66" s="377">
        <f ca="1">Q30/Q28</f>
        <v>0.5951487119923674</v>
      </c>
      <c r="R66" s="377">
        <f ca="1">R30/R28</f>
        <v>0.5957927031833193</v>
      </c>
      <c r="S66" s="377">
        <f ca="1">S30/S28</f>
        <v>0.597931985697845</v>
      </c>
      <c r="T66" s="378">
        <f ca="1">T30/T28</f>
        <v>0.596521670055134</v>
      </c>
      <c r="U66" s="377">
        <f ca="1">U30/U28</f>
        <v>0.6244540292640315</v>
      </c>
      <c r="V66" s="377">
        <f ca="1">V30/V28</f>
        <v>0.33775843307943415</v>
      </c>
      <c r="W66" s="377">
        <f ca="1">W30/W28</f>
        <v>0.33104982982808273</v>
      </c>
      <c r="X66" s="379">
        <f ca="1">IF(Cover!$F$37="Bottom Up",(X30/X28),Drivers!X7)</f>
        <v>0.13</v>
      </c>
      <c r="Y66" s="378">
        <f ca="1">Y30/Y28</f>
        <v>0.28815440500361494</v>
      </c>
      <c r="Z66" s="379">
        <f ca="1">IF(Cover!$F$37="Bottom Up",(Z30/Z28),Drivers!Z7)</f>
        <v>0.14</v>
      </c>
      <c r="AA66" s="379">
        <f ca="1">IF(Cover!$F$37="Bottom Up",(AA30/AA28),Drivers!AA7)</f>
        <v>0.145</v>
      </c>
      <c r="AB66" s="379">
        <f ca="1">IF(Cover!$F$37="Bottom Up",(AB30/AB28),Drivers!AB7)</f>
        <v>0.12</v>
      </c>
      <c r="AC66" s="379">
        <f ca="1">IF(Cover!$F$37="Bottom Up",(AC30/AC28),Drivers!AC7)</f>
        <v>0.135</v>
      </c>
      <c r="AD66" s="378">
        <f ca="1">AD30/AD28</f>
        <v>0.13533005878561802</v>
      </c>
      <c r="AE66" s="378">
        <f ca="1">IF(Cover!$F$37="Bottom Up",(AE30/AE28),Drivers!AE7)</f>
        <v>0.139</v>
      </c>
      <c r="AF66" s="378">
        <f ca="1">IF(Cover!$F$37="Bottom Up",(AF30/AF28),Drivers!AF7)</f>
        <v>0.14</v>
      </c>
      <c r="AG66" s="378">
        <f ca="1">IF(Cover!$F$37="Bottom Up",(AG30/AG28),Drivers!AG7)</f>
        <v>0.142</v>
      </c>
      <c r="AH66" s="16"/>
      <c r="AI66" s="16"/>
      <c r="AJ66" s="16"/>
      <c r="AK66" s="16"/>
    </row>
    <row r="67" ht="13.5" customHeight="1" spans="1:37" x14ac:dyDescent="0.25">
      <c r="A67" s="264"/>
      <c r="B67" s="47"/>
      <c r="C67" s="16" t="s">
        <v>294</v>
      </c>
      <c r="D67" s="47"/>
      <c r="E67" s="47"/>
      <c r="F67" s="377">
        <f t="shared" ref="F67:W67" si="63" ca="1">F32/F28</f>
        <v>-0.14747732385687878</v>
      </c>
      <c r="G67" s="377">
        <f ca="1">G32/G28</f>
        <v>-0.13755294622272266</v>
      </c>
      <c r="H67" s="377">
        <f ca="1">H32/H28</f>
        <v>-0.14164265317564836</v>
      </c>
      <c r="I67" s="377">
        <f ca="1">I32/I28</f>
        <v>-0.1497508979260804</v>
      </c>
      <c r="J67" s="378">
        <f ca="1">J32/J28</f>
        <v>-0.14425135168545905</v>
      </c>
      <c r="K67" s="377">
        <f ca="1">K32/K28</f>
        <v>-0.11735929177168825</v>
      </c>
      <c r="L67" s="377">
        <f ca="1">L32/L28</f>
        <v>-0.11741521323546765</v>
      </c>
      <c r="M67" s="377">
        <f ca="1">M32/M28</f>
        <v>-0.12264920469479312</v>
      </c>
      <c r="N67" s="377">
        <f ca="1">N32/N28</f>
        <v>-0.12198737418237983</v>
      </c>
      <c r="O67" s="378">
        <f ca="1">O32/O28</f>
        <v>-0.1199824009050963</v>
      </c>
      <c r="P67" s="377">
        <f ca="1">P32/P28</f>
        <v>-0.10762018751246759</v>
      </c>
      <c r="Q67" s="377">
        <f ca="1">Q32/Q28</f>
        <v>-0.12766001576305638</v>
      </c>
      <c r="R67" s="377">
        <f ca="1">R32/R28</f>
        <v>-0.14263381079866336</v>
      </c>
      <c r="S67" s="377">
        <f ca="1">S32/S28</f>
        <v>-0.11909091707737045</v>
      </c>
      <c r="T67" s="378">
        <f ca="1">T32/T28</f>
        <v>-0.1245541000454278</v>
      </c>
      <c r="U67" s="377">
        <f ca="1">U32/U28</f>
        <v>-0.10825689743029773</v>
      </c>
      <c r="V67" s="377">
        <f ca="1">V32/V28</f>
        <v>-0.17022125498730503</v>
      </c>
      <c r="W67" s="377">
        <f ca="1">W32/W28</f>
        <v>-0.19081071646740552</v>
      </c>
      <c r="X67" s="380">
        <f ca="1">Drivers!X40</f>
        <v>-0.22</v>
      </c>
      <c r="Y67" s="378">
        <f ca="1">Y32/Y28</f>
        <v>-0.18979585673045993</v>
      </c>
      <c r="Z67" s="380">
        <f ca="1">Drivers!Z40</f>
        <v>-0.225</v>
      </c>
      <c r="AA67" s="380">
        <f ca="1">Drivers!AA40</f>
        <v>-0.225</v>
      </c>
      <c r="AB67" s="380">
        <f ca="1">Drivers!AB40</f>
        <v>-0.22</v>
      </c>
      <c r="AC67" s="380">
        <f ca="1">Drivers!AC40</f>
        <v>-0.22</v>
      </c>
      <c r="AD67" s="378">
        <f ca="1">AD32/AD28</f>
        <v>-0.22261215163174033</v>
      </c>
      <c r="AE67" s="381">
        <f ca="1">Drivers!AE40</f>
        <v>-0.215</v>
      </c>
      <c r="AF67" s="381">
        <f ca="1">Drivers!AF40</f>
        <v>-0.211</v>
      </c>
      <c r="AG67" s="381">
        <f ca="1">Drivers!AG40</f>
        <v>-0.206</v>
      </c>
      <c r="AH67" s="16"/>
      <c r="AI67" s="16"/>
      <c r="AJ67" s="16"/>
      <c r="AK67" s="16"/>
    </row>
    <row r="68" ht="13.5" customHeight="1" spans="1:37" x14ac:dyDescent="0.25">
      <c r="A68" s="264"/>
      <c r="B68" s="47"/>
      <c r="C68" s="16" t="s">
        <v>295</v>
      </c>
      <c r="D68" s="47"/>
      <c r="E68" s="47"/>
      <c r="F68" s="377">
        <f t="shared" ref="F68:W68" si="64" ca="1">F33/F28</f>
        <v>-0.1643285998824996</v>
      </c>
      <c r="G68" s="377">
        <f ca="1">G33/G28</f>
        <v>-0.14192268511071793</v>
      </c>
      <c r="H68" s="377">
        <f ca="1">H33/H28</f>
        <v>-0.14679305803658743</v>
      </c>
      <c r="I68" s="377">
        <f ca="1">I33/I28</f>
        <v>-0.14034294983200093</v>
      </c>
      <c r="J68" s="378">
        <f ca="1">J33/J28</f>
        <v>-0.14778102370247956</v>
      </c>
      <c r="K68" s="377">
        <f ca="1">K33/K28</f>
        <v>-0.1477917530637331</v>
      </c>
      <c r="L68" s="377">
        <f ca="1">L33/L28</f>
        <v>-0.13995421396710014</v>
      </c>
      <c r="M68" s="377">
        <f ca="1">M33/M28</f>
        <v>-0.1410137309104092</v>
      </c>
      <c r="N68" s="377">
        <f ca="1">N33/N28</f>
        <v>-0.13596077496397807</v>
      </c>
      <c r="O68" s="378">
        <f ca="1">O33/O28</f>
        <v>-0.14092418104211785</v>
      </c>
      <c r="P68" s="377">
        <f ca="1">P33/P28</f>
        <v>-0.15023162001019572</v>
      </c>
      <c r="Q68" s="377">
        <f ca="1">Q33/Q28</f>
        <v>-0.1431949226365786</v>
      </c>
      <c r="R68" s="377">
        <f ca="1">R33/R28</f>
        <v>-0.14803705078850174</v>
      </c>
      <c r="S68" s="377">
        <f ca="1">S33/S28</f>
        <v>-0.16315701622609352</v>
      </c>
      <c r="T68" s="378">
        <f ca="1">T33/T28</f>
        <v>-0.15164197926208367</v>
      </c>
      <c r="U68" s="377">
        <f ca="1">U33/U28</f>
        <v>-0.15498289291693965</v>
      </c>
      <c r="V68" s="377">
        <f ca="1">V33/V28</f>
      </c>
      <c r="W68" s="377">
        <f ca="1">W33/W28</f>
        <v>1e-12</v>
      </c>
      <c r="X68" s="380">
        <f ca="1">Drivers!X45</f>
        <v>1e-12</v>
      </c>
      <c r="Y68" s="378">
        <f ca="1">Y33/Y28</f>
        <v>-0.38111349045985576</v>
      </c>
      <c r="Z68" s="380">
        <f ca="1">Drivers!Z45</f>
        <v>1e-12</v>
      </c>
      <c r="AA68" s="380">
        <f ca="1">Drivers!AA45</f>
        <v>1e-12</v>
      </c>
      <c r="AB68" s="380">
        <f ca="1">Drivers!AB45</f>
        <v>1e-12</v>
      </c>
      <c r="AC68" s="380">
        <f ca="1">Drivers!AC45</f>
        <v>1e-12</v>
      </c>
      <c r="AD68" s="378">
        <f ca="1">AD33/AD28</f>
        <v>1e-12</v>
      </c>
      <c r="AE68" s="381">
        <f ca="1">Drivers!AE45</f>
        <v>1e-12</v>
      </c>
      <c r="AF68" s="381">
        <f ca="1">Drivers!AF45</f>
        <v>1e-12</v>
      </c>
      <c r="AG68" s="381">
        <f ca="1">Drivers!AG45</f>
        <v>1e-12</v>
      </c>
      <c r="AH68" s="16"/>
      <c r="AI68" s="16"/>
      <c r="AJ68" s="16"/>
      <c r="AK68" s="16"/>
    </row>
    <row r="69" ht="13.5" customHeight="1" spans="1:37" x14ac:dyDescent="0.25">
      <c r="A69" s="264"/>
      <c r="B69" s="47"/>
      <c r="C69" s="16" t="s">
        <v>296</v>
      </c>
      <c r="D69" s="47"/>
      <c r="E69" s="47"/>
      <c r="F69" s="377">
        <f t="shared" ref="F69:W69" si="65" ca="1">F35/F28</f>
        <v>1e-12</v>
      </c>
      <c r="G69" s="377">
        <f ca="1">G35/G28</f>
        <v>1e-12</v>
      </c>
      <c r="H69" s="377">
        <f ca="1">H35/H28</f>
        <v>1e-12</v>
      </c>
      <c r="I69" s="377">
        <f ca="1">I35/I28</f>
        <v>1e-12</v>
      </c>
      <c r="J69" s="378">
        <f ca="1">J35/J28</f>
        <v>1e-12</v>
      </c>
      <c r="K69" s="377">
        <f ca="1">K35/K28</f>
        <v>1e-12</v>
      </c>
      <c r="L69" s="377">
        <f ca="1">L35/L28</f>
        <v>1e-12</v>
      </c>
      <c r="M69" s="377">
        <f ca="1">M35/M28</f>
        <v>1e-12</v>
      </c>
      <c r="N69" s="377">
        <f ca="1">N35/N28</f>
        <v>1e-12</v>
      </c>
      <c r="O69" s="378">
        <f ca="1">O35/O28</f>
        <v>1e-12</v>
      </c>
      <c r="P69" s="377">
        <f ca="1">P35/P28</f>
        <v>1e-12</v>
      </c>
      <c r="Q69" s="377">
        <f ca="1">Q35/Q28</f>
        <v>1e-12</v>
      </c>
      <c r="R69" s="377">
        <f ca="1">R35/R28</f>
        <v>1e-12</v>
      </c>
      <c r="S69" s="377">
        <f ca="1">S35/S28</f>
        <v>1e-12</v>
      </c>
      <c r="T69" s="378">
        <f ca="1">T35/T28</f>
        <v>1e-12</v>
      </c>
      <c r="U69" s="377">
        <f ca="1">U35/U28</f>
        <v>1e-12</v>
      </c>
      <c r="V69" s="377">
        <f ca="1">V35/V28</f>
      </c>
      <c r="W69" s="377">
        <f ca="1">W35/W28</f>
        <v>1e-12</v>
      </c>
      <c r="X69" s="380">
        <f ca="1">Drivers!X50</f>
        <v>1e-12</v>
      </c>
      <c r="Y69" s="378">
        <f ca="1">Y35/Y28</f>
        <v>1e-12</v>
      </c>
      <c r="Z69" s="380">
        <f ca="1">Drivers!Z50</f>
        <v>1e-12</v>
      </c>
      <c r="AA69" s="380">
        <f ca="1">Drivers!AA50</f>
        <v>1e-12</v>
      </c>
      <c r="AB69" s="380">
        <f ca="1">Drivers!AB50</f>
        <v>1e-12</v>
      </c>
      <c r="AC69" s="380">
        <f ca="1">Drivers!AC50</f>
        <v>1e-12</v>
      </c>
      <c r="AD69" s="378">
        <f ca="1">AD35/AD28</f>
        <v>1e-12</v>
      </c>
      <c r="AE69" s="381">
        <f ca="1">Drivers!AE50</f>
        <v>1e-12</v>
      </c>
      <c r="AF69" s="381">
        <f ca="1">Drivers!AF50</f>
        <v>1e-12</v>
      </c>
      <c r="AG69" s="381">
        <f ca="1">Drivers!AG50</f>
        <v>1e-12</v>
      </c>
      <c r="AH69" s="16"/>
      <c r="AI69" s="16"/>
      <c r="AJ69" s="16"/>
      <c r="AK69" s="16"/>
    </row>
    <row r="70" ht="13.5" customHeight="1" spans="1:37" x14ac:dyDescent="0.25">
      <c r="A70" s="264"/>
      <c r="B70" s="47"/>
      <c r="C70" s="16" t="s">
        <v>297</v>
      </c>
      <c r="D70" s="47"/>
      <c r="E70" s="47"/>
      <c r="F70" s="377">
        <f t="shared" ref="F70:W70" si="66" ca="1">F41/F28</f>
        <v>0.0010460400934271426</v>
      </c>
      <c r="G70" s="377">
        <f ca="1">G41/G28</f>
        <v>-0.010508819902418101</v>
      </c>
      <c r="H70" s="377">
        <f ca="1">H41/H28</f>
        <v>-0.014290743614149922</v>
      </c>
      <c r="I70" s="377">
        <f ca="1">I41/I28</f>
        <v>-0.0037770826091993977</v>
      </c>
      <c r="J70" s="378">
        <f ca="1">J41/J28</f>
        <v>-0.006938977338529705</v>
      </c>
      <c r="K70" s="377">
        <f ca="1">K41/K28</f>
        <v>0.023293062988117556</v>
      </c>
      <c r="L70" s="377">
        <f ca="1">L41/L28</f>
        <v>-0.011293101413702768</v>
      </c>
      <c r="M70" s="377">
        <f ca="1">M41/M28</f>
        <v>0.02209181130194408</v>
      </c>
      <c r="N70" s="377">
        <f ca="1">N41/N28</f>
        <v>0.0019902766691890657</v>
      </c>
      <c r="O70" s="378">
        <f ca="1">O41/O28</f>
        <v>0.008745264529252781</v>
      </c>
      <c r="P70" s="377">
        <f ca="1">P41/P28</f>
        <v>0.11300618392180331</v>
      </c>
      <c r="Q70" s="377">
        <f ca="1">Q41/Q28</f>
        <v>0.016883063010743767</v>
      </c>
      <c r="R70" s="377">
        <f ca="1">R41/R28</f>
        <v>0.11431809743419381</v>
      </c>
      <c r="S70" s="377">
        <f ca="1">S41/S28</f>
        <v>0.017491149004208065</v>
      </c>
      <c r="T70" s="378">
        <f ca="1">T41/T28</f>
        <v>0.06334075569026679</v>
      </c>
      <c r="U70" s="377">
        <f ca="1">U41/U28</f>
        <v>0.3307854698988134</v>
      </c>
      <c r="V70" s="377">
        <f ca="1">V41/V28</f>
      </c>
      <c r="W70" s="377">
        <f ca="1">W41/W28</f>
        <v>1e-12</v>
      </c>
      <c r="X70" s="380">
        <f ca="1">Drivers!X57</f>
        <v>1e-12</v>
      </c>
      <c r="Y70" s="378">
        <f ca="1">Y41/Y28</f>
        <v>0.8134240021839289</v>
      </c>
      <c r="Z70" s="380">
        <f ca="1">Drivers!Z57</f>
        <v>1e-12</v>
      </c>
      <c r="AA70" s="380">
        <f ca="1">Drivers!AA57</f>
        <v>1e-12</v>
      </c>
      <c r="AB70" s="380">
        <f ca="1">Drivers!AB57</f>
        <v>1e-12</v>
      </c>
      <c r="AC70" s="380">
        <f ca="1">Drivers!AC57</f>
        <v>1e-12</v>
      </c>
      <c r="AD70" s="378">
        <f ca="1">AD41/AD28</f>
        <v>1e-12</v>
      </c>
      <c r="AE70" s="381">
        <f ca="1">Drivers!AE57</f>
        <v>1e-12</v>
      </c>
      <c r="AF70" s="381">
        <f ca="1">Drivers!AF57</f>
        <v>1e-12</v>
      </c>
      <c r="AG70" s="381">
        <f ca="1">Drivers!AG57</f>
        <v>1e-12</v>
      </c>
      <c r="AH70" s="16"/>
      <c r="AI70" s="16"/>
      <c r="AJ70" s="16"/>
      <c r="AK70" s="16"/>
    </row>
    <row r="71" ht="13.5" customHeight="1" spans="1:37" x14ac:dyDescent="0.25">
      <c r="A71" s="264"/>
      <c r="B71" s="47"/>
      <c r="C71" s="16" t="s">
        <v>298</v>
      </c>
      <c r="D71" s="47"/>
      <c r="E71" s="47"/>
      <c r="F71" s="377">
        <f t="shared" ref="F71:W71" si="67" ca="1">-F44/F42</f>
        <v>0.1732491073880802</v>
      </c>
      <c r="G71" s="377">
        <f ca="1">-G44/G42</f>
        <v>0.16139341642697347</v>
      </c>
      <c r="H71" s="377">
        <f ca="1">-H44/H42</f>
        <v>0.07114214275605038</v>
      </c>
      <c r="I71" s="377">
        <f ca="1">-I44/I42</f>
        <v>0.15258889070948714</v>
      </c>
      <c r="J71" s="378">
        <f ca="1">-J44/J42</f>
        <v>0.13908559562280529</v>
      </c>
      <c r="K71" s="377">
        <f ca="1">-K44/K42</f>
        <v>0.16432986049796927</v>
      </c>
      <c r="L71" s="377">
        <f ca="1">-L44/L42</f>
        <v>0.14271714275343908</v>
      </c>
      <c r="M71" s="377">
        <f ca="1">-M44/M42</f>
        <v>0.17047246577934777</v>
      </c>
      <c r="N71" s="377">
        <f ca="1">-N44/N42</f>
        <v>0.1769996588406786</v>
      </c>
      <c r="O71" s="378">
        <f ca="1">-O44/O42</f>
        <v>0.16439510912657013</v>
      </c>
      <c r="P71" s="377">
        <f ca="1">-P44/P42</f>
        <v>0.173466701763622</v>
      </c>
      <c r="Q71" s="377">
        <f ca="1">-Q44/Q42</f>
        <v>0.16906845843279403</v>
      </c>
      <c r="R71" s="377">
        <f ca="1">-R44/R42</f>
        <v>0.20478777820719757</v>
      </c>
      <c r="S71" s="377">
        <f ca="1">-S44/S42</f>
        <v>0.11918091878211519</v>
      </c>
      <c r="T71" s="378">
        <f ca="1">-T44/T42</f>
        <v>0.16783146336242177</v>
      </c>
      <c r="U71" s="377">
        <f ca="1">-U44/U42</f>
        <v>0.19162403761690694</v>
      </c>
      <c r="V71" s="377">
        <f ca="1">-V44/V42</f>
        <v>0.2443665498247371</v>
      </c>
      <c r="W71" s="377">
        <f ca="1">-W44/W42</f>
        <v>0.26110678098207324</v>
      </c>
      <c r="X71" s="380">
        <f ca="1">Drivers!X64</f>
        <v>0.24</v>
      </c>
      <c r="Y71" s="378">
        <f ca="1">-Y44/Y42</f>
        <v>-0.28352091084656006</v>
      </c>
      <c r="Z71" s="380">
        <f ca="1">Drivers!Z64</f>
        <v>0.24</v>
      </c>
      <c r="AA71" s="380">
        <f ca="1">Drivers!AA64</f>
        <v>0.24</v>
      </c>
      <c r="AB71" s="380">
        <f ca="1">Drivers!AB64</f>
        <v>0.24</v>
      </c>
      <c r="AC71" s="380">
        <f ca="1">Drivers!AC64</f>
        <v>0.24</v>
      </c>
      <c r="AD71" s="378">
        <f ca="1">-AD44/AD42</f>
        <v>0.24000000000000005</v>
      </c>
      <c r="AE71" s="381">
        <f ca="1">Drivers!AE64</f>
        <v>0.24</v>
      </c>
      <c r="AF71" s="381">
        <f ca="1">Drivers!AF64</f>
        <v>0.24</v>
      </c>
      <c r="AG71" s="381">
        <f ca="1">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 ca="1">F$25</f>
        <v>1e-12</v>
      </c>
      <c r="G73" s="63">
        <f t="shared" ref="G73:AG73" si="68" ca="1">G$63</f>
        <v>1e-12</v>
      </c>
      <c r="H73" s="63">
        <f ca="1">H$63</f>
        <v>1e-12</v>
      </c>
      <c r="I73" s="63">
        <f ca="1">I$63</f>
        <v>1e-12</v>
      </c>
      <c r="J73" s="63">
        <f ca="1">J$63</f>
        <v>2023</v>
      </c>
      <c r="K73" s="63">
        <f ca="1">K$63</f>
        <v>1e-12</v>
      </c>
      <c r="L73" s="63">
        <f ca="1">L$63</f>
        <v>1e-12</v>
      </c>
      <c r="M73" s="63">
        <f ca="1">M$63</f>
        <v>1e-12</v>
      </c>
      <c r="N73" s="63">
        <f ca="1">N$63</f>
        <v>1e-12</v>
      </c>
      <c r="O73" s="63">
        <f ca="1">O$63</f>
        <v>2024</v>
      </c>
      <c r="P73" s="63">
        <f ca="1">P$63</f>
        <v>1e-12</v>
      </c>
      <c r="Q73" s="63">
        <f ca="1">Q$63</f>
        <v>1e-12</v>
      </c>
      <c r="R73" s="63">
        <f ca="1">R$63</f>
        <v>1e-12</v>
      </c>
      <c r="S73" s="63">
        <f ca="1">S$63</f>
        <v>1e-12</v>
      </c>
      <c r="T73" s="63">
        <f ca="1">T$63</f>
        <v>2025</v>
      </c>
      <c r="U73" s="63">
        <f ca="1">U$63</f>
        <v>1e-12</v>
      </c>
      <c r="V73" s="63" t="str">
        <f ca="1">V$63</f>
        <v>2Q26</v>
      </c>
      <c r="W73" s="63" t="str">
        <f ca="1">W$63</f>
        <v>3Q26e</v>
      </c>
      <c r="X73" s="63" t="str">
        <f ca="1">X$63</f>
        <v>4Q26e</v>
      </c>
      <c r="Y73" s="63" t="str">
        <f ca="1">Y$63</f>
        <v>2026e</v>
      </c>
      <c r="Z73" s="63" t="str">
        <f ca="1">Z$63</f>
        <v>1Q27e</v>
      </c>
      <c r="AA73" s="63" t="str">
        <f ca="1">AA$63</f>
        <v>2Q27e</v>
      </c>
      <c r="AB73" s="63" t="str">
        <f ca="1">AB$63</f>
        <v>3Q27e</v>
      </c>
      <c r="AC73" s="63" t="str">
        <f ca="1">AC$63</f>
        <v>4Q27e</v>
      </c>
      <c r="AD73" s="63" t="str">
        <f ca="1">AD$63</f>
        <v>2027e</v>
      </c>
      <c r="AE73" s="63" t="str">
        <f ca="1">AE$63</f>
        <v>2028e</v>
      </c>
      <c r="AF73" s="63" t="str">
        <f ca="1">AF$63</f>
        <v>2029e</v>
      </c>
      <c r="AG73" s="64" t="str">
        <f ca="1">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 ca="1">X45</f>
        <v>-1906.5764130000002</v>
      </c>
      <c r="Y75" s="162">
        <f ca="1">SUM(U75:X75)</f>
        <v>-1906.5764130000002</v>
      </c>
      <c r="Z75" s="359">
        <f ca="1">Z45</f>
        <v>-2080.307973407448</v>
      </c>
      <c r="AA75" s="359">
        <f ca="1">AA45</f>
        <v>-2230.3409253683863</v>
      </c>
      <c r="AB75" s="359">
        <f ca="1">AB45</f>
        <v>-2445.218165559014</v>
      </c>
      <c r="AC75" s="359">
        <f ca="1">AC45</f>
        <v>-2106.239900203071</v>
      </c>
      <c r="AD75" s="162">
        <f ca="1">SUM(Z75:AC75)</f>
        <v>-8862.10696453792</v>
      </c>
      <c r="AE75" s="162">
        <f ca="1">AE45</f>
        <v>-8661.66839216869</v>
      </c>
      <c r="AF75" s="162">
        <f ca="1">AF45</f>
        <v>-8977.308225626371</v>
      </c>
      <c r="AG75" s="162">
        <f ca="1">AG45</f>
        <v>-9249.392148663952</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 ca="1">-(X194+X208)</f>
        <v>331.18750000000006</v>
      </c>
      <c r="Y76" s="162">
        <f ca="1">SUM(U76:X76)</f>
        <v>331.18750000000006</v>
      </c>
      <c r="Z76" s="359">
        <f t="shared" ref="Z76:AC76" si="69" ca="1">-(Z194+Z208)</f>
        <v>331.86891850000006</v>
      </c>
      <c r="AA76" s="359">
        <f ca="1">-(AA194+AA208)</f>
        <v>336.85146518625004</v>
      </c>
      <c r="AB76" s="359">
        <f ca="1">-(AB194+AB208)</f>
        <v>342.23237867969067</v>
      </c>
      <c r="AC76" s="359">
        <f ca="1">-(AC194+AC208)</f>
        <v>343.91086566405204</v>
      </c>
      <c r="AD76" s="162">
        <f ca="1">SUM(Z76:AC76)</f>
        <v>1354.863628029993</v>
      </c>
      <c r="AE76" s="162">
        <f t="shared" ref="AE76:AG76" si="70" ca="1">-(AE194+AE208)</f>
        <v>1420.1551602334257</v>
      </c>
      <c r="AF76" s="162">
        <f ca="1">-(AF194+AF208)</f>
        <v>1472.475831890681</v>
      </c>
      <c r="AG76" s="162">
        <f ca="1">-(AG194+AG208)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 ca="1">X246</f>
        <v>51.3</v>
      </c>
      <c r="Y77" s="162">
        <f ca="1">SUM(U77:X77)</f>
        <v>51.3</v>
      </c>
      <c r="Z77" s="359">
        <f t="shared" ref="Z77:AC77" si="71" ca="1">Z246</f>
        <v>60.534</v>
      </c>
      <c r="AA77" s="359">
        <f ca="1">AA246</f>
        <v>69.00876</v>
      </c>
      <c r="AB77" s="359">
        <f ca="1">AB246</f>
        <v>60.7277088</v>
      </c>
      <c r="AC77" s="359">
        <f ca="1">AC246</f>
        <v>57.69132336</v>
      </c>
      <c r="AD77" s="162">
        <f ca="1">SUM(Z77:AC77)</f>
        <v>247.96179216000002</v>
      </c>
      <c r="AE77" s="162">
        <f t="shared" ref="AE77:AG77" si="72" ca="1">AE246</f>
        <v>252.92102800319995</v>
      </c>
      <c r="AF77" s="162">
        <f ca="1">AF246</f>
        <v>257.979448563264</v>
      </c>
      <c r="AG77" s="162">
        <f ca="1">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 ca="1">X174</f>
        <v>1905.858056521738</v>
      </c>
      <c r="Y78" s="162">
        <f ca="1">SUM(U78:X78)</f>
        <v>1905.858056521738</v>
      </c>
      <c r="Z78" s="359">
        <f t="shared" ref="Z78:AC78" si="73" ca="1">Z174</f>
        <v>-3218.803117167892</v>
      </c>
      <c r="AA78" s="359">
        <f ca="1">AA174</f>
        <v>1362.6979720093877</v>
      </c>
      <c r="AB78" s="359">
        <f ca="1">AB174</f>
        <v>1373.9746146900507</v>
      </c>
      <c r="AC78" s="359">
        <f ca="1">AC174</f>
        <v>-901.3647696096486</v>
      </c>
      <c r="AD78" s="162">
        <f ca="1">SUM(Z78:AC78)</f>
        <v>-1383.4953000781024</v>
      </c>
      <c r="AE78" s="162">
        <f t="shared" ref="AE78:AG78" si="74" ca="1">AE174</f>
        <v>935.2397561061916</v>
      </c>
      <c r="AF78" s="162">
        <f ca="1">AF174</f>
        <v>49.709140188824676</v>
      </c>
      <c r="AG78" s="162">
        <f ca="1">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 ca="1">X228</f>
        <v>-112.52000000000044</v>
      </c>
      <c r="Y79" s="355">
        <f ca="1">SUM(U79:X79)</f>
        <v>-112.52000000000044</v>
      </c>
      <c r="Z79" s="356">
        <f t="shared" ref="Z79:AC79" si="75" ca="1">Z228</f>
        <v>-114.77040000000034</v>
      </c>
      <c r="AA79" s="356">
        <f ca="1">AA228</f>
        <v>-117.06580800000029</v>
      </c>
      <c r="AB79" s="356">
        <f ca="1">AB228</f>
        <v>-119.40712416000042</v>
      </c>
      <c r="AC79" s="356">
        <f ca="1">AC228</f>
        <v>-121.7952666432002</v>
      </c>
      <c r="AD79" s="355">
        <f ca="1">SUM(Z79:AC79)</f>
        <v>-473.03859880320124</v>
      </c>
      <c r="AE79" s="355">
        <f t="shared" ref="AE79:AG79" si="76" ca="1">AE228</f>
        <v>-124.2311719760637</v>
      </c>
      <c r="AF79" s="355">
        <f ca="1">AF228</f>
        <v>-126.71579541558549</v>
      </c>
      <c r="AG79" s="355">
        <f ca="1">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 ca="1">SUM(X75:X79)</f>
        <v>269.2491435217373</v>
      </c>
      <c r="Y80" s="282">
        <f ca="1">SUM(U80:X80)</f>
        <v>269.2491435217373</v>
      </c>
      <c r="Z80" s="281">
        <f ca="1">SUM(Z75:Z79)</f>
        <v>-5021.478572075341</v>
      </c>
      <c r="AA80" s="281">
        <f ca="1">SUM(AA75:AA79)</f>
        <v>-578.8485361727487</v>
      </c>
      <c r="AB80" s="281">
        <f ca="1">SUM(AB75:AB79)</f>
        <v>-787.690587549273</v>
      </c>
      <c r="AC80" s="281">
        <f ca="1">SUM(AC75:AC79)</f>
        <v>-2727.7977474318677</v>
      </c>
      <c r="AD80" s="282">
        <f ca="1">SUM(Z80:AC80)</f>
        <v>-9115.81544322923</v>
      </c>
      <c r="AE80" s="282">
        <f ca="1">SUM(AE75:AE79)</f>
        <v>-6177.583619801937</v>
      </c>
      <c r="AF80" s="282">
        <f ca="1">SUM(AF75:AF79)</f>
        <v>-7323.859600399188</v>
      </c>
      <c r="AG80" s="282">
        <f ca="1">SUM(AG75:AG79)</f>
        <v>-7546.464473872874</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 ca="1">-X193</f>
        <v>-370.1257</v>
      </c>
      <c r="Y82" s="162">
        <f t="shared" ref="Y82:Y85" si="77" ca="1">SUM(U82:X82)</f>
        <v>-370.1257</v>
      </c>
      <c r="Z82" s="359">
        <f t="shared" ref="Z82:AC82" si="78" ca="1">-Z193</f>
        <v>-616.585872</v>
      </c>
      <c r="AA82" s="359">
        <f ca="1">-AA193</f>
        <v>-644.3322362399999</v>
      </c>
      <c r="AB82" s="359">
        <f ca="1">-AB193</f>
        <v>-438.14592064320004</v>
      </c>
      <c r="AC82" s="359">
        <f ca="1">-AC193</f>
        <v>-416.23862461104</v>
      </c>
      <c r="AD82" s="162">
        <f t="shared" ref="AD82:AD85" si="79" ca="1">SUM(Z82:AC82)</f>
        <v>-2115.30265349424</v>
      </c>
      <c r="AE82" s="162">
        <f t="shared" ref="AE82:AG82" si="80" ca="1">-AE193</f>
        <v>-2146.8311554730876</v>
      </c>
      <c r="AF82" s="162">
        <f ca="1">-AF193</f>
        <v>-2189.7677785825495</v>
      </c>
      <c r="AG82" s="162">
        <f ca="1">-AG193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 ca="1">-X207</f>
        <v>1e-12</v>
      </c>
      <c r="Y83" s="162">
        <f ca="1">SUM(U83:X83)</f>
        <v>1e-12</v>
      </c>
      <c r="Z83" s="359">
        <f t="shared" ref="Z83:AC83" si="81" ca="1">-Z207</f>
        <v>1e-12</v>
      </c>
      <c r="AA83" s="359">
        <f ca="1">-AA207</f>
        <v>1e-12</v>
      </c>
      <c r="AB83" s="359">
        <f ca="1">-AB207</f>
        <v>1e-12</v>
      </c>
      <c r="AC83" s="359">
        <f ca="1">-AC207</f>
        <v>1e-12</v>
      </c>
      <c r="AD83" s="162">
        <f ca="1">SUM(Z83:AC83)</f>
        <v>1e-12</v>
      </c>
      <c r="AE83" s="162">
        <f t="shared" ref="AE83:AG83" si="82" ca="1">-AE207</f>
        <v>1e-12</v>
      </c>
      <c r="AF83" s="162">
        <f ca="1">-AF207</f>
        <v>1e-12</v>
      </c>
      <c r="AG83" s="162">
        <f ca="1">-AG207</f>
        <v>1e-12</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 ca="1">Drivers!X97</f>
        <v>1e-12</v>
      </c>
      <c r="Y84" s="355">
        <f ca="1">SUM(U84:X84)</f>
        <v>1e-12</v>
      </c>
      <c r="Z84" s="385">
        <f ca="1">Drivers!Z97</f>
        <v>1e-12</v>
      </c>
      <c r="AA84" s="385">
        <f ca="1">Drivers!AA97</f>
        <v>1e-12</v>
      </c>
      <c r="AB84" s="385">
        <f ca="1">Drivers!AB97</f>
        <v>1e-12</v>
      </c>
      <c r="AC84" s="385">
        <f ca="1">Drivers!AC97</f>
        <v>1e-12</v>
      </c>
      <c r="AD84" s="355">
        <f ca="1">SUM(Z84:AC84)</f>
        <v>1e-12</v>
      </c>
      <c r="AE84" s="355">
        <f ca="1">Drivers!AE97</f>
        <v>1e-12</v>
      </c>
      <c r="AF84" s="355">
        <f ca="1">Drivers!AF97</f>
        <v>1e-12</v>
      </c>
      <c r="AG84" s="355">
        <f ca="1">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 ca="1">SUM(X82:X84)</f>
        <v>-370.1257</v>
      </c>
      <c r="Y85" s="282">
        <f ca="1">SUM(U85:X85)</f>
        <v>-370.1257</v>
      </c>
      <c r="Z85" s="281">
        <f t="shared" ref="Z85:AC85" si="83" ca="1">SUM(Z82:Z84)</f>
        <v>-616.585872</v>
      </c>
      <c r="AA85" s="281">
        <f ca="1">SUM(AA82:AA84)</f>
        <v>-644.3322362399999</v>
      </c>
      <c r="AB85" s="281">
        <f ca="1">SUM(AB82:AB84)</f>
        <v>-438.14592064320004</v>
      </c>
      <c r="AC85" s="281">
        <f ca="1">SUM(AC82:AC84)</f>
        <v>-416.23862461104</v>
      </c>
      <c r="AD85" s="282">
        <f ca="1">SUM(Z85:AC85)</f>
        <v>-2115.30265349424</v>
      </c>
      <c r="AE85" s="282">
        <f t="shared" ref="AE85:AG85" si="84" ca="1">SUM(AE82:AE84)</f>
        <v>-2146.8311554730876</v>
      </c>
      <c r="AF85" s="282">
        <f ca="1">SUM(AF82:AF84)</f>
        <v>-2189.7677785825495</v>
      </c>
      <c r="AG85" s="282">
        <f ca="1">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 ca="1">SUM(X80,X85)</f>
        <v>-100.87655647826267</v>
      </c>
      <c r="Y87" s="389">
        <f ca="1">SUM(U87:X87)</f>
        <v>-100.87655647826267</v>
      </c>
      <c r="Z87" s="390">
        <f ca="1">SUM(Z80,Z85)</f>
        <v>-5638.06444407534</v>
      </c>
      <c r="AA87" s="390">
        <f ca="1">SUM(AA80,AA85)</f>
        <v>-1223.1807724127486</v>
      </c>
      <c r="AB87" s="390">
        <f ca="1">SUM(AB80,AB85)</f>
        <v>-1225.836508192473</v>
      </c>
      <c r="AC87" s="390">
        <f ca="1">SUM(AC80,AC85)</f>
        <v>-3144.0363720429077</v>
      </c>
      <c r="AD87" s="389">
        <f ca="1">SUM(Z87:AC87)</f>
        <v>-11231.118096723469</v>
      </c>
      <c r="AE87" s="389">
        <f ca="1">SUM(AE80,AE85)</f>
        <v>-8324.414775275025</v>
      </c>
      <c r="AF87" s="389">
        <f ca="1">SUM(AF80,AF85)</f>
        <v>-9513.627378981737</v>
      </c>
      <c r="AG87" s="389">
        <f ca="1">SUM(AG80,AG85)</f>
        <v>-9891.705764734785</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 ca="1">X303</f>
        <v>1e-12</v>
      </c>
      <c r="Y89" s="162">
        <f ca="1">SUM(U89:X89)</f>
        <v>1e-12</v>
      </c>
      <c r="Z89" s="359">
        <f ca="1">Z303</f>
        <v>1283.6175889362057</v>
      </c>
      <c r="AA89" s="359">
        <f ca="1">AA303</f>
        <v>4717.510188619452</v>
      </c>
      <c r="AB89" s="359">
        <f ca="1">AB303</f>
        <v>2868.436359172502</v>
      </c>
      <c r="AC89" s="359">
        <f ca="1">AC303</f>
        <v>5578.891890004382</v>
      </c>
      <c r="AD89" s="162">
        <f ca="1">SUM(Z89:AC89)</f>
        <v>14448.45602673254</v>
      </c>
      <c r="AE89" s="162">
        <f ca="1">AE303</f>
        <v>13097.761703640628</v>
      </c>
      <c r="AF89" s="162">
        <f ca="1">AF303</f>
        <v>18677.945316818452</v>
      </c>
      <c r="AG89" s="162">
        <f ca="1">AG303</f>
        <v>20372.403739356036</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85" ca="1">X308</f>
        <v>1e-12</v>
      </c>
      <c r="Y90" s="162">
        <f ca="1">SUM(U90:X90)</f>
        <v>1e-12</v>
      </c>
      <c r="Z90" s="359">
        <f t="shared" ref="Z90:AC90" si="86" ca="1">Z308</f>
        <v>1e-12</v>
      </c>
      <c r="AA90" s="359">
        <f ca="1">AA308</f>
        <v>1e-12</v>
      </c>
      <c r="AB90" s="359">
        <f ca="1">AB308</f>
        <v>1e-12</v>
      </c>
      <c r="AC90" s="359">
        <f ca="1">AC308</f>
        <v>1e-12</v>
      </c>
      <c r="AD90" s="162">
        <f ca="1">SUM(Z90:AC90)</f>
        <v>1e-12</v>
      </c>
      <c r="AE90" s="162">
        <f t="shared" ref="AE90:AG90" si="87" ca="1">AE308</f>
        <v>1e-12</v>
      </c>
      <c r="AF90" s="162">
        <f ca="1">AF308</f>
        <v>1e-12</v>
      </c>
      <c r="AG90" s="162">
        <f ca="1">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 ca="1">X309</f>
        <v>-500</v>
      </c>
      <c r="Y91" s="162">
        <f ca="1">SUM(U91:X91)</f>
        <v>-500</v>
      </c>
      <c r="Z91" s="359">
        <f t="shared" ref="Z91:AC91" si="88" ca="1">Z309</f>
        <v>-500</v>
      </c>
      <c r="AA91" s="359">
        <f ca="1">AA309</f>
        <v>-500</v>
      </c>
      <c r="AB91" s="359">
        <f ca="1">AB309</f>
        <v>-500</v>
      </c>
      <c r="AC91" s="359">
        <f ca="1">AC309</f>
        <v>-500</v>
      </c>
      <c r="AD91" s="162">
        <f ca="1">SUM(Z91:AC91)</f>
        <v>-2000</v>
      </c>
      <c r="AE91" s="162">
        <f t="shared" ref="AE91:AG91" si="89" ca="1">AE309</f>
        <v>-1400</v>
      </c>
      <c r="AF91" s="162">
        <f ca="1">AF309</f>
        <v>-1300</v>
      </c>
      <c r="AG91" s="162">
        <f ca="1">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 ca="1">X245</f>
        <v>1e-12</v>
      </c>
      <c r="Y92" s="162">
        <f ca="1">SUM(U92:X92)</f>
        <v>1e-12</v>
      </c>
      <c r="Z92" s="359">
        <f t="shared" ref="Z92:AC92" si="90" ca="1">Z245</f>
        <v>1e-12</v>
      </c>
      <c r="AA92" s="359">
        <f ca="1">AA245</f>
        <v>1e-12</v>
      </c>
      <c r="AB92" s="359">
        <f ca="1">AB245</f>
        <v>1e-12</v>
      </c>
      <c r="AC92" s="359">
        <f ca="1">AC245</f>
        <v>1e-12</v>
      </c>
      <c r="AD92" s="162">
        <f ca="1">SUM(Z92:AC92)</f>
        <v>1e-12</v>
      </c>
      <c r="AE92" s="162">
        <f t="shared" ref="AE92:AG92" si="91" ca="1">AE245</f>
        <v>1e-12</v>
      </c>
      <c r="AF92" s="162">
        <f ca="1">AF245</f>
        <v>1e-12</v>
      </c>
      <c r="AG92" s="162">
        <f ca="1">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 ca="1">-X241</f>
        <v>-500</v>
      </c>
      <c r="Y93" s="162">
        <f ca="1">SUM(U93:X93)</f>
        <v>-500</v>
      </c>
      <c r="Z93" s="359">
        <f t="shared" ref="Z93:AC93" si="92" ca="1">-Z241</f>
        <v>-500</v>
      </c>
      <c r="AA93" s="359">
        <f ca="1">-AA241</f>
        <v>-500</v>
      </c>
      <c r="AB93" s="359">
        <f ca="1">-AB241</f>
        <v>-500</v>
      </c>
      <c r="AC93" s="359">
        <f ca="1">-AC241</f>
        <v>-500</v>
      </c>
      <c r="AD93" s="162">
        <f ca="1">SUM(Z93:AC93)</f>
        <v>-2000</v>
      </c>
      <c r="AE93" s="162">
        <f t="shared" ref="AE93:AG93" si="93" ca="1">-AE241</f>
        <v>-3000</v>
      </c>
      <c r="AF93" s="162">
        <f ca="1">-AF241</f>
        <v>-3000</v>
      </c>
      <c r="AG93" s="162">
        <f ca="1">-AG241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 ca="1">-X267</f>
        <v>-519.8</v>
      </c>
      <c r="Y94" s="162">
        <f ca="1">SUM(U94:X94)</f>
        <v>-519.8</v>
      </c>
      <c r="Z94" s="359">
        <f t="shared" ref="Z94:AC94" si="94" ca="1">-Z267</f>
        <v>-505.99999999999994</v>
      </c>
      <c r="AA94" s="359">
        <f ca="1">-AA267</f>
        <v>-494.49999999999994</v>
      </c>
      <c r="AB94" s="359">
        <f ca="1">-AB267</f>
        <v>-647.4499999999999</v>
      </c>
      <c r="AC94" s="359">
        <f ca="1">-AC267</f>
        <v>-597.7699999999999</v>
      </c>
      <c r="AD94" s="162">
        <f ca="1">SUM(Z94:AC94)</f>
        <v>-2245.72</v>
      </c>
      <c r="AE94" s="162">
        <f t="shared" ref="AE94:AG94" si="95" ca="1">-AE267</f>
        <v>-2470.292</v>
      </c>
      <c r="AF94" s="162">
        <f ca="1">-AF267</f>
        <v>-2717.3212000000003</v>
      </c>
      <c r="AG94" s="162">
        <f ca="1">-AG267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 ca="1">Drivers!X106</f>
        <v>1e-12</v>
      </c>
      <c r="Y95" s="355">
        <f ca="1">SUM(U95:X95)</f>
        <v>1e-12</v>
      </c>
      <c r="Z95" s="385">
        <f ca="1">Drivers!Z106</f>
        <v>1e-12</v>
      </c>
      <c r="AA95" s="385">
        <f ca="1">Drivers!AA106</f>
        <v>1e-12</v>
      </c>
      <c r="AB95" s="385">
        <f ca="1">Drivers!AB106</f>
        <v>1e-12</v>
      </c>
      <c r="AC95" s="385">
        <f ca="1">Drivers!AC106</f>
        <v>1e-12</v>
      </c>
      <c r="AD95" s="355">
        <f ca="1">SUM(Z95:AC95)</f>
        <v>1e-12</v>
      </c>
      <c r="AE95" s="391">
        <f ca="1">Drivers!AE106</f>
        <v>1e-12</v>
      </c>
      <c r="AF95" s="391">
        <f ca="1">Drivers!AF106</f>
        <v>1e-12</v>
      </c>
      <c r="AG95" s="391">
        <f ca="1">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 ca="1">SUM(X89:X95)</f>
        <v>-3916.3999999999996</v>
      </c>
      <c r="Y96" s="282">
        <f ca="1">SUM(U96:X96)</f>
        <v>-3916.3999999999996</v>
      </c>
      <c r="Z96" s="281">
        <f ca="1">SUM(Z89:Z95)</f>
        <v>-2639.682411063794</v>
      </c>
      <c r="AA96" s="281">
        <f ca="1">SUM(AA89:AA95)</f>
        <v>5640.310188619452</v>
      </c>
      <c r="AB96" s="281">
        <f ca="1">SUM(AB89:AB95)</f>
        <v>1220.986359172502</v>
      </c>
      <c r="AC96" s="281">
        <f ca="1">SUM(AC89:AC95)</f>
        <v>1225.0318900043826</v>
      </c>
      <c r="AD96" s="282">
        <f ca="1">SUM(Z96:AC96)</f>
        <v>5446.646026732542</v>
      </c>
      <c r="AE96" s="282">
        <f ca="1">SUM(AE89:AE95)</f>
        <v>3195.770703640628</v>
      </c>
      <c r="AF96" s="282">
        <f ca="1">SUM(AF89:AF95)</f>
        <v>8325.755216818452</v>
      </c>
      <c r="AG96" s="282">
        <f ca="1">SUM(AG89:AG95)</f>
        <v>9514.994629356035</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 ca="1">Drivers!X108</f>
        <v>1e-12</v>
      </c>
      <c r="Y98" s="162">
        <f t="shared" ref="Y98:Y100" si="96" ca="1">SUM(U98:X98)</f>
        <v>1e-12</v>
      </c>
      <c r="Z98" s="361">
        <f ca="1">Drivers!Z108</f>
        <v>1e-12</v>
      </c>
      <c r="AA98" s="361">
        <f ca="1">Drivers!AA108</f>
        <v>1e-12</v>
      </c>
      <c r="AB98" s="361">
        <f ca="1">Drivers!AB108</f>
        <v>1e-12</v>
      </c>
      <c r="AC98" s="361">
        <f ca="1">Drivers!AC108</f>
        <v>1e-12</v>
      </c>
      <c r="AD98" s="162">
        <f t="shared" ref="AD98:AD100" si="97" ca="1">SUM(Z98:AC98)</f>
        <v>1e-12</v>
      </c>
      <c r="AE98" s="362">
        <f ca="1">Drivers!AE108</f>
        <v>1e-12</v>
      </c>
      <c r="AF98" s="362">
        <f ca="1">Drivers!AF108</f>
        <v>1e-12</v>
      </c>
      <c r="AG98" s="362">
        <f ca="1">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 ca="1">SUM(U99:X99)</f>
        <v>1e-12</v>
      </c>
      <c r="Z99" s="365">
        <v>0</v>
      </c>
      <c r="AA99" s="365">
        <v>0</v>
      </c>
      <c r="AB99" s="365">
        <v>0</v>
      </c>
      <c r="AC99" s="365">
        <v>0</v>
      </c>
      <c r="AD99" s="162">
        <f ca="1">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 ca="1">SUM(U100:X100)</f>
        <v>1e-12</v>
      </c>
      <c r="Z100" s="365">
        <v>0</v>
      </c>
      <c r="AA100" s="365">
        <v>0</v>
      </c>
      <c r="AB100" s="365">
        <v>0</v>
      </c>
      <c r="AC100" s="365">
        <v>0</v>
      </c>
      <c r="AD100" s="162">
        <f ca="1">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 ca="1">W104+X99</f>
        <v>6673</v>
      </c>
      <c r="Y102" s="282">
        <f ca="1">X102</f>
        <v>6673</v>
      </c>
      <c r="Z102" s="281">
        <f ca="1">Y104+Z99</f>
        <v>2655.723443521738</v>
      </c>
      <c r="AA102" s="281">
        <f ca="1">Z104+AA99</f>
        <v>-5622.023411617396</v>
      </c>
      <c r="AB102" s="281">
        <f ca="1">AA104+AB99</f>
        <v>-1204.8939954106927</v>
      </c>
      <c r="AC102" s="281">
        <f ca="1">AB104+AC99</f>
        <v>-1209.7441444306637</v>
      </c>
      <c r="AD102" s="282">
        <f ca="1">Z102</f>
        <v>2655.723443521738</v>
      </c>
      <c r="AE102" s="282">
        <f ca="1">AD104+AE99</f>
        <v>-3128.748626469189</v>
      </c>
      <c r="AF102" s="282">
        <f ca="1">AE104+AF99</f>
        <v>-8257.392698103586</v>
      </c>
      <c r="AG102" s="282">
        <f ca="1">AF104+AG99</f>
        <v>-9445.26486026687</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 ca="1">SUM(X87,X96,X98,X100)</f>
        <v>-4017.276556478262</v>
      </c>
      <c r="Y103" s="355">
        <f ca="1">SUM(U103:X103)</f>
        <v>-4017.276556478262</v>
      </c>
      <c r="Z103" s="356">
        <f ca="1">SUM(Z87,Z96,Z98,Z100)</f>
        <v>-8277.746855139134</v>
      </c>
      <c r="AA103" s="356">
        <f ca="1">SUM(AA87,AA96,AA98,AA100)</f>
        <v>4417.129416206703</v>
      </c>
      <c r="AB103" s="356">
        <f ca="1">SUM(AB87,AB96,AB98,AB100)</f>
        <v>-4.850149019971013</v>
      </c>
      <c r="AC103" s="356">
        <f ca="1">SUM(AC87,AC96,AC98,AC100)</f>
        <v>-1919.004482038525</v>
      </c>
      <c r="AD103" s="355">
        <f ca="1">SUM(Z103:AC103)</f>
        <v>-5784.472069990927</v>
      </c>
      <c r="AE103" s="355">
        <f ca="1">SUM(AE87,AE96,AE98,AE100)</f>
        <v>-5128.644071634397</v>
      </c>
      <c r="AF103" s="355">
        <f ca="1">SUM(AF87,AF96,AF98,AF100)</f>
        <v>-1187.8721621632849</v>
      </c>
      <c r="AG103" s="355">
        <f ca="1">SUM(AG87,AG96,AG98,AG100)</f>
        <v>-376.71113537874953</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 ca="1">SUM(X102:X103)</f>
        <v>2655.723443521738</v>
      </c>
      <c r="Y104" s="282">
        <f ca="1">SUM(Y102:Y103)</f>
        <v>2655.723443521738</v>
      </c>
      <c r="Z104" s="281">
        <f ca="1">SUM(Z102:Z103)</f>
        <v>-5622.023411617396</v>
      </c>
      <c r="AA104" s="281">
        <f ca="1">SUM(AA102:AA103)</f>
        <v>-1204.8939954106927</v>
      </c>
      <c r="AB104" s="281">
        <f ca="1">SUM(AB102:AB103)</f>
        <v>-1209.7441444306637</v>
      </c>
      <c r="AC104" s="281">
        <f ca="1">SUM(AC102:AC103)</f>
        <v>-3128.748626469189</v>
      </c>
      <c r="AD104" s="282">
        <f ca="1">SUM(AD102:AD103)</f>
        <v>-3128.748626469189</v>
      </c>
      <c r="AE104" s="282">
        <f ca="1">SUM(AE102:AE103)</f>
        <v>-8257.392698103586</v>
      </c>
      <c r="AF104" s="282">
        <f ca="1">SUM(AF102:AF103)</f>
        <v>-9445.26486026687</v>
      </c>
      <c r="AG104" s="282">
        <f ca="1">SUM(AG102:AG103)</f>
        <v>-9821.97599564562</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98" ca="1">F45</f>
        <v>15051</v>
      </c>
      <c r="G108" s="384">
        <f ca="1">G45</f>
        <v>18368</v>
      </c>
      <c r="H108" s="384">
        <f ca="1">H45</f>
        <v>19689</v>
      </c>
      <c r="I108" s="384">
        <f ca="1">I45</f>
        <v>20687</v>
      </c>
      <c r="J108" s="162">
        <f ca="1">J45</f>
        <v>73795</v>
      </c>
      <c r="K108" s="384">
        <f ca="1">K45</f>
        <v>23662</v>
      </c>
      <c r="L108" s="384">
        <f ca="1">L45</f>
        <v>23619</v>
      </c>
      <c r="M108" s="384">
        <f ca="1">M45</f>
        <v>26301</v>
      </c>
      <c r="N108" s="384">
        <f ca="1">N45</f>
        <v>26536</v>
      </c>
      <c r="O108" s="162">
        <f ca="1">O45</f>
        <v>100118</v>
      </c>
      <c r="P108" s="384">
        <f ca="1">P45</f>
        <v>34540</v>
      </c>
      <c r="Q108" s="384">
        <f ca="1">Q45</f>
        <v>28196</v>
      </c>
      <c r="R108" s="384">
        <f ca="1">R45</f>
        <v>34979</v>
      </c>
      <c r="S108" s="384">
        <f ca="1">S45</f>
        <v>34455</v>
      </c>
      <c r="T108" s="162">
        <f ca="1">T45</f>
        <v>132170</v>
      </c>
      <c r="U108" s="384">
        <f ca="1">U45</f>
        <v>62578</v>
      </c>
      <c r="V108" s="384">
        <f ca="1">V45</f>
        <v>3018</v>
      </c>
      <c r="W108" s="384">
        <f ca="1">W45</f>
        <v>1896</v>
      </c>
      <c r="X108" s="359">
        <f ca="1">X45</f>
        <v>-1906.5764130000002</v>
      </c>
      <c r="Y108" s="162">
        <f ca="1">Y45</f>
        <v>-71880.576413</v>
      </c>
      <c r="Z108" s="359">
        <f ca="1">Z45</f>
        <v>-2080.307973407448</v>
      </c>
      <c r="AA108" s="359">
        <f ca="1">AA45</f>
        <v>-2230.3409253683863</v>
      </c>
      <c r="AB108" s="359">
        <f ca="1">AB45</f>
        <v>-2445.218165559014</v>
      </c>
      <c r="AC108" s="359">
        <f ca="1">AC45</f>
        <v>-2106.239900203071</v>
      </c>
      <c r="AD108" s="162">
        <f ca="1">AD45</f>
        <v>-8862.10696453792</v>
      </c>
      <c r="AE108" s="162">
        <f ca="1">AE45</f>
        <v>-8661.66839216869</v>
      </c>
      <c r="AF108" s="162">
        <f ca="1">AF45</f>
        <v>-8977.308225626371</v>
      </c>
      <c r="AG108" s="162">
        <f ca="1">AG45</f>
        <v>-9249.392148663952</v>
      </c>
      <c r="AH108" s="16"/>
      <c r="AI108" s="16"/>
      <c r="AJ108" s="16"/>
      <c r="AK108" s="16"/>
    </row>
    <row r="109" ht="13.5" customHeight="1" spans="1:37" x14ac:dyDescent="0.25">
      <c r="A109" s="264"/>
      <c r="B109" s="16"/>
      <c r="C109" s="16" t="s">
        <v>273</v>
      </c>
      <c r="D109" s="16"/>
      <c r="E109" s="16"/>
      <c r="F109" s="384">
        <f t="shared" ref="F109:I109" si="99" ca="1">-F194+-F208</f>
        <v>1e-12</v>
      </c>
      <c r="G109" s="384">
        <f ca="1">-G194+-G208</f>
        <v>1e-12</v>
      </c>
      <c r="H109" s="384">
        <f ca="1">-H194+-H208</f>
        <v>1e-12</v>
      </c>
      <c r="I109" s="384">
        <f ca="1">-I194+-I208</f>
        <v>1e-12</v>
      </c>
      <c r="J109" s="162">
        <f t="shared" ref="J109:J111" si="100" ca="1">SUM(F109:I109)</f>
        <v>1e-12</v>
      </c>
      <c r="K109" s="384">
        <f t="shared" ref="K109:N109" si="101" ca="1">-K194+-K208</f>
        <v>1e-12</v>
      </c>
      <c r="L109" s="384">
        <f ca="1">-L194+-L208</f>
        <v>1e-12</v>
      </c>
      <c r="M109" s="384">
        <f ca="1">-M194+-M208</f>
        <v>1e-12</v>
      </c>
      <c r="N109" s="384">
        <f ca="1">-N194+-N208</f>
        <v>1e-12</v>
      </c>
      <c r="O109" s="162">
        <f t="shared" ref="O109:O111" si="102" ca="1">SUM(K109:N109)</f>
        <v>1e-12</v>
      </c>
      <c r="P109" s="384">
        <f t="shared" ref="P109:S109" si="103" ca="1">-P194+-P208</f>
        <v>1e-12</v>
      </c>
      <c r="Q109" s="384">
        <f ca="1">-Q194+-Q208</f>
        <v>1e-12</v>
      </c>
      <c r="R109" s="384">
        <f ca="1">-R194+-R208</f>
        <v>1e-12</v>
      </c>
      <c r="S109" s="384">
        <f ca="1">-S194+-S208</f>
        <v>1e-12</v>
      </c>
      <c r="T109" s="162">
        <f t="shared" ref="T109:T111" si="104" ca="1">SUM(P109:S109)</f>
        <v>1e-12</v>
      </c>
      <c r="U109" s="384">
        <f t="shared" ref="U109:X109" si="105" ca="1">-U194+-U208</f>
        <v>1e-12</v>
      </c>
      <c r="V109" s="384">
        <f ca="1">-V194+-V208</f>
        <v>409</v>
      </c>
      <c r="W109" s="384">
        <f ca="1">-W194+-W208</f>
        <v>425</v>
      </c>
      <c r="X109" s="359">
        <f ca="1">-X194+-X208</f>
        <v>331.18750000000006</v>
      </c>
      <c r="Y109" s="162">
        <f t="shared" ref="Y109:Y111" si="106" ca="1">SUM(U109:X109)</f>
        <v>1556.1875</v>
      </c>
      <c r="Z109" s="359">
        <f t="shared" ref="Z109:AC109" si="107" ca="1">-Z194+-Z208</f>
        <v>331.86891850000006</v>
      </c>
      <c r="AA109" s="359">
        <f ca="1">-AA194+-AA208</f>
        <v>336.85146518625004</v>
      </c>
      <c r="AB109" s="359">
        <f ca="1">-AB194+-AB208</f>
        <v>342.23237867969067</v>
      </c>
      <c r="AC109" s="359">
        <f ca="1">-AC194+-AC208</f>
        <v>343.91086566405204</v>
      </c>
      <c r="AD109" s="162">
        <f t="shared" ref="AD109:AD111" si="108" ca="1">SUM(Z109:AC109)</f>
        <v>1354.863628029993</v>
      </c>
      <c r="AE109" s="162">
        <f t="shared" ref="AE109:AG109" si="109" ca="1">-AE194+-AE208</f>
        <v>1420.1551602334257</v>
      </c>
      <c r="AF109" s="162">
        <f ca="1">-AF194+-AF208</f>
        <v>1472.475831890681</v>
      </c>
      <c r="AG109" s="162">
        <f ca="1">-AG194+-AG208</f>
        <v>1524.1208520524956</v>
      </c>
      <c r="AH109" s="16"/>
      <c r="AI109" s="16"/>
      <c r="AJ109" s="16"/>
      <c r="AK109" s="16"/>
    </row>
    <row r="110" ht="13.5" customHeight="1" spans="1:37" x14ac:dyDescent="0.25">
      <c r="A110" s="264"/>
      <c r="B110" s="16"/>
      <c r="C110" s="16" t="s">
        <v>324</v>
      </c>
      <c r="D110" s="16"/>
      <c r="E110" s="16"/>
      <c r="F110" s="384">
        <f t="shared" ref="F110:I110" si="110" ca="1">F178</f>
        <v>1e-12</v>
      </c>
      <c r="G110" s="384">
        <f ca="1">G178</f>
        <v>1555</v>
      </c>
      <c r="H110" s="384">
        <f ca="1">H178</f>
        <v>2452</v>
      </c>
      <c r="I110" s="384">
        <f ca="1">I178</f>
        <v>2297</v>
      </c>
      <c r="J110" s="162">
        <f ca="1">SUM(F110:I110)</f>
        <v>6304</v>
      </c>
      <c r="K110" s="384">
        <f t="shared" ref="K110:N110" si="111" ca="1">K178</f>
        <v>2117</v>
      </c>
      <c r="L110" s="384">
        <f ca="1">L178</f>
        <v>-2641</v>
      </c>
      <c r="M110" s="384">
        <f ca="1">M178</f>
        <v>-1060</v>
      </c>
      <c r="N110" s="384">
        <f ca="1">N178</f>
        <v>-2298</v>
      </c>
      <c r="O110" s="162">
        <f ca="1">SUM(K110:N110)</f>
        <v>-3882</v>
      </c>
      <c r="P110" s="384">
        <f t="shared" ref="P110:S110" si="112" ca="1">P178</f>
        <v>1850</v>
      </c>
      <c r="Q110" s="384">
        <f ca="1">Q178</f>
        <v>-4198</v>
      </c>
      <c r="R110" s="384">
        <f ca="1">R178</f>
        <v>99</v>
      </c>
      <c r="S110" s="384">
        <f ca="1">S178</f>
        <v>-4084</v>
      </c>
      <c r="T110" s="162">
        <f ca="1">SUM(P110:S110)</f>
        <v>-6333</v>
      </c>
      <c r="U110" s="384">
        <f t="shared" ref="U110:X110" si="113" ca="1">U178</f>
        <v>4539</v>
      </c>
      <c r="V110" s="384">
        <f ca="1">V178</f>
        <v>-893</v>
      </c>
      <c r="W110" s="384">
        <f ca="1">W178</f>
        <v>-40</v>
      </c>
      <c r="X110" s="359">
        <f ca="1">X178</f>
        <v>-1855.091793478261</v>
      </c>
      <c r="Y110" s="162">
        <f ca="1">SUM(U110:X110)</f>
        <v>-1897.091793478261</v>
      </c>
      <c r="Z110" s="359">
        <f t="shared" ref="Z110:AC110" si="114" ca="1">Z178</f>
        <v>-1777.3159203678952</v>
      </c>
      <c r="AA110" s="359">
        <f ca="1">AA178</f>
        <v>177.7483814153893</v>
      </c>
      <c r="AB110" s="359">
        <f ca="1">AB178</f>
        <v>916.7916052488508</v>
      </c>
      <c r="AC110" s="359">
        <f ca="1">AC178</f>
        <v>-168.43685088664824</v>
      </c>
      <c r="AD110" s="162">
        <f ca="1">SUM(Z110:AC110)</f>
        <v>-851.2127845903033</v>
      </c>
      <c r="AE110" s="162">
        <f t="shared" ref="AE110:AG110" si="115" ca="1">AE178</f>
        <v>461.05132520968255</v>
      </c>
      <c r="AF110" s="162">
        <f ca="1">AF178</f>
        <v>-142.92601939177257</v>
      </c>
      <c r="AG110" s="162">
        <f ca="1">AG178</f>
        <v>-136.42553228758334</v>
      </c>
      <c r="AH110" s="16"/>
      <c r="AI110" s="16"/>
      <c r="AJ110" s="16"/>
      <c r="AK110" s="16"/>
    </row>
    <row r="111" ht="13.5" customHeight="1" spans="1:37" x14ac:dyDescent="0.25">
      <c r="A111" s="264"/>
      <c r="B111" s="16"/>
      <c r="C111" s="16" t="s">
        <v>121</v>
      </c>
      <c r="D111" s="16"/>
      <c r="E111" s="16"/>
      <c r="F111" s="372">
        <f t="shared" ref="F111:I111" si="116" ca="1">-F193</f>
        <v>-224</v>
      </c>
      <c r="G111" s="372">
        <f ca="1">-G193</f>
        <v>-319</v>
      </c>
      <c r="H111" s="372">
        <f ca="1">-H193</f>
        <v>-303</v>
      </c>
      <c r="I111" s="372">
        <f ca="1">-I193</f>
        <v>-328</v>
      </c>
      <c r="J111" s="355">
        <f ca="1">SUM(F111:I111)</f>
        <v>-1174</v>
      </c>
      <c r="K111" s="372">
        <f t="shared" ref="K111:N111" si="117" ca="1">-K193</f>
        <v>-205</v>
      </c>
      <c r="L111" s="372">
        <f ca="1">-L193</f>
        <v>-321</v>
      </c>
      <c r="M111" s="372">
        <f ca="1">-M193</f>
        <v>-401</v>
      </c>
      <c r="N111" s="372">
        <f ca="1">-N193</f>
        <v>-557</v>
      </c>
      <c r="O111" s="355">
        <f ca="1">SUM(K111:N111)</f>
        <v>-1484</v>
      </c>
      <c r="P111" s="372">
        <f t="shared" ref="P111:S111" si="118" ca="1">-P193</f>
        <v>-328</v>
      </c>
      <c r="Q111" s="372">
        <f ca="1">-Q193</f>
        <v>-382</v>
      </c>
      <c r="R111" s="372">
        <f ca="1">-R193</f>
        <v>-462</v>
      </c>
      <c r="S111" s="372">
        <f ca="1">-S193</f>
        <v>-557</v>
      </c>
      <c r="T111" s="355">
        <f ca="1">SUM(P111:S111)</f>
        <v>-1729</v>
      </c>
      <c r="U111" s="372">
        <f t="shared" ref="U111:X111" si="119" ca="1">-U193</f>
        <v>-461</v>
      </c>
      <c r="V111" s="372">
        <f ca="1">-V193</f>
        <v>-385</v>
      </c>
      <c r="W111" s="372">
        <f ca="1">-W193</f>
        <v>-410</v>
      </c>
      <c r="X111" s="356">
        <f ca="1">-X193</f>
        <v>-370.1257</v>
      </c>
      <c r="Y111" s="355">
        <f ca="1">SUM(U111:X111)</f>
        <v>-1626.1257</v>
      </c>
      <c r="Z111" s="356">
        <f t="shared" ref="Z111:AC111" si="120" ca="1">-Z193</f>
        <v>-616.585872</v>
      </c>
      <c r="AA111" s="356">
        <f ca="1">-AA193</f>
        <v>-644.3322362399999</v>
      </c>
      <c r="AB111" s="356">
        <f ca="1">-AB193</f>
        <v>-438.14592064320004</v>
      </c>
      <c r="AC111" s="356">
        <f ca="1">-AC193</f>
        <v>-416.23862461104</v>
      </c>
      <c r="AD111" s="355">
        <f ca="1">SUM(Z111:AC111)</f>
        <v>-2115.30265349424</v>
      </c>
      <c r="AE111" s="355">
        <f t="shared" ref="AE111:AG111" si="121" ca="1">-AE193</f>
        <v>-2146.8311554730876</v>
      </c>
      <c r="AF111" s="355">
        <f ca="1">-AF193</f>
        <v>-2189.7677785825495</v>
      </c>
      <c r="AG111" s="355">
        <f ca="1">-AG193</f>
        <v>-2345.2412908619103</v>
      </c>
      <c r="AH111" s="16"/>
      <c r="AI111" s="16"/>
      <c r="AJ111" s="16"/>
      <c r="AK111" s="16"/>
    </row>
    <row r="112" ht="13.5" customHeight="1" spans="1:37" x14ac:dyDescent="0.25">
      <c r="A112" s="264"/>
      <c r="B112" s="16"/>
      <c r="C112" s="16" t="s">
        <v>325</v>
      </c>
      <c r="D112" s="16"/>
      <c r="E112" s="16"/>
      <c r="F112" s="353">
        <f t="shared" ref="F112:AG112" si="122" ca="1">SUM(F108:F111)</f>
        <v>14827</v>
      </c>
      <c r="G112" s="353">
        <f ca="1">SUM(G108:G111)</f>
        <v>19604</v>
      </c>
      <c r="H112" s="353">
        <f ca="1">SUM(H108:H111)</f>
        <v>21838</v>
      </c>
      <c r="I112" s="353">
        <f ca="1">SUM(I108:I111)</f>
        <v>22656</v>
      </c>
      <c r="J112" s="282">
        <f ca="1">SUM(J108:J111)</f>
        <v>78925</v>
      </c>
      <c r="K112" s="353">
        <f ca="1">SUM(K108:K111)</f>
        <v>25574</v>
      </c>
      <c r="L112" s="353">
        <f ca="1">SUM(L108:L111)</f>
        <v>20657</v>
      </c>
      <c r="M112" s="353">
        <f ca="1">SUM(M108:M111)</f>
        <v>24840</v>
      </c>
      <c r="N112" s="353">
        <f ca="1">SUM(N108:N111)</f>
        <v>23681</v>
      </c>
      <c r="O112" s="282">
        <f ca="1">SUM(O108:O111)</f>
        <v>94752</v>
      </c>
      <c r="P112" s="353">
        <f ca="1">SUM(P108:P111)</f>
        <v>36062</v>
      </c>
      <c r="Q112" s="353">
        <f ca="1">SUM(Q108:Q111)</f>
        <v>23616</v>
      </c>
      <c r="R112" s="353">
        <f ca="1">SUM(R108:R111)</f>
        <v>34616</v>
      </c>
      <c r="S112" s="353">
        <f ca="1">SUM(S108:S111)</f>
        <v>29814</v>
      </c>
      <c r="T112" s="282">
        <f ca="1">SUM(T108:T111)</f>
        <v>124108</v>
      </c>
      <c r="U112" s="353">
        <f ca="1">SUM(U108:U111)</f>
        <v>66656</v>
      </c>
      <c r="V112" s="353">
        <f ca="1">SUM(V108:V111)</f>
        <v>2149</v>
      </c>
      <c r="W112" s="353">
        <f ca="1">SUM(W108:W111)</f>
        <v>1871</v>
      </c>
      <c r="X112" s="281">
        <f ca="1">SUM(X108:X111)</f>
        <v>-3800.6064064782613</v>
      </c>
      <c r="Y112" s="282">
        <f ca="1">SUM(Y108:Y111)</f>
        <v>-28861.606406478266</v>
      </c>
      <c r="Z112" s="281">
        <f ca="1">SUM(Z108:Z111)</f>
        <v>-4142.340847275343</v>
      </c>
      <c r="AA112" s="281">
        <f ca="1">SUM(AA108:AA111)</f>
        <v>-2360.0733150067467</v>
      </c>
      <c r="AB112" s="281">
        <f ca="1">SUM(AB108:AB111)</f>
        <v>-1624.3401022736725</v>
      </c>
      <c r="AC112" s="281">
        <f ca="1">SUM(AC108:AC111)</f>
        <v>-2347.0045100367074</v>
      </c>
      <c r="AD112" s="282">
        <f ca="1">SUM(AD108:AD111)</f>
        <v>-10473.75877459247</v>
      </c>
      <c r="AE112" s="282">
        <f ca="1">SUM(AE108:AE111)</f>
        <v>-8927.29306219867</v>
      </c>
      <c r="AF112" s="282">
        <f ca="1">SUM(AF108:AF111)</f>
        <v>-9837.526191710012</v>
      </c>
      <c r="AG112" s="282">
        <f ca="1">SUM(AG108:AG111)</f>
        <v>-10206.93811976095</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23" ca="1">F112/F28</f>
        <v>0.21246077349649647</v>
      </c>
      <c r="G114" s="397">
        <f ca="1">G112/G28</f>
        <v>0.26277411398852607</v>
      </c>
      <c r="H114" s="397">
        <f ca="1">H112/H28</f>
        <v>0.2847456743118668</v>
      </c>
      <c r="I114" s="397">
        <f ca="1">I112/I28</f>
        <v>0.2624956551963851</v>
      </c>
      <c r="J114" s="398">
        <f ca="1">J112/J28</f>
        <v>0.25675517414133003</v>
      </c>
      <c r="K114" s="397">
        <f ca="1">K112/K28</f>
        <v>0.31753560386893304</v>
      </c>
      <c r="L114" s="397">
        <f ca="1">L112/L28</f>
        <v>0.24376342309598545</v>
      </c>
      <c r="M114" s="397">
        <f ca="1">M112/M28</f>
        <v>0.28141568858476457</v>
      </c>
      <c r="N114" s="397">
        <f ca="1">N112/N28</f>
        <v>0.24547782189097014</v>
      </c>
      <c r="O114" s="398">
        <f ca="1">O112/O28</f>
        <v>0.2707060779731328</v>
      </c>
      <c r="P114" s="397">
        <f ca="1">P112/P28</f>
        <v>0.3996497994104218</v>
      </c>
      <c r="Q114" s="397">
        <f ca="1">Q112/Q28</f>
        <v>0.24490811797403245</v>
      </c>
      <c r="R114" s="397">
        <f ca="1">R112/R28</f>
        <v>0.33822523596427806</v>
      </c>
      <c r="S114" s="397">
        <f ca="1">S112/S28</f>
        <v>0.2619191945813457</v>
      </c>
      <c r="T114" s="398">
        <f ca="1">T112/T28</f>
        <v>0.30808490779148884</v>
      </c>
      <c r="U114" s="397">
        <f ca="1">U112/U28</f>
        <v>0.6065370896119968</v>
      </c>
      <c r="V114" s="397">
        <f ca="1">V112/V28</f>
        <v>0.07794704388828437</v>
      </c>
      <c r="W114" s="397">
        <f ca="1">W112/W28</f>
        <v>0.08163888646478751</v>
      </c>
      <c r="X114" s="399">
        <f ca="1">X112/X28</f>
        <v>-0.17456315222134114</v>
      </c>
      <c r="Y114" s="398">
        <f ca="1">Y112/Y28</f>
        <v>-0.6458165545943793</v>
      </c>
      <c r="Z114" s="399">
        <f ca="1">Z112/Z28</f>
        <v>-0.16123655252128163</v>
      </c>
      <c r="AA114" s="399">
        <f ca="1">AA112/AA28</f>
        <v>-0.08058205070281278</v>
      </c>
      <c r="AB114" s="399">
        <f ca="1">AB112/AB28</f>
        <v>-0.06302416714987392</v>
      </c>
      <c r="AC114" s="399">
        <f ca="1">AC112/AC28</f>
        <v>-0.09585625723203434</v>
      </c>
      <c r="AD114" s="398">
        <f ca="1">AD112/AD28</f>
        <v>-0.09952560938803874</v>
      </c>
      <c r="AE114" s="398">
        <f ca="1">AE112/AE28</f>
        <v>-0.08316716514421371</v>
      </c>
      <c r="AF114" s="398">
        <f ca="1">AF112/AF28</f>
        <v>-0.08984994927706814</v>
      </c>
      <c r="AG114" s="398">
        <f ca="1">AG112/AG28</f>
        <v>-0.0913960117238959</v>
      </c>
      <c r="AH114" s="16"/>
      <c r="AI114" s="16"/>
      <c r="AJ114" s="16"/>
      <c r="AK114" s="16"/>
    </row>
    <row r="115" ht="13.5" customHeight="1" spans="1:37" x14ac:dyDescent="0.25">
      <c r="A115" s="264"/>
      <c r="B115" s="16"/>
      <c r="C115" s="16" t="s">
        <v>327</v>
      </c>
      <c r="D115" s="16"/>
      <c r="E115" s="16"/>
      <c r="F115" s="370">
        <f t="shared" ref="F115:AG115" si="124" ca="1">F112/F282</f>
        <v>17.972121212121213</v>
      </c>
      <c r="G115" s="370">
        <f ca="1">G112/G282</f>
        <v>24.113161131611317</v>
      </c>
      <c r="H115" s="370">
        <f ca="1">H112/H282</f>
        <v>27.094292803970223</v>
      </c>
      <c r="I115" s="370">
        <f ca="1">I112/I282</f>
        <v>28.284644194756556</v>
      </c>
      <c r="J115" s="127">
        <f ca="1">J112/J282</f>
        <v>98.5330836454432</v>
      </c>
      <c r="K115" s="370">
        <f ca="1">K112/K282</f>
        <v>30.99878787878788</v>
      </c>
      <c r="L115" s="370">
        <f ca="1">L112/L282</f>
        <v>25.408364083640837</v>
      </c>
      <c r="M115" s="370">
        <f ca="1">M112/M282</f>
        <v>30.818858560794045</v>
      </c>
      <c r="N115" s="370">
        <f ca="1">N112/N282</f>
        <v>29.56429463171036</v>
      </c>
      <c r="O115" s="127">
        <f ca="1">O112/O282</f>
        <v>118.29213483146067</v>
      </c>
      <c r="P115" s="370">
        <f ca="1">P112/P282</f>
        <v>47.76423841059603</v>
      </c>
      <c r="Q115" s="370">
        <f ca="1">Q112/Q282</f>
        <v>31.404255319148938</v>
      </c>
      <c r="R115" s="370">
        <f ca="1">R112/R282</f>
        <v>46.03191489361702</v>
      </c>
      <c r="S115" s="370">
        <f ca="1">S112/S282</f>
        <v>39.85828877005348</v>
      </c>
      <c r="T115" s="127">
        <f ca="1">T112/T282</f>
        <v>165.91978609625667</v>
      </c>
      <c r="U115" s="370">
        <f ca="1">U112/U282</f>
        <v>92.83565459610028</v>
      </c>
      <c r="V115" s="370">
        <f ca="1">V112/V282</f>
        <v>3.0482269503546098</v>
      </c>
      <c r="W115" s="370">
        <f ca="1">W112/W282</f>
        <v>2.7115942028985507</v>
      </c>
      <c r="X115" s="371">
        <f ca="1">X112/X282</f>
        <v>-5.6499886137206925</v>
      </c>
      <c r="Y115" s="127">
        <f ca="1">Y112/Y282</f>
        <v>-41.44289025457764</v>
      </c>
      <c r="Z115" s="371">
        <f ca="1">Z112/Z282</f>
        <v>-6.17770415796427</v>
      </c>
      <c r="AA115" s="371">
        <f ca="1">AA112/AA282</f>
        <v>-3.5310007492843596</v>
      </c>
      <c r="AB115" s="371">
        <f ca="1">AB112/AB282</f>
        <v>-2.4380622585098655</v>
      </c>
      <c r="AC115" s="371">
        <f ca="1">AC112/AC282</f>
        <v>-3.5341237919717257</v>
      </c>
      <c r="AD115" s="127">
        <f ca="1">AD112/AD282</f>
        <v>-15.695388750459225</v>
      </c>
      <c r="AE115" s="127">
        <f ca="1">AE112/AE282</f>
        <v>-13.596386586613558</v>
      </c>
      <c r="AF115" s="127">
        <f ca="1">AF112/AF282</f>
        <v>-15.282129124887925</v>
      </c>
      <c r="AG115" s="127">
        <f ca="1">AG112/AG282</f>
        <v>-16.17935509566202</v>
      </c>
      <c r="AH115" s="16"/>
      <c r="AI115" s="16"/>
      <c r="AJ115" s="16"/>
      <c r="AK115" s="16"/>
    </row>
    <row r="116" ht="13.5" customHeight="1" spans="1:37" x14ac:dyDescent="0.25">
      <c r="A116" s="264"/>
      <c r="B116" s="16"/>
      <c r="C116" s="16" t="s">
        <v>328</v>
      </c>
      <c r="D116" s="16"/>
      <c r="E116" s="16"/>
      <c r="F116" s="397">
        <f t="shared" ref="F116:I116" si="125" ca="1">F115*4/F239</f>
        <v>0.8361070580191305</v>
      </c>
      <c r="G116" s="397">
        <f ca="1">G115*4/G239</f>
        <v>1.0506824022488592</v>
      </c>
      <c r="H116" s="397">
        <f ca="1">H115*4/H239</f>
        <v>1.1328229457079637</v>
      </c>
      <c r="I116" s="397">
        <f ca="1">I115*4/I239</f>
        <v>1.0167931767684568</v>
      </c>
      <c r="J116" s="398">
        <f ca="1">J115/J239</f>
        <v>1.0481071865169074</v>
      </c>
      <c r="K116" s="397">
        <f t="shared" ref="K116:N116" si="126" ca="1">K115*4/K239</f>
        <v>1.2114816953116905</v>
      </c>
      <c r="L116" s="397">
        <f ca="1">L115*4/L239</f>
        <v>0.9906760535584691</v>
      </c>
      <c r="M116" s="397">
        <f ca="1">M115*4/M239</f>
        <v>1.1371223525798007</v>
      </c>
      <c r="N116" s="397">
        <f ca="1">N115*4/N239</f>
        <v>1.1223040573867462</v>
      </c>
      <c r="O116" s="398">
        <f ca="1">O115/O239</f>
        <v>1.1362757440296951</v>
      </c>
      <c r="P116" s="397">
        <f t="shared" ref="P116:S116" si="127" ca="1">P115*4/P239</f>
        <v>1.934166366090141</v>
      </c>
      <c r="Q116" s="397">
        <f ca="1">Q115*4/Q239</f>
        <v>1.271684766922411</v>
      </c>
      <c r="R116" s="397">
        <f ca="1">R115*4/R239</f>
        <v>1.0879561006971503</v>
      </c>
      <c r="S116" s="397">
        <f ca="1">S115*4/S239</f>
        <v>0.760949661247335</v>
      </c>
      <c r="T116" s="398">
        <f ca="1">T115/T239</f>
        <v>0.9857358809787836</v>
      </c>
      <c r="U116" s="397">
        <f t="shared" ref="U116:X116" si="128" ca="1">U115*4/U239</f>
        <v>2.038104381912191</v>
      </c>
      <c r="V116" s="397">
        <f ca="1">V115*4/V239</f>
        <v>0.06386508001383517</v>
      </c>
      <c r="W116" s="397">
        <f ca="1">W115*4/W239</f>
        <v>0.052559610830215334</v>
      </c>
      <c r="X116" s="399">
        <f ca="1">X115*4/X239</f>
        <v>-0.09692063836899721</v>
      </c>
      <c r="Y116" s="398">
        <f ca="1">Y115/Y239</f>
        <v>-0.21349136830976356</v>
      </c>
      <c r="Z116" s="399">
        <f ca="1">Z115*4/Z239</f>
        <v>-0.1059731393423839</v>
      </c>
      <c r="AA116" s="399">
        <f ca="1">AA115*4/AA239</f>
        <v>-0.06057124537755141</v>
      </c>
      <c r="AB116" s="399">
        <f ca="1">AB115*4/AB239</f>
        <v>-0.04182283658135115</v>
      </c>
      <c r="AC116" s="399">
        <f ca="1">AC115*4/AC239</f>
        <v>-0.0606248184573587</v>
      </c>
      <c r="AD116" s="398">
        <f ca="1">AD115/AD239</f>
        <v>-0.06731018419443874</v>
      </c>
      <c r="AE116" s="398">
        <f ca="1">AE115/AE239</f>
        <v>-0.058308545272379955</v>
      </c>
      <c r="AF116" s="398">
        <f ca="1">AF115/AF239</f>
        <v>-0.0655379068740369</v>
      </c>
      <c r="AG116" s="398">
        <f ca="1">AG115/AG239</f>
        <v>-0.06938568957741668</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 ca="1">F$25</f>
        <v>1e-12</v>
      </c>
      <c r="G118" s="63">
        <f t="shared" ref="G118:AG118" si="129" ca="1">G$63</f>
        <v>1e-12</v>
      </c>
      <c r="H118" s="63">
        <f ca="1">H$63</f>
        <v>1e-12</v>
      </c>
      <c r="I118" s="63">
        <f ca="1">I$63</f>
        <v>1e-12</v>
      </c>
      <c r="J118" s="63">
        <f ca="1">J$63</f>
        <v>2023</v>
      </c>
      <c r="K118" s="63">
        <f ca="1">K$63</f>
        <v>1e-12</v>
      </c>
      <c r="L118" s="63">
        <f ca="1">L$63</f>
        <v>1e-12</v>
      </c>
      <c r="M118" s="63">
        <f ca="1">M$63</f>
        <v>1e-12</v>
      </c>
      <c r="N118" s="63">
        <f ca="1">N$63</f>
        <v>1e-12</v>
      </c>
      <c r="O118" s="63">
        <f ca="1">O$63</f>
        <v>2024</v>
      </c>
      <c r="P118" s="63">
        <f ca="1">P$63</f>
        <v>1e-12</v>
      </c>
      <c r="Q118" s="63">
        <f ca="1">Q$63</f>
        <v>1e-12</v>
      </c>
      <c r="R118" s="63">
        <f ca="1">R$63</f>
        <v>1e-12</v>
      </c>
      <c r="S118" s="63">
        <f ca="1">S$63</f>
        <v>1e-12</v>
      </c>
      <c r="T118" s="63">
        <f ca="1">T$63</f>
        <v>2025</v>
      </c>
      <c r="U118" s="63">
        <f ca="1">U$63</f>
        <v>1e-12</v>
      </c>
      <c r="V118" s="63" t="str">
        <f ca="1">V$63</f>
        <v>2Q26</v>
      </c>
      <c r="W118" s="63" t="str">
        <f ca="1">W$63</f>
        <v>3Q26e</v>
      </c>
      <c r="X118" s="63" t="str">
        <f ca="1">X$63</f>
        <v>4Q26e</v>
      </c>
      <c r="Y118" s="63" t="str">
        <f ca="1">Y$63</f>
        <v>2026e</v>
      </c>
      <c r="Z118" s="63" t="str">
        <f ca="1">Z$63</f>
        <v>1Q27e</v>
      </c>
      <c r="AA118" s="63" t="str">
        <f ca="1">AA$63</f>
        <v>2Q27e</v>
      </c>
      <c r="AB118" s="63" t="str">
        <f ca="1">AB$63</f>
        <v>3Q27e</v>
      </c>
      <c r="AC118" s="63" t="str">
        <f ca="1">AC$63</f>
        <v>4Q27e</v>
      </c>
      <c r="AD118" s="63" t="str">
        <f ca="1">AD$63</f>
        <v>2027e</v>
      </c>
      <c r="AE118" s="63" t="str">
        <f ca="1">AE$63</f>
        <v>2028e</v>
      </c>
      <c r="AF118" s="63" t="str">
        <f ca="1">AF$63</f>
        <v>2029e</v>
      </c>
      <c r="AG118" s="64" t="str">
        <f ca="1">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v>115102</v>
      </c>
      <c r="G120" s="392">
        <v>118332</v>
      </c>
      <c r="H120" s="392">
        <v>119935</v>
      </c>
      <c r="I120" s="392">
        <v>110916</v>
      </c>
      <c r="J120" s="282">
        <v>110916</v>
      </c>
      <c r="K120" s="392">
        <v>108090</v>
      </c>
      <c r="L120" s="392">
        <v>100725</v>
      </c>
      <c r="M120" s="392">
        <v>93230</v>
      </c>
      <c r="N120" s="392">
        <v>95657</v>
      </c>
      <c r="O120" s="282">
        <v>95657</v>
      </c>
      <c r="P120" s="392">
        <v>95328</v>
      </c>
      <c r="Q120" s="392">
        <v>95148</v>
      </c>
      <c r="R120" s="392">
        <v>98496</v>
      </c>
      <c r="S120" s="392">
        <v>126843</v>
      </c>
      <c r="T120" s="282">
        <v>126843</v>
      </c>
      <c r="U120" s="392">
        <v>126840</v>
      </c>
      <c r="V120" s="392">
        <f ca="1">4835+1420</f>
        <v>6255</v>
      </c>
      <c r="W120" s="392">
        <f ca="1">6121+552</f>
        <v>6673</v>
      </c>
      <c r="X120" s="281">
        <f ca="1">X104</f>
        <v>2655.723443521738</v>
      </c>
      <c r="Y120" s="282">
        <f t="shared" ref="Y120:Y124" si="130" ca="1">X120</f>
        <v>2655.723443521738</v>
      </c>
      <c r="Z120" s="281">
        <f t="shared" ref="Z120:AC120" si="131" ca="1">Z104</f>
        <v>-5622.023411617396</v>
      </c>
      <c r="AA120" s="281">
        <f t="shared" si="131" ca="1"/>
        <v>-1204.8939954106927</v>
      </c>
      <c r="AB120" s="281">
        <f t="shared" si="131" ca="1"/>
        <v>-1209.7441444306637</v>
      </c>
      <c r="AC120" s="281">
        <f t="shared" si="131" ca="1"/>
        <v>-3128.748626469189</v>
      </c>
      <c r="AD120" s="282">
        <f t="shared" ref="AD120:AD124" si="132" ca="1">AC120</f>
        <v>-3128.748626469189</v>
      </c>
      <c r="AE120" s="282">
        <f t="shared" ref="AE120:AG120" si="133" ca="1">AE104</f>
        <v>-8257.392698103586</v>
      </c>
      <c r="AF120" s="282">
        <f t="shared" si="133" ca="1"/>
        <v>-9445.26486026687</v>
      </c>
      <c r="AG120" s="282">
        <f t="shared" si="133" ca="1"/>
        <v>-9821.97599564562</v>
      </c>
      <c r="AH120" s="16"/>
      <c r="AI120" s="16"/>
      <c r="AJ120" s="16"/>
      <c r="AK120" s="16"/>
    </row>
    <row r="121" ht="13.5" customHeight="1" spans="1:37" x14ac:dyDescent="0.25">
      <c r="A121" s="264"/>
      <c r="B121" s="16"/>
      <c r="C121" s="16" t="s">
        <v>331</v>
      </c>
      <c r="D121" s="16"/>
      <c r="E121" s="16"/>
      <c r="F121" s="358">
        <v>36036</v>
      </c>
      <c r="G121" s="358">
        <v>38804</v>
      </c>
      <c r="H121" s="358">
        <v>41020</v>
      </c>
      <c r="I121" s="358">
        <v>47964</v>
      </c>
      <c r="J121" s="162">
        <v>47964</v>
      </c>
      <c r="K121" s="358">
        <v>44552</v>
      </c>
      <c r="L121" s="358">
        <v>47087</v>
      </c>
      <c r="M121" s="358">
        <v>49104</v>
      </c>
      <c r="N121" s="358">
        <v>52340</v>
      </c>
      <c r="O121" s="162">
        <v>52340</v>
      </c>
      <c r="P121" s="358">
        <v>51000</v>
      </c>
      <c r="Q121" s="358">
        <v>55048</v>
      </c>
      <c r="R121" s="358">
        <v>57148</v>
      </c>
      <c r="S121" s="358">
        <v>62886</v>
      </c>
      <c r="T121" s="162">
        <v>62886</v>
      </c>
      <c r="U121" s="358">
        <v>62999</v>
      </c>
      <c r="V121" s="358">
        <v>0</v>
      </c>
      <c r="W121" s="358">
        <v>0</v>
      </c>
      <c r="X121" s="359">
        <f t="shared" ref="X121:X123" si="134" ca="1">X162</f>
        <v>1e-12</v>
      </c>
      <c r="Y121" s="162">
        <f t="shared" si="130" ca="1"/>
        <v>1e-12</v>
      </c>
      <c r="Z121" s="359">
        <f t="shared" ref="Z121:AC121" si="135" ca="1">Z162</f>
        <v>1e-12</v>
      </c>
      <c r="AA121" s="359">
        <f t="shared" si="135" ca="1"/>
        <v>1e-12</v>
      </c>
      <c r="AB121" s="359">
        <f t="shared" si="135" ca="1"/>
        <v>1e-12</v>
      </c>
      <c r="AC121" s="359">
        <f t="shared" si="135" ca="1"/>
        <v>1e-12</v>
      </c>
      <c r="AD121" s="162">
        <f t="shared" si="132" ca="1"/>
        <v>1e-12</v>
      </c>
      <c r="AE121" s="162">
        <f t="shared" ref="AE121:AG121" si="136" ca="1">AE162</f>
        <v>1e-12</v>
      </c>
      <c r="AF121" s="162">
        <f t="shared" si="136" ca="1"/>
        <v>1e-12</v>
      </c>
      <c r="AG121" s="162">
        <f t="shared" si="136" ca="1"/>
        <v>1e-12</v>
      </c>
      <c r="AH121" s="16"/>
      <c r="AI121" s="16"/>
      <c r="AJ121" s="16"/>
      <c r="AK121" s="16"/>
    </row>
    <row r="122" ht="13.5" customHeight="1" spans="1:37" x14ac:dyDescent="0.25">
      <c r="A122" s="264"/>
      <c r="B122" s="16"/>
      <c r="C122" s="16" t="s">
        <v>332</v>
      </c>
      <c r="D122" s="16"/>
      <c r="E122" s="16"/>
      <c r="F122" s="358">
        <v>2315</v>
      </c>
      <c r="G122" s="358">
        <v>2231</v>
      </c>
      <c r="H122" s="358">
        <v>2957</v>
      </c>
      <c r="I122" s="358">
        <v>0</v>
      </c>
      <c r="J122" s="162">
        <v>0</v>
      </c>
      <c r="K122" s="358">
        <v>0</v>
      </c>
      <c r="L122" s="358">
        <v>0</v>
      </c>
      <c r="M122" s="358">
        <v>0</v>
      </c>
      <c r="N122" s="358">
        <v>0</v>
      </c>
      <c r="O122" s="162">
        <v>0</v>
      </c>
      <c r="P122" s="358">
        <v>0</v>
      </c>
      <c r="Q122" s="358">
        <v>0</v>
      </c>
      <c r="R122" s="358">
        <v>0</v>
      </c>
      <c r="S122" s="358">
        <v>0</v>
      </c>
      <c r="T122" s="162">
        <v>0</v>
      </c>
      <c r="U122" s="358">
        <v>0</v>
      </c>
      <c r="V122" s="358">
        <v>17322</v>
      </c>
      <c r="W122" s="358">
        <v>16685</v>
      </c>
      <c r="X122" s="359">
        <f t="shared" si="134" ca="1"/>
        <v>18529.950326086957</v>
      </c>
      <c r="Y122" s="162">
        <f t="shared" si="130" ca="1"/>
        <v>18529.950326086957</v>
      </c>
      <c r="Z122" s="359">
        <f t="shared" ref="Z122:AC122" si="137" ca="1">Z163</f>
        <v>23065.506292307695</v>
      </c>
      <c r="AA122" s="359">
        <f t="shared" si="137" ca="1"/>
        <v>22014.14833107692</v>
      </c>
      <c r="AB122" s="359">
        <f t="shared" si="137" ca="1"/>
        <v>20954.80490032696</v>
      </c>
      <c r="AC122" s="359">
        <f t="shared" si="137" ca="1"/>
        <v>20718.783200747737</v>
      </c>
      <c r="AD122" s="162">
        <f t="shared" si="132" ca="1"/>
        <v>20718.783200747737</v>
      </c>
      <c r="AE122" s="162">
        <f t="shared" ref="AE122:AG122" si="138" ca="1">AE163</f>
        <v>21269.509108004873</v>
      </c>
      <c r="AF122" s="162">
        <f t="shared" si="138" ca="1"/>
        <v>21669.70196230183</v>
      </c>
      <c r="AG122" s="162">
        <f t="shared" si="138" ca="1"/>
        <v>22051.69345270706</v>
      </c>
      <c r="AH122" s="16"/>
      <c r="AI122" s="16"/>
      <c r="AJ122" s="16"/>
      <c r="AK122" s="16"/>
    </row>
    <row r="123" ht="13.5" customHeight="1" spans="1:37" x14ac:dyDescent="0.25">
      <c r="A123" s="264"/>
      <c r="B123" s="16"/>
      <c r="C123" s="16" t="s">
        <v>333</v>
      </c>
      <c r="D123" s="16"/>
      <c r="E123" s="16"/>
      <c r="F123" s="354">
        <v>8532</v>
      </c>
      <c r="G123" s="354">
        <v>9421</v>
      </c>
      <c r="H123" s="354">
        <v>12398</v>
      </c>
      <c r="I123" s="354">
        <v>12650</v>
      </c>
      <c r="J123" s="355">
        <v>12650</v>
      </c>
      <c r="K123" s="354">
        <v>12829</v>
      </c>
      <c r="L123" s="354">
        <v>14183</v>
      </c>
      <c r="M123" s="354">
        <v>15207</v>
      </c>
      <c r="N123" s="354">
        <v>15714</v>
      </c>
      <c r="O123" s="355">
        <v>15714</v>
      </c>
      <c r="P123" s="354">
        <v>15724</v>
      </c>
      <c r="Q123" s="354">
        <v>16020</v>
      </c>
      <c r="R123" s="354">
        <v>18303</v>
      </c>
      <c r="S123" s="354">
        <v>16309</v>
      </c>
      <c r="T123" s="355">
        <v>16309</v>
      </c>
      <c r="U123" s="354">
        <v>23914</v>
      </c>
      <c r="V123" s="354">
        <v>1506</v>
      </c>
      <c r="W123" s="354">
        <v>1491</v>
      </c>
      <c r="X123" s="356">
        <f t="shared" si="134" ca="1"/>
        <v>1e-12</v>
      </c>
      <c r="Y123" s="355">
        <f t="shared" si="130" ca="1"/>
        <v>1e-12</v>
      </c>
      <c r="Z123" s="356">
        <f t="shared" ref="Z123:AC123" si="139" ca="1">Z164</f>
        <v>1849.7576159999996</v>
      </c>
      <c r="AA123" s="356">
        <f t="shared" si="139" ca="1"/>
        <v>2108.72368224</v>
      </c>
      <c r="AB123" s="356">
        <f t="shared" si="139" ca="1"/>
        <v>1855.6768403712</v>
      </c>
      <c r="AC123" s="356">
        <f t="shared" si="139" ca="1"/>
        <v>1762.8929983526398</v>
      </c>
      <c r="AD123" s="355">
        <f t="shared" si="132" ca="1"/>
        <v>1762.8929983526398</v>
      </c>
      <c r="AE123" s="355">
        <f t="shared" ref="AE123:AG123" si="140" ca="1">AE164</f>
        <v>1932.1480399257787</v>
      </c>
      <c r="AF123" s="355">
        <f t="shared" si="140" ca="1"/>
        <v>1970.7910007242942</v>
      </c>
      <c r="AG123" s="355">
        <f t="shared" si="140" ca="1"/>
        <v>2010.2068207387802</v>
      </c>
      <c r="AH123" s="16"/>
      <c r="AI123" s="16"/>
      <c r="AJ123" s="16"/>
      <c r="AK123" s="16"/>
    </row>
    <row r="124" ht="13.5" customHeight="1" spans="1:37" x14ac:dyDescent="0.25">
      <c r="A124" s="264"/>
      <c r="B124" s="16"/>
      <c r="C124" s="139" t="s">
        <v>334</v>
      </c>
      <c r="D124" s="16"/>
      <c r="E124" s="16"/>
      <c r="F124" s="353">
        <f t="shared" ref="F124:I124" si="141" ca="1">SUM(F120:F123)</f>
        <v>161985</v>
      </c>
      <c r="G124" s="353">
        <f ca="1">SUM(G120:G123)</f>
        <v>168788</v>
      </c>
      <c r="H124" s="353">
        <f ca="1">SUM(H120:H123)</f>
        <v>176310</v>
      </c>
      <c r="I124" s="353">
        <f ca="1">SUM(I120:I123)</f>
        <v>171530</v>
      </c>
      <c r="J124" s="282">
        <f ca="1">I124</f>
        <v>171530</v>
      </c>
      <c r="K124" s="353">
        <f t="shared" ref="K124:N124" si="142" ca="1">SUM(K120:K123)</f>
        <v>165471</v>
      </c>
      <c r="L124" s="353">
        <f ca="1">SUM(L120:L123)</f>
        <v>161995</v>
      </c>
      <c r="M124" s="353">
        <f ca="1">SUM(M120:M123)</f>
        <v>157541</v>
      </c>
      <c r="N124" s="353">
        <f ca="1">SUM(N120:N123)</f>
        <v>163711</v>
      </c>
      <c r="O124" s="282">
        <f ca="1">N124</f>
        <v>163711</v>
      </c>
      <c r="P124" s="353">
        <f t="shared" ref="P124:S124" si="143" ca="1">SUM(P120:P123)</f>
        <v>162052</v>
      </c>
      <c r="Q124" s="353">
        <f ca="1">SUM(Q120:Q123)</f>
        <v>166216</v>
      </c>
      <c r="R124" s="353">
        <f ca="1">SUM(R120:R123)</f>
        <v>173947</v>
      </c>
      <c r="S124" s="353">
        <f ca="1">SUM(S120:S123)</f>
        <v>206038</v>
      </c>
      <c r="T124" s="282">
        <f ca="1">S124</f>
        <v>206038</v>
      </c>
      <c r="U124" s="353">
        <f t="shared" ref="U124:X124" si="144" ca="1">SUM(U120:U123)</f>
        <v>213753</v>
      </c>
      <c r="V124" s="353">
        <f ca="1">SUM(V120:V123)</f>
        <v>25083</v>
      </c>
      <c r="W124" s="353">
        <f t="shared" si="144" ca="1"/>
        <v>24849</v>
      </c>
      <c r="X124" s="281">
        <f t="shared" si="144" ca="1"/>
        <v>21185.673769608693</v>
      </c>
      <c r="Y124" s="282">
        <f t="shared" si="130" ca="1"/>
        <v>21185.673769608693</v>
      </c>
      <c r="Z124" s="281">
        <f t="shared" ref="Z124:AC124" si="145" ca="1">SUM(Z120:Z123)</f>
        <v>19293.240496690298</v>
      </c>
      <c r="AA124" s="281">
        <f t="shared" si="145" ca="1"/>
        <v>22917.97801790623</v>
      </c>
      <c r="AB124" s="281">
        <f t="shared" si="145" ca="1"/>
        <v>21600.737596267496</v>
      </c>
      <c r="AC124" s="281">
        <f t="shared" si="145" ca="1"/>
        <v>19352.92757263119</v>
      </c>
      <c r="AD124" s="282">
        <f t="shared" si="132" ca="1"/>
        <v>19352.92757263119</v>
      </c>
      <c r="AE124" s="282">
        <f t="shared" ref="AE124:AG124" si="146" ca="1">SUM(AE120:AE123)</f>
        <v>14944.264449827066</v>
      </c>
      <c r="AF124" s="282">
        <f t="shared" si="146" ca="1"/>
        <v>14195.228102759254</v>
      </c>
      <c r="AG124" s="282">
        <f t="shared" si="146" ca="1"/>
        <v>14239.924277800219</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117560</v>
      </c>
      <c r="G126" s="392">
        <v>121208</v>
      </c>
      <c r="H126" s="392">
        <v>125705</v>
      </c>
      <c r="I126" s="392">
        <v>134345</v>
      </c>
      <c r="J126" s="282">
        <v>134345</v>
      </c>
      <c r="K126" s="392">
        <v>143182</v>
      </c>
      <c r="L126" s="392">
        <v>151155</v>
      </c>
      <c r="M126" s="392">
        <v>161270</v>
      </c>
      <c r="N126" s="392">
        <v>171036</v>
      </c>
      <c r="O126" s="282">
        <v>171036</v>
      </c>
      <c r="P126" s="392">
        <v>185062</v>
      </c>
      <c r="Q126" s="392">
        <v>203231</v>
      </c>
      <c r="R126" s="392">
        <v>223787</v>
      </c>
      <c r="S126" s="392">
        <v>246597</v>
      </c>
      <c r="T126" s="282">
        <v>246597</v>
      </c>
      <c r="U126" s="392">
        <v>281020</v>
      </c>
      <c r="V126" s="392">
        <v>19031</v>
      </c>
      <c r="W126" s="392">
        <v>18925</v>
      </c>
      <c r="X126" s="281">
        <f ca="1">X196</f>
        <v>18963.9382</v>
      </c>
      <c r="Y126" s="282">
        <f t="shared" ref="Y126:Y130" si="147" ca="1">X126</f>
        <v>18963.9382</v>
      </c>
      <c r="Z126" s="281">
        <f t="shared" ref="Z126:AC126" si="148" ca="1">Z196</f>
        <v>19248.6551535</v>
      </c>
      <c r="AA126" s="281">
        <f t="shared" si="148" ca="1"/>
        <v>19556.13592455375</v>
      </c>
      <c r="AB126" s="281">
        <f t="shared" si="148" ca="1"/>
        <v>19652.04946651726</v>
      </c>
      <c r="AC126" s="281">
        <f t="shared" si="148" ca="1"/>
        <v>19724.377225464246</v>
      </c>
      <c r="AD126" s="282">
        <f t="shared" ref="AD126:AD130" si="149" ca="1">AC126</f>
        <v>19724.377225464246</v>
      </c>
      <c r="AE126" s="282">
        <f t="shared" ref="AE126:AG126" si="150" ca="1">AE196</f>
        <v>20451.053220703907</v>
      </c>
      <c r="AF126" s="282">
        <f t="shared" si="150" ca="1"/>
        <v>21168.345167395775</v>
      </c>
      <c r="AG126" s="282">
        <f t="shared" si="150" ca="1"/>
        <v>21989.46560620519</v>
      </c>
      <c r="AH126" s="16"/>
      <c r="AI126" s="16"/>
      <c r="AJ126" s="16"/>
      <c r="AK126" s="16"/>
    </row>
    <row r="127" ht="13.5" customHeight="1" spans="1:37" x14ac:dyDescent="0.25">
      <c r="A127" s="264"/>
      <c r="B127" s="16"/>
      <c r="C127" s="16" t="s">
        <v>336</v>
      </c>
      <c r="D127" s="16"/>
      <c r="E127" s="16"/>
      <c r="F127" s="358">
        <v>1726</v>
      </c>
      <c r="G127" s="358">
        <v>1730</v>
      </c>
      <c r="H127" s="358">
        <v>1599</v>
      </c>
      <c r="I127" s="358">
        <v>0</v>
      </c>
      <c r="J127" s="162">
        <v>0</v>
      </c>
      <c r="K127" s="358">
        <v>0</v>
      </c>
      <c r="L127" s="358">
        <v>0</v>
      </c>
      <c r="M127" s="358">
        <v>0</v>
      </c>
      <c r="N127" s="358">
        <v>0</v>
      </c>
      <c r="O127" s="162">
        <v>0</v>
      </c>
      <c r="P127" s="358">
        <v>0</v>
      </c>
      <c r="Q127" s="358">
        <v>0</v>
      </c>
      <c r="R127" s="358">
        <v>0</v>
      </c>
      <c r="S127" s="358">
        <v>1088</v>
      </c>
      <c r="T127" s="162">
        <v>1088</v>
      </c>
      <c r="U127" s="358">
        <v>9249</v>
      </c>
      <c r="V127" s="358">
        <v>0</v>
      </c>
      <c r="W127" s="358">
        <v>0</v>
      </c>
      <c r="X127" s="359">
        <f ca="1">X210</f>
        <v>1e-12</v>
      </c>
      <c r="Y127" s="162">
        <f t="shared" si="147" ca="1"/>
        <v>1e-12</v>
      </c>
      <c r="Z127" s="359">
        <f t="shared" ref="Z127:AC127" si="151" ca="1">Z210</f>
        <v>1e-12</v>
      </c>
      <c r="AA127" s="359">
        <f t="shared" si="151" ca="1"/>
        <v>1e-12</v>
      </c>
      <c r="AB127" s="359">
        <f t="shared" si="151" ca="1"/>
        <v>1e-12</v>
      </c>
      <c r="AC127" s="359">
        <f t="shared" si="151" ca="1"/>
        <v>1e-12</v>
      </c>
      <c r="AD127" s="162">
        <f t="shared" si="149" ca="1"/>
        <v>1e-12</v>
      </c>
      <c r="AE127" s="162">
        <f t="shared" ref="AE127:AG127" si="152" ca="1">AE210</f>
        <v>1e-12</v>
      </c>
      <c r="AF127" s="162">
        <f t="shared" si="152" ca="1"/>
        <v>1e-12</v>
      </c>
      <c r="AG127" s="162">
        <f t="shared" si="152" ca="1"/>
        <v>1e-12</v>
      </c>
      <c r="AH127" s="16"/>
      <c r="AI127" s="16"/>
      <c r="AJ127" s="16"/>
      <c r="AK127" s="16"/>
    </row>
    <row r="128" ht="13.5" customHeight="1" spans="1:37" x14ac:dyDescent="0.25">
      <c r="A128" s="264"/>
      <c r="B128" s="16"/>
      <c r="C128" s="16" t="s">
        <v>337</v>
      </c>
      <c r="D128" s="16"/>
      <c r="E128" s="16"/>
      <c r="F128" s="358">
        <v>28994</v>
      </c>
      <c r="G128" s="358">
        <v>29210</v>
      </c>
      <c r="H128" s="358">
        <v>29146</v>
      </c>
      <c r="I128" s="358">
        <v>29198</v>
      </c>
      <c r="J128" s="162">
        <v>29198</v>
      </c>
      <c r="K128" s="358">
        <v>29183</v>
      </c>
      <c r="L128" s="358">
        <v>29185</v>
      </c>
      <c r="M128" s="358">
        <v>31935</v>
      </c>
      <c r="N128" s="358">
        <v>31885</v>
      </c>
      <c r="O128" s="162">
        <v>31885</v>
      </c>
      <c r="P128" s="358">
        <v>32173</v>
      </c>
      <c r="Q128" s="358">
        <v>32335</v>
      </c>
      <c r="R128" s="358">
        <v>33269</v>
      </c>
      <c r="S128" s="358">
        <v>33380</v>
      </c>
      <c r="T128" s="162">
        <v>33380</v>
      </c>
      <c r="U128" s="358">
        <v>57774</v>
      </c>
      <c r="V128" s="358">
        <v>0</v>
      </c>
      <c r="W128" s="358">
        <v>0</v>
      </c>
      <c r="X128" s="359">
        <f t="shared" ref="X128:X129" si="153" ca="1">X218</f>
        <v>1e-12</v>
      </c>
      <c r="Y128" s="162">
        <f t="shared" si="147" ca="1"/>
        <v>1e-12</v>
      </c>
      <c r="Z128" s="359">
        <f t="shared" ref="Z128:AC128" si="154" ca="1">Z218</f>
        <v>1e-12</v>
      </c>
      <c r="AA128" s="359">
        <f t="shared" si="154" ca="1"/>
        <v>1e-12</v>
      </c>
      <c r="AB128" s="359">
        <f t="shared" si="154" ca="1"/>
        <v>1e-12</v>
      </c>
      <c r="AC128" s="359">
        <f t="shared" si="154" ca="1"/>
        <v>1e-12</v>
      </c>
      <c r="AD128" s="162">
        <f t="shared" si="149" ca="1"/>
        <v>1e-12</v>
      </c>
      <c r="AE128" s="162">
        <f t="shared" ref="AE128:AG128" si="155" ca="1">AE218</f>
        <v>1e-12</v>
      </c>
      <c r="AF128" s="162">
        <f t="shared" si="155" ca="1"/>
        <v>1e-12</v>
      </c>
      <c r="AG128" s="162">
        <f t="shared" si="155" ca="1"/>
        <v>1e-12</v>
      </c>
      <c r="AH128" s="16"/>
      <c r="AI128" s="16"/>
      <c r="AJ128" s="16"/>
      <c r="AK128" s="16"/>
    </row>
    <row r="129" ht="13.5" customHeight="1" spans="1:37" x14ac:dyDescent="0.25">
      <c r="A129" s="264"/>
      <c r="B129" s="16"/>
      <c r="C129" s="16" t="s">
        <v>338</v>
      </c>
      <c r="D129" s="16"/>
      <c r="E129" s="16"/>
      <c r="F129" s="354">
        <v>59226</v>
      </c>
      <c r="G129" s="354">
        <v>62108</v>
      </c>
      <c r="H129" s="354">
        <v>63951</v>
      </c>
      <c r="I129" s="354">
        <v>67319</v>
      </c>
      <c r="J129" s="355">
        <v>67319</v>
      </c>
      <c r="K129" s="354">
        <v>69514</v>
      </c>
      <c r="L129" s="354">
        <v>72435</v>
      </c>
      <c r="M129" s="354">
        <v>79520</v>
      </c>
      <c r="N129" s="354">
        <v>83624</v>
      </c>
      <c r="O129" s="355">
        <v>83624</v>
      </c>
      <c r="P129" s="354">
        <v>96087</v>
      </c>
      <c r="Q129" s="354">
        <v>100271</v>
      </c>
      <c r="R129" s="354">
        <v>105466</v>
      </c>
      <c r="S129" s="354">
        <v>108178</v>
      </c>
      <c r="T129" s="355">
        <v>108178</v>
      </c>
      <c r="U129" s="354">
        <v>142123</v>
      </c>
      <c r="V129" s="354">
        <f ca="1">3820+225+221+1024</f>
        <v>5290</v>
      </c>
      <c r="W129" s="354">
        <f ca="1">4161+213+220+1032</f>
        <v>5626</v>
      </c>
      <c r="X129" s="356">
        <f t="shared" si="153" ca="1"/>
        <v>5738.52</v>
      </c>
      <c r="Y129" s="355">
        <f t="shared" si="147" ca="1"/>
        <v>5738.52</v>
      </c>
      <c r="Z129" s="356">
        <f t="shared" ref="Z129:AC129" si="156" ca="1">Z219</f>
        <v>5853.290400000001</v>
      </c>
      <c r="AA129" s="356">
        <f t="shared" si="156" ca="1"/>
        <v>5970.356208000001</v>
      </c>
      <c r="AB129" s="356">
        <f t="shared" si="156" ca="1"/>
        <v>6089.7633321600015</v>
      </c>
      <c r="AC129" s="356">
        <f t="shared" si="156" ca="1"/>
        <v>6211.558598803202</v>
      </c>
      <c r="AD129" s="355">
        <f t="shared" si="149" ca="1"/>
        <v>6211.558598803202</v>
      </c>
      <c r="AE129" s="355">
        <f t="shared" ref="AE129:AG129" si="157" ca="1">AE219</f>
        <v>6335.789770779265</v>
      </c>
      <c r="AF129" s="355">
        <f t="shared" si="157" ca="1"/>
        <v>6462.505566194851</v>
      </c>
      <c r="AG129" s="355">
        <f t="shared" si="157" ca="1"/>
        <v>6591.755677518748</v>
      </c>
      <c r="AH129" s="16"/>
      <c r="AI129" s="16"/>
      <c r="AJ129" s="16"/>
      <c r="AK129" s="16"/>
    </row>
    <row r="130" ht="13.5" customHeight="1" spans="1:37" x14ac:dyDescent="0.25">
      <c r="A130" s="264"/>
      <c r="B130" s="16"/>
      <c r="C130" s="139" t="s">
        <v>339</v>
      </c>
      <c r="D130" s="16"/>
      <c r="E130" s="16"/>
      <c r="F130" s="353">
        <f t="shared" ref="F130:I130" si="158" ca="1">SUM(F126:F129)</f>
        <v>207506</v>
      </c>
      <c r="G130" s="353">
        <f ca="1">SUM(G126:G129)</f>
        <v>214256</v>
      </c>
      <c r="H130" s="353">
        <f ca="1">SUM(H126:H129)</f>
        <v>220401</v>
      </c>
      <c r="I130" s="353">
        <f ca="1">SUM(I126:I129)</f>
        <v>230862</v>
      </c>
      <c r="J130" s="282">
        <f ca="1">I130</f>
        <v>230862</v>
      </c>
      <c r="K130" s="353">
        <f t="shared" ref="K130:N130" si="159" ca="1">SUM(K126:K129)</f>
        <v>241879</v>
      </c>
      <c r="L130" s="353">
        <f ca="1">SUM(L126:L129)</f>
        <v>252775</v>
      </c>
      <c r="M130" s="353">
        <f ca="1">SUM(M126:M129)</f>
        <v>272725</v>
      </c>
      <c r="N130" s="353">
        <f ca="1">SUM(N126:N129)</f>
        <v>286545</v>
      </c>
      <c r="O130" s="282">
        <f ca="1">N130</f>
        <v>286545</v>
      </c>
      <c r="P130" s="353">
        <f t="shared" ref="P130:S130" si="160" ca="1">SUM(P126:P129)</f>
        <v>313322</v>
      </c>
      <c r="Q130" s="353">
        <f ca="1">SUM(Q126:Q129)</f>
        <v>335837</v>
      </c>
      <c r="R130" s="353">
        <f ca="1">SUM(R126:R129)</f>
        <v>362522</v>
      </c>
      <c r="S130" s="353">
        <f ca="1">SUM(S126:S129)</f>
        <v>389243</v>
      </c>
      <c r="T130" s="282">
        <f ca="1">S130</f>
        <v>389243</v>
      </c>
      <c r="U130" s="353">
        <f t="shared" ref="U130:X130" si="161" ca="1">SUM(U126:U129)</f>
        <v>490166</v>
      </c>
      <c r="V130" s="353">
        <f ca="1">SUM(V126:V129)</f>
        <v>24321</v>
      </c>
      <c r="W130" s="353">
        <f t="shared" si="161" ca="1"/>
        <v>24551</v>
      </c>
      <c r="X130" s="281">
        <f t="shared" si="161" ca="1"/>
        <v>24702.4582</v>
      </c>
      <c r="Y130" s="282">
        <f t="shared" si="147" ca="1"/>
        <v>24702.4582</v>
      </c>
      <c r="Z130" s="281">
        <f t="shared" ref="Z130:AC130" si="162" ca="1">SUM(Z126:Z129)</f>
        <v>25101.9455535</v>
      </c>
      <c r="AA130" s="281">
        <f t="shared" si="162" ca="1"/>
        <v>25526.49213255375</v>
      </c>
      <c r="AB130" s="281">
        <f t="shared" si="162" ca="1"/>
        <v>25741.81279867726</v>
      </c>
      <c r="AC130" s="281">
        <f t="shared" si="162" ca="1"/>
        <v>25935.93582426745</v>
      </c>
      <c r="AD130" s="282">
        <f t="shared" si="149" ca="1"/>
        <v>25935.93582426745</v>
      </c>
      <c r="AE130" s="282">
        <f t="shared" ref="AE130:AG130" si="163" ca="1">SUM(AE126:AE129)</f>
        <v>26786.842991483172</v>
      </c>
      <c r="AF130" s="282">
        <f t="shared" si="163" ca="1"/>
        <v>27630.850733590625</v>
      </c>
      <c r="AG130" s="282">
        <f t="shared" si="163" ca="1"/>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64" ca="1">SUM(F124,F130)</f>
        <v>369491</v>
      </c>
      <c r="G132" s="353">
        <f ca="1">SUM(G124,G130)</f>
        <v>383044</v>
      </c>
      <c r="H132" s="353">
        <f ca="1">SUM(H124,H130)</f>
        <v>396711</v>
      </c>
      <c r="I132" s="353">
        <f ca="1">SUM(I124,I130)</f>
        <v>402392</v>
      </c>
      <c r="J132" s="282">
        <f ca="1">SUM(J124,J130)</f>
        <v>402392</v>
      </c>
      <c r="K132" s="353">
        <f ca="1">SUM(K124,K130)</f>
        <v>407350</v>
      </c>
      <c r="L132" s="353">
        <f ca="1">SUM(L124,L130)</f>
        <v>414770</v>
      </c>
      <c r="M132" s="353">
        <f ca="1">SUM(M124,M130)</f>
        <v>430266</v>
      </c>
      <c r="N132" s="353">
        <f ca="1">SUM(N124,N130)</f>
        <v>450256</v>
      </c>
      <c r="O132" s="282">
        <f ca="1">SUM(O124,O130)</f>
        <v>450256</v>
      </c>
      <c r="P132" s="353">
        <f ca="1">SUM(P124,P130)</f>
        <v>475374</v>
      </c>
      <c r="Q132" s="353">
        <f ca="1">SUM(Q124,Q130)</f>
        <v>502053</v>
      </c>
      <c r="R132" s="353">
        <f ca="1">SUM(R124,R130)</f>
        <v>536469</v>
      </c>
      <c r="S132" s="353">
        <f ca="1">SUM(S124,S130)</f>
        <v>595281</v>
      </c>
      <c r="T132" s="282">
        <f ca="1">SUM(T124,T130)</f>
        <v>595281</v>
      </c>
      <c r="U132" s="353">
        <f ca="1">SUM(U124,U130)</f>
        <v>703919</v>
      </c>
      <c r="V132" s="353">
        <f ca="1">SUM(V124,V130)</f>
        <v>49404</v>
      </c>
      <c r="W132" s="353">
        <f t="shared" si="164" ca="1"/>
        <v>49400</v>
      </c>
      <c r="X132" s="281">
        <f t="shared" si="164" ca="1"/>
        <v>45888.131969608694</v>
      </c>
      <c r="Y132" s="282">
        <f t="shared" si="164" ca="1"/>
        <v>45888.131969608694</v>
      </c>
      <c r="Z132" s="281">
        <f t="shared" si="164" ca="1"/>
        <v>44395.1860501903</v>
      </c>
      <c r="AA132" s="281">
        <f t="shared" si="164" ca="1"/>
        <v>48444.47015045998</v>
      </c>
      <c r="AB132" s="281">
        <f t="shared" si="164" ca="1"/>
        <v>47342.55039494476</v>
      </c>
      <c r="AC132" s="281">
        <f t="shared" si="164" ca="1"/>
        <v>45288.86339689864</v>
      </c>
      <c r="AD132" s="282">
        <f t="shared" si="164" ca="1"/>
        <v>45288.86339689864</v>
      </c>
      <c r="AE132" s="282">
        <f t="shared" si="164" ca="1"/>
        <v>41731.10744131024</v>
      </c>
      <c r="AF132" s="282">
        <f t="shared" si="164" ca="1"/>
        <v>41826.07883634988</v>
      </c>
      <c r="AG132" s="282">
        <f t="shared" si="164" ca="1"/>
        <v>42821.14556152416</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4184</v>
      </c>
      <c r="G134" s="392">
        <v>5313</v>
      </c>
      <c r="H134" s="392">
        <v>5803</v>
      </c>
      <c r="I134" s="392">
        <v>7493</v>
      </c>
      <c r="J134" s="282">
        <v>7493</v>
      </c>
      <c r="K134" s="392">
        <v>6198</v>
      </c>
      <c r="L134" s="392">
        <v>6092</v>
      </c>
      <c r="M134" s="392">
        <v>7049</v>
      </c>
      <c r="N134" s="392">
        <v>7987</v>
      </c>
      <c r="O134" s="282">
        <v>7987</v>
      </c>
      <c r="P134" s="392">
        <v>8497</v>
      </c>
      <c r="Q134" s="392">
        <v>8347</v>
      </c>
      <c r="R134" s="392">
        <v>10546</v>
      </c>
      <c r="S134" s="392">
        <v>12200</v>
      </c>
      <c r="T134" s="282">
        <v>12200</v>
      </c>
      <c r="U134" s="392">
        <v>16852</v>
      </c>
      <c r="V134" s="392">
        <v>12011</v>
      </c>
      <c r="W134" s="392">
        <v>11334</v>
      </c>
      <c r="X134" s="281">
        <f t="shared" ref="X134:X136" si="165" ca="1">X167</f>
        <v>11323.858532608696</v>
      </c>
      <c r="Y134" s="282">
        <f t="shared" ref="Y134:Y137" si="166" ca="1">X134</f>
        <v>11323.858532608696</v>
      </c>
      <c r="Z134" s="281">
        <f t="shared" ref="Z134:AC134" si="167" ca="1">Z167</f>
        <v>14082.098578461539</v>
      </c>
      <c r="AA134" s="281">
        <f t="shared" si="167" ca="1"/>
        <v>13208.488998646155</v>
      </c>
      <c r="AB134" s="281">
        <f t="shared" si="167" ca="1"/>
        <v>13065.937173145043</v>
      </c>
      <c r="AC134" s="281">
        <f t="shared" si="167" ca="1"/>
        <v>12661.478622679173</v>
      </c>
      <c r="AD134" s="282">
        <f t="shared" ref="AD134:AD137" si="168" ca="1">AC134</f>
        <v>12661.478622679173</v>
      </c>
      <c r="AE134" s="282">
        <f t="shared" ref="AE134:AG134" si="169" ca="1">AE167</f>
        <v>13673.255855145992</v>
      </c>
      <c r="AF134" s="282">
        <f t="shared" si="169" ca="1"/>
        <v>13930.522690051177</v>
      </c>
      <c r="AG134" s="282">
        <f t="shared" si="169" ca="1"/>
        <v>14176.088648168821</v>
      </c>
      <c r="AH134" s="16"/>
      <c r="AI134" s="16"/>
      <c r="AJ134" s="16"/>
      <c r="AK134" s="16"/>
    </row>
    <row r="135" ht="13.5" customHeight="1" spans="1:37" x14ac:dyDescent="0.25">
      <c r="A135" s="264"/>
      <c r="B135" s="16"/>
      <c r="C135" s="16" t="s">
        <v>342</v>
      </c>
      <c r="D135" s="16"/>
      <c r="E135" s="16"/>
      <c r="F135" s="358">
        <v>59956</v>
      </c>
      <c r="G135" s="358">
        <v>67551</v>
      </c>
      <c r="H135" s="358">
        <v>75189</v>
      </c>
      <c r="I135" s="358">
        <v>69184</v>
      </c>
      <c r="J135" s="162">
        <v>69184</v>
      </c>
      <c r="K135" s="358">
        <v>66826</v>
      </c>
      <c r="L135" s="358">
        <v>67570</v>
      </c>
      <c r="M135" s="358">
        <v>67859</v>
      </c>
      <c r="N135" s="358">
        <v>75100</v>
      </c>
      <c r="O135" s="162">
        <v>75100</v>
      </c>
      <c r="P135" s="358">
        <v>77249</v>
      </c>
      <c r="Q135" s="358">
        <v>72994</v>
      </c>
      <c r="R135" s="358">
        <v>81467</v>
      </c>
      <c r="S135" s="358">
        <v>81971</v>
      </c>
      <c r="T135" s="162">
        <v>81971</v>
      </c>
      <c r="U135" s="358">
        <v>85176</v>
      </c>
      <c r="V135" s="358">
        <v>1331</v>
      </c>
      <c r="W135" s="358">
        <v>1353</v>
      </c>
      <c r="X135" s="281">
        <f t="shared" si="165" ca="1"/>
        <v>947.08635</v>
      </c>
      <c r="Y135" s="162">
        <f t="shared" si="166" ca="1"/>
        <v>947.08635</v>
      </c>
      <c r="Z135" s="281">
        <f t="shared" ref="Z135:AC135" si="170" ca="1">Z168</f>
        <v>1104.716354</v>
      </c>
      <c r="AA135" s="281">
        <f t="shared" si="170" ca="1"/>
        <v>1252.05468633</v>
      </c>
      <c r="AB135" s="281">
        <f t="shared" si="170" ca="1"/>
        <v>1134.0247357824</v>
      </c>
      <c r="AC135" s="281">
        <f t="shared" si="170" ca="1"/>
        <v>1058.9600302604401</v>
      </c>
      <c r="AD135" s="162">
        <f t="shared" si="168" ca="1"/>
        <v>1058.9600302604401</v>
      </c>
      <c r="AE135" s="282">
        <f t="shared" ref="AE135:AG135" si="171" ca="1">AE168</f>
        <v>1201.4740561605136</v>
      </c>
      <c r="AF135" s="282">
        <f t="shared" si="171" ca="1"/>
        <v>1224.080188227645</v>
      </c>
      <c r="AG135" s="282">
        <f t="shared" si="171" ca="1"/>
        <v>1245.6581599177973</v>
      </c>
      <c r="AH135" s="16"/>
      <c r="AI135" s="16"/>
      <c r="AJ135" s="16"/>
      <c r="AK135" s="16"/>
    </row>
    <row r="136" ht="13.5" customHeight="1" spans="1:37" x14ac:dyDescent="0.25">
      <c r="A136" s="264"/>
      <c r="B136" s="16"/>
      <c r="C136" s="16" t="s">
        <v>343</v>
      </c>
      <c r="D136" s="16"/>
      <c r="E136" s="16"/>
      <c r="F136" s="354">
        <v>3715</v>
      </c>
      <c r="G136" s="354">
        <v>3846</v>
      </c>
      <c r="H136" s="354">
        <v>4303</v>
      </c>
      <c r="I136" s="354">
        <v>4137</v>
      </c>
      <c r="J136" s="355">
        <v>4137</v>
      </c>
      <c r="K136" s="354">
        <v>3973</v>
      </c>
      <c r="L136" s="354">
        <v>4251</v>
      </c>
      <c r="M136" s="354">
        <v>4896</v>
      </c>
      <c r="N136" s="354">
        <v>5036</v>
      </c>
      <c r="O136" s="355">
        <v>5036</v>
      </c>
      <c r="P136" s="354">
        <v>4908</v>
      </c>
      <c r="Q136" s="354">
        <v>4969</v>
      </c>
      <c r="R136" s="354">
        <v>5542</v>
      </c>
      <c r="S136" s="354">
        <v>6578</v>
      </c>
      <c r="T136" s="355">
        <v>6578</v>
      </c>
      <c r="U136" s="354">
        <v>7162</v>
      </c>
      <c r="V136" s="354">
        <f ca="1">1000+557+2041+3380</f>
        <v>6978</v>
      </c>
      <c r="W136" s="354">
        <f ca="1">1000+573+1954+3268</f>
        <v>6795</v>
      </c>
      <c r="X136" s="356">
        <f t="shared" si="165" ca="1"/>
        <v>9470.8635</v>
      </c>
      <c r="Y136" s="355">
        <f t="shared" si="166" ca="1"/>
        <v>9470.8635</v>
      </c>
      <c r="Z136" s="356">
        <f t="shared" ref="Z136:AC136" si="172" ca="1">Z169</f>
        <v>9721.503915199999</v>
      </c>
      <c r="AA136" s="356">
        <f t="shared" si="172" ca="1"/>
        <v>11018.081239704</v>
      </c>
      <c r="AB136" s="356">
        <f t="shared" si="172" ca="1"/>
        <v>11340.247357824</v>
      </c>
      <c r="AC136" s="356">
        <f t="shared" si="172" ca="1"/>
        <v>10589.6003026044</v>
      </c>
      <c r="AD136" s="355">
        <f t="shared" si="168" ca="1"/>
        <v>10589.6003026044</v>
      </c>
      <c r="AE136" s="355">
        <f t="shared" ref="AE136:AG136" si="173" ca="1">AE169</f>
        <v>11090.529749173971</v>
      </c>
      <c r="AF136" s="355">
        <f t="shared" si="173" ca="1"/>
        <v>11299.201737485955</v>
      </c>
      <c r="AG136" s="355">
        <f t="shared" si="173" ca="1"/>
        <v>11498.383014625822</v>
      </c>
      <c r="AH136" s="16"/>
      <c r="AI136" s="16"/>
      <c r="AJ136" s="16"/>
      <c r="AK136" s="16"/>
    </row>
    <row r="137" ht="13.5" customHeight="1" spans="1:37" x14ac:dyDescent="0.25">
      <c r="A137" s="264"/>
      <c r="B137" s="16"/>
      <c r="C137" s="139" t="s">
        <v>344</v>
      </c>
      <c r="D137" s="16"/>
      <c r="E137" s="16"/>
      <c r="F137" s="353">
        <f t="shared" ref="F137:I137" si="174" ca="1">SUM(F134:F136)</f>
        <v>67855</v>
      </c>
      <c r="G137" s="353">
        <f ca="1">SUM(G134:G136)</f>
        <v>76710</v>
      </c>
      <c r="H137" s="353">
        <f ca="1">SUM(H134:H136)</f>
        <v>85295</v>
      </c>
      <c r="I137" s="353">
        <f ca="1">SUM(I134:I136)</f>
        <v>80814</v>
      </c>
      <c r="J137" s="282">
        <f ca="1">I137</f>
        <v>80814</v>
      </c>
      <c r="K137" s="353">
        <f t="shared" ref="K137:N137" si="175" ca="1">SUM(K134:K136)</f>
        <v>76997</v>
      </c>
      <c r="L137" s="353">
        <f ca="1">SUM(L134:L136)</f>
        <v>77913</v>
      </c>
      <c r="M137" s="353">
        <f ca="1">SUM(M134:M136)</f>
        <v>79804</v>
      </c>
      <c r="N137" s="353">
        <f ca="1">SUM(N134:N136)</f>
        <v>88123</v>
      </c>
      <c r="O137" s="282">
        <f ca="1">N137</f>
        <v>88123</v>
      </c>
      <c r="P137" s="353">
        <f t="shared" ref="P137:S137" si="176" ca="1">SUM(P134:P136)</f>
        <v>90654</v>
      </c>
      <c r="Q137" s="353">
        <f ca="1">SUM(Q134:Q136)</f>
        <v>86310</v>
      </c>
      <c r="R137" s="353">
        <f ca="1">SUM(R134:R136)</f>
        <v>97555</v>
      </c>
      <c r="S137" s="353">
        <f ca="1">SUM(S134:S136)</f>
        <v>100749</v>
      </c>
      <c r="T137" s="282">
        <f ca="1">S137</f>
        <v>100749</v>
      </c>
      <c r="U137" s="353">
        <f t="shared" ref="U137:X137" si="177" ca="1">SUM(U134:U136)</f>
        <v>109190</v>
      </c>
      <c r="V137" s="353">
        <f ca="1">SUM(V134:V136)</f>
        <v>20320</v>
      </c>
      <c r="W137" s="353">
        <f t="shared" si="177" ca="1"/>
        <v>19482</v>
      </c>
      <c r="X137" s="281">
        <f t="shared" si="177" ca="1"/>
        <v>21741.808382608695</v>
      </c>
      <c r="Y137" s="282">
        <f t="shared" si="166" ca="1"/>
        <v>21741.808382608695</v>
      </c>
      <c r="Z137" s="281">
        <f t="shared" ref="Z137:AC137" si="178" ca="1">SUM(Z134:Z136)</f>
        <v>24908.31884766154</v>
      </c>
      <c r="AA137" s="281">
        <f t="shared" si="178" ca="1"/>
        <v>25478.624924680156</v>
      </c>
      <c r="AB137" s="281">
        <f t="shared" si="178" ca="1"/>
        <v>25540.209266751444</v>
      </c>
      <c r="AC137" s="281">
        <f t="shared" si="178" ca="1"/>
        <v>24310.038955544012</v>
      </c>
      <c r="AD137" s="282">
        <f t="shared" si="168" ca="1"/>
        <v>24310.038955544012</v>
      </c>
      <c r="AE137" s="282">
        <f t="shared" ref="AE137:AG137" si="179" ca="1">SUM(AE134:AE136)</f>
        <v>25965.25966048048</v>
      </c>
      <c r="AF137" s="282">
        <f t="shared" si="179" ca="1"/>
        <v>26453.804615764777</v>
      </c>
      <c r="AG137" s="282">
        <f t="shared" si="179" ca="1"/>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180" ca="1">I139</f>
        <v>1e-12</v>
      </c>
      <c r="K139" s="392">
        <v>0</v>
      </c>
      <c r="L139" s="392">
        <v>0</v>
      </c>
      <c r="M139" s="392">
        <v>0</v>
      </c>
      <c r="N139" s="392">
        <v>0</v>
      </c>
      <c r="O139" s="282">
        <f t="shared" ref="O139:O143" si="181" ca="1">N139</f>
        <v>1e-12</v>
      </c>
      <c r="P139" s="392">
        <v>0</v>
      </c>
      <c r="Q139" s="392">
        <v>0</v>
      </c>
      <c r="R139" s="392">
        <v>0</v>
      </c>
      <c r="S139" s="392">
        <v>0</v>
      </c>
      <c r="T139" s="282">
        <f t="shared" ref="T139:T143" si="182" ca="1">S139</f>
        <v>1e-12</v>
      </c>
      <c r="U139" s="392">
        <v>0</v>
      </c>
      <c r="V139" s="392">
        <v>0</v>
      </c>
      <c r="W139" s="392">
        <v>0</v>
      </c>
      <c r="X139" s="281">
        <f ca="1">X304</f>
        <v>1e-12</v>
      </c>
      <c r="Y139" s="282">
        <f t="shared" ref="Y139:Y143" si="183" ca="1">X139</f>
        <v>1e-12</v>
      </c>
      <c r="Z139" s="281">
        <f t="shared" ref="Z139:AC139" si="184" ca="1">Z304</f>
        <v>1283.6175889362057</v>
      </c>
      <c r="AA139" s="281">
        <f t="shared" si="184" ca="1"/>
        <v>6001.127777555657</v>
      </c>
      <c r="AB139" s="281">
        <f t="shared" si="184" ca="1"/>
        <v>8869.564136728159</v>
      </c>
      <c r="AC139" s="281">
        <f t="shared" si="184" ca="1"/>
        <v>14448.45602673254</v>
      </c>
      <c r="AD139" s="282">
        <f t="shared" ref="AD139:AD143" si="185" ca="1">AC139</f>
        <v>14448.45602673254</v>
      </c>
      <c r="AE139" s="282">
        <f t="shared" ref="AE139:AG139" si="186" ca="1">AE304</f>
        <v>27546.217730373166</v>
      </c>
      <c r="AF139" s="282">
        <f t="shared" si="186" ca="1"/>
        <v>46224.163047191614</v>
      </c>
      <c r="AG139" s="282">
        <f t="shared" si="186" ca="1"/>
        <v>66596.56678654766</v>
      </c>
      <c r="AH139" s="16"/>
      <c r="AI139" s="16"/>
      <c r="AJ139" s="16"/>
      <c r="AK139" s="16"/>
    </row>
    <row r="140" ht="13.5" customHeight="1" spans="1:37" x14ac:dyDescent="0.25">
      <c r="A140" s="264"/>
      <c r="B140" s="16"/>
      <c r="C140" s="16" t="s">
        <v>346</v>
      </c>
      <c r="D140" s="16"/>
      <c r="E140" s="16"/>
      <c r="F140" s="358">
        <v>15208</v>
      </c>
      <c r="G140" s="358">
        <v>15159</v>
      </c>
      <c r="H140" s="358">
        <v>15314</v>
      </c>
      <c r="I140" s="358">
        <v>14746</v>
      </c>
      <c r="J140" s="162">
        <v>14746</v>
      </c>
      <c r="K140" s="358">
        <v>13672</v>
      </c>
      <c r="L140" s="358">
        <v>14280</v>
      </c>
      <c r="M140" s="358">
        <v>14785</v>
      </c>
      <c r="N140" s="358">
        <v>11882</v>
      </c>
      <c r="O140" s="162">
        <v>11882</v>
      </c>
      <c r="P140" s="358">
        <v>11886</v>
      </c>
      <c r="Q140" s="358">
        <v>24607</v>
      </c>
      <c r="R140" s="358">
        <v>23602</v>
      </c>
      <c r="S140" s="358">
        <v>48543</v>
      </c>
      <c r="T140" s="162">
        <v>48543</v>
      </c>
      <c r="U140" s="358">
        <v>79499</v>
      </c>
      <c r="V140" s="358">
        <f ca="1">21967+1344</f>
        <v>23311</v>
      </c>
      <c r="W140" s="358">
        <f ca="1">23881+1352</f>
        <v>25233</v>
      </c>
      <c r="X140" s="359">
        <f ca="1">X310</f>
        <v>24733</v>
      </c>
      <c r="Y140" s="162">
        <f t="shared" si="183" ca="1"/>
        <v>24733</v>
      </c>
      <c r="Z140" s="359">
        <f t="shared" ref="Z140:AC140" si="187" ca="1">Z310</f>
        <v>24233</v>
      </c>
      <c r="AA140" s="359">
        <f t="shared" si="187" ca="1"/>
        <v>23733</v>
      </c>
      <c r="AB140" s="359">
        <f t="shared" si="187" ca="1"/>
        <v>23233</v>
      </c>
      <c r="AC140" s="359">
        <f t="shared" si="187" ca="1"/>
        <v>22733</v>
      </c>
      <c r="AD140" s="162">
        <f t="shared" si="185" ca="1"/>
        <v>22733</v>
      </c>
      <c r="AE140" s="162">
        <f t="shared" ref="AE140:AG140" si="188" ca="1">AE310</f>
        <v>21333</v>
      </c>
      <c r="AF140" s="162">
        <f t="shared" si="188" ca="1"/>
        <v>20033</v>
      </c>
      <c r="AG140" s="162">
        <f t="shared" si="188" ca="1"/>
        <v>18833</v>
      </c>
      <c r="AH140" s="16"/>
      <c r="AI140" s="16"/>
      <c r="AJ140" s="16"/>
      <c r="AK140" s="16"/>
    </row>
    <row r="141" ht="13.5" customHeight="1" spans="1:37" x14ac:dyDescent="0.25">
      <c r="A141" s="264"/>
      <c r="B141" s="16"/>
      <c r="C141" s="16" t="s">
        <v>347</v>
      </c>
      <c r="D141" s="16"/>
      <c r="E141" s="16"/>
      <c r="F141" s="358">
        <v>542</v>
      </c>
      <c r="G141" s="358">
        <v>558</v>
      </c>
      <c r="H141" s="358">
        <v>528</v>
      </c>
      <c r="I141" s="358">
        <v>485</v>
      </c>
      <c r="J141" s="162">
        <v>485</v>
      </c>
      <c r="K141" s="358">
        <v>486</v>
      </c>
      <c r="L141" s="358">
        <v>717</v>
      </c>
      <c r="M141" s="358">
        <v>706</v>
      </c>
      <c r="N141" s="358">
        <v>0</v>
      </c>
      <c r="O141" s="162">
        <v>0</v>
      </c>
      <c r="P141" s="358">
        <v>0</v>
      </c>
      <c r="Q141" s="358">
        <v>0</v>
      </c>
      <c r="R141" s="358">
        <v>0</v>
      </c>
      <c r="S141" s="358">
        <v>0</v>
      </c>
      <c r="T141" s="162">
        <v>0</v>
      </c>
      <c r="U141" s="358">
        <v>0</v>
      </c>
      <c r="V141" s="358">
        <v>0</v>
      </c>
      <c r="W141" s="358">
        <v>0</v>
      </c>
      <c r="X141" s="359">
        <f t="shared" ref="X141:X142" si="189" ca="1">X223</f>
        <v>1e-12</v>
      </c>
      <c r="Y141" s="162">
        <f t="shared" si="183" ca="1"/>
        <v>1e-12</v>
      </c>
      <c r="Z141" s="359">
        <f t="shared" ref="Z141:AC141" si="190" ca="1">Z223</f>
        <v>1e-12</v>
      </c>
      <c r="AA141" s="359">
        <f t="shared" si="190" ca="1"/>
        <v>1e-12</v>
      </c>
      <c r="AB141" s="359">
        <f t="shared" si="190" ca="1"/>
        <v>1e-12</v>
      </c>
      <c r="AC141" s="359">
        <f t="shared" si="190" ca="1"/>
        <v>1e-12</v>
      </c>
      <c r="AD141" s="162">
        <f t="shared" si="185" ca="1"/>
        <v>1e-12</v>
      </c>
      <c r="AE141" s="162">
        <f t="shared" ref="AE141:AG141" si="191" ca="1">AE223</f>
        <v>1e-12</v>
      </c>
      <c r="AF141" s="162">
        <f t="shared" si="191" ca="1"/>
        <v>1e-12</v>
      </c>
      <c r="AG141" s="162">
        <f t="shared" si="191" ca="1"/>
        <v>1e-12</v>
      </c>
      <c r="AH141" s="16"/>
      <c r="AI141" s="16"/>
      <c r="AJ141" s="16"/>
      <c r="AK141" s="16"/>
    </row>
    <row r="142" ht="13.5" customHeight="1" spans="1:37" x14ac:dyDescent="0.25">
      <c r="A142" s="264"/>
      <c r="B142" s="16"/>
      <c r="C142" s="16" t="s">
        <v>348</v>
      </c>
      <c r="D142" s="16"/>
      <c r="E142" s="16"/>
      <c r="F142" s="354">
        <v>24992</v>
      </c>
      <c r="G142" s="354">
        <v>23476</v>
      </c>
      <c r="H142" s="354">
        <v>22372</v>
      </c>
      <c r="I142" s="354">
        <v>22968</v>
      </c>
      <c r="J142" s="355">
        <v>22968</v>
      </c>
      <c r="K142" s="354">
        <v>23351</v>
      </c>
      <c r="L142" s="354">
        <v>21107</v>
      </c>
      <c r="M142" s="354">
        <v>20852</v>
      </c>
      <c r="N142" s="354">
        <v>25167</v>
      </c>
      <c r="O142" s="355">
        <v>25167</v>
      </c>
      <c r="P142" s="354">
        <v>27567</v>
      </c>
      <c r="Q142" s="354">
        <v>28220</v>
      </c>
      <c r="R142" s="354">
        <v>28445</v>
      </c>
      <c r="S142" s="354">
        <v>30724</v>
      </c>
      <c r="T142" s="355">
        <v>30724</v>
      </c>
      <c r="U142" s="354">
        <v>36484</v>
      </c>
      <c r="V142" s="354">
        <f ca="1">3841+1010+1097</f>
        <v>5948</v>
      </c>
      <c r="W142" s="354">
        <f ca="1">4136+1119+1006</f>
        <v>6261</v>
      </c>
      <c r="X142" s="356">
        <f t="shared" si="189" ca="1"/>
        <v>6261</v>
      </c>
      <c r="Y142" s="355">
        <f t="shared" si="183" ca="1"/>
        <v>6261</v>
      </c>
      <c r="Z142" s="356">
        <f t="shared" ref="Z142:AC142" si="192" ca="1">Z224</f>
        <v>6261</v>
      </c>
      <c r="AA142" s="356">
        <f t="shared" si="192" ca="1"/>
        <v>6261</v>
      </c>
      <c r="AB142" s="356">
        <f t="shared" si="192" ca="1"/>
        <v>6261</v>
      </c>
      <c r="AC142" s="356">
        <f t="shared" si="192" ca="1"/>
        <v>6261</v>
      </c>
      <c r="AD142" s="355">
        <f t="shared" si="185" ca="1"/>
        <v>6261</v>
      </c>
      <c r="AE142" s="355">
        <f t="shared" ref="AE142:AG142" si="193" ca="1">AE224</f>
        <v>6261</v>
      </c>
      <c r="AF142" s="355">
        <f t="shared" si="193" ca="1"/>
        <v>6261</v>
      </c>
      <c r="AG142" s="355">
        <f t="shared" si="193" ca="1"/>
        <v>6261</v>
      </c>
      <c r="AH142" s="16"/>
      <c r="AI142" s="16"/>
      <c r="AJ142" s="16"/>
      <c r="AK142" s="16"/>
    </row>
    <row r="143" ht="13.5" customHeight="1" spans="1:37" x14ac:dyDescent="0.25">
      <c r="A143" s="264"/>
      <c r="B143" s="16"/>
      <c r="C143" s="139" t="s">
        <v>349</v>
      </c>
      <c r="D143" s="16"/>
      <c r="E143" s="16"/>
      <c r="F143" s="353">
        <f t="shared" ref="F143:I143" si="194" ca="1">SUM(F139:F142)</f>
        <v>40742</v>
      </c>
      <c r="G143" s="353">
        <f ca="1">SUM(G139:G142)</f>
        <v>39193</v>
      </c>
      <c r="H143" s="353">
        <f ca="1">SUM(H139:H142)</f>
        <v>38214</v>
      </c>
      <c r="I143" s="353">
        <f ca="1">SUM(I139:I142)</f>
        <v>38199</v>
      </c>
      <c r="J143" s="282">
        <f ca="1">I143</f>
        <v>38199</v>
      </c>
      <c r="K143" s="353">
        <f t="shared" ref="K143:N143" si="195" ca="1">SUM(K139:K142)</f>
        <v>37509</v>
      </c>
      <c r="L143" s="353">
        <f ca="1">SUM(L139:L142)</f>
        <v>36104</v>
      </c>
      <c r="M143" s="353">
        <f ca="1">SUM(M139:M142)</f>
        <v>36343</v>
      </c>
      <c r="N143" s="353">
        <f ca="1">SUM(N139:N142)</f>
        <v>37049</v>
      </c>
      <c r="O143" s="282">
        <f ca="1">N143</f>
        <v>37049</v>
      </c>
      <c r="P143" s="353">
        <f t="shared" ref="P143:S143" si="196" ca="1">SUM(P139:P142)</f>
        <v>39453</v>
      </c>
      <c r="Q143" s="353">
        <f ca="1">SUM(Q139:Q142)</f>
        <v>52827</v>
      </c>
      <c r="R143" s="353">
        <f ca="1">SUM(R139:R142)</f>
        <v>52047</v>
      </c>
      <c r="S143" s="353">
        <f ca="1">SUM(S139:S142)</f>
        <v>79267</v>
      </c>
      <c r="T143" s="282">
        <f ca="1">S143</f>
        <v>79267</v>
      </c>
      <c r="U143" s="353">
        <f t="shared" ref="U143:X143" si="197" ca="1">SUM(U139:U142)</f>
        <v>115983</v>
      </c>
      <c r="V143" s="353">
        <f ca="1">SUM(V139:V142)</f>
        <v>29259</v>
      </c>
      <c r="W143" s="353">
        <f t="shared" si="197" ca="1"/>
        <v>31494</v>
      </c>
      <c r="X143" s="281">
        <f t="shared" si="197" ca="1"/>
        <v>30994</v>
      </c>
      <c r="Y143" s="282">
        <f t="shared" si="183" ca="1"/>
        <v>30994</v>
      </c>
      <c r="Z143" s="281">
        <f t="shared" ref="Z143:AC143" si="198" ca="1">SUM(Z139:Z142)</f>
        <v>31777.617588936206</v>
      </c>
      <c r="AA143" s="281">
        <f t="shared" si="198" ca="1"/>
        <v>35995.12777755566</v>
      </c>
      <c r="AB143" s="281">
        <f t="shared" si="198" ca="1"/>
        <v>38363.56413672816</v>
      </c>
      <c r="AC143" s="281">
        <f t="shared" si="198" ca="1"/>
        <v>43442.45602673254</v>
      </c>
      <c r="AD143" s="282">
        <f t="shared" si="185" ca="1"/>
        <v>43442.45602673254</v>
      </c>
      <c r="AE143" s="282">
        <f t="shared" ref="AE143:AG143" si="199" ca="1">SUM(AE139:AE142)</f>
        <v>55140.217730373166</v>
      </c>
      <c r="AF143" s="282">
        <f t="shared" si="199" ca="1"/>
        <v>72518.16304719161</v>
      </c>
      <c r="AG143" s="282">
        <f t="shared" si="199" ca="1"/>
        <v>91690.56678654766</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00" ca="1">SUM(F137,F143)</f>
        <v>108597</v>
      </c>
      <c r="G145" s="353">
        <f ca="1">SUM(G137,G143)</f>
        <v>115903</v>
      </c>
      <c r="H145" s="353">
        <f ca="1">SUM(H137,H143)</f>
        <v>123509</v>
      </c>
      <c r="I145" s="353">
        <f ca="1">SUM(I137,I143)</f>
        <v>119013</v>
      </c>
      <c r="J145" s="282">
        <f ca="1">SUM(J137,J143)</f>
        <v>119013</v>
      </c>
      <c r="K145" s="353">
        <f ca="1">SUM(K137,K143)</f>
        <v>114506</v>
      </c>
      <c r="L145" s="353">
        <f ca="1">SUM(L137,L143)</f>
        <v>114017</v>
      </c>
      <c r="M145" s="353">
        <f ca="1">SUM(M137,M143)</f>
        <v>116147</v>
      </c>
      <c r="N145" s="353">
        <f ca="1">SUM(N137,N143)</f>
        <v>125172</v>
      </c>
      <c r="O145" s="282">
        <f ca="1">SUM(O137,O143)</f>
        <v>125172</v>
      </c>
      <c r="P145" s="353">
        <f ca="1">SUM(P137,P143)</f>
        <v>130107</v>
      </c>
      <c r="Q145" s="353">
        <f ca="1">SUM(Q137,Q143)</f>
        <v>139137</v>
      </c>
      <c r="R145" s="353">
        <f ca="1">SUM(R137,R143)</f>
        <v>149602</v>
      </c>
      <c r="S145" s="353">
        <f ca="1">SUM(S137,S143)</f>
        <v>180016</v>
      </c>
      <c r="T145" s="282">
        <f ca="1">SUM(T137,T143)</f>
        <v>180016</v>
      </c>
      <c r="U145" s="353">
        <f ca="1">SUM(U137,U143)</f>
        <v>225173</v>
      </c>
      <c r="V145" s="353">
        <f ca="1">SUM(V137,V143)</f>
        <v>49579</v>
      </c>
      <c r="W145" s="353">
        <f t="shared" si="200" ca="1"/>
        <v>50976</v>
      </c>
      <c r="X145" s="281">
        <f t="shared" si="200" ca="1"/>
        <v>52735.808382608695</v>
      </c>
      <c r="Y145" s="282">
        <f t="shared" si="200" ca="1"/>
        <v>52735.808382608695</v>
      </c>
      <c r="Z145" s="281">
        <f t="shared" si="200" ca="1"/>
        <v>56685.936436597745</v>
      </c>
      <c r="AA145" s="281">
        <f t="shared" si="200" ca="1"/>
        <v>61473.75270223581</v>
      </c>
      <c r="AB145" s="281">
        <f t="shared" si="200" ca="1"/>
        <v>63903.7734034796</v>
      </c>
      <c r="AC145" s="281">
        <f t="shared" si="200" ca="1"/>
        <v>67752.49498227655</v>
      </c>
      <c r="AD145" s="282">
        <f t="shared" si="200" ca="1"/>
        <v>67752.49498227655</v>
      </c>
      <c r="AE145" s="282">
        <f t="shared" si="200" ca="1"/>
        <v>81105.47739085364</v>
      </c>
      <c r="AF145" s="282">
        <f t="shared" si="200" ca="1"/>
        <v>98971.96766295639</v>
      </c>
      <c r="AG145" s="282">
        <f t="shared" si="200" ca="1"/>
        <v>118610.6966092601</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70269</v>
      </c>
      <c r="G147" s="392">
        <v>72248</v>
      </c>
      <c r="H147" s="392">
        <v>74591</v>
      </c>
      <c r="I147" s="392">
        <v>76534</v>
      </c>
      <c r="J147" s="282">
        <v>76534</v>
      </c>
      <c r="K147" s="392">
        <v>77913</v>
      </c>
      <c r="L147" s="392">
        <v>79732</v>
      </c>
      <c r="M147" s="392">
        <v>82030</v>
      </c>
      <c r="N147" s="392">
        <v>84800</v>
      </c>
      <c r="O147" s="282">
        <v>84800</v>
      </c>
      <c r="P147" s="392">
        <v>86725</v>
      </c>
      <c r="Q147" s="392">
        <v>89283</v>
      </c>
      <c r="R147" s="392">
        <v>91695</v>
      </c>
      <c r="S147" s="392">
        <v>93126</v>
      </c>
      <c r="T147" s="282">
        <v>93126</v>
      </c>
      <c r="U147" s="392">
        <v>96902</v>
      </c>
      <c r="V147" s="392">
        <v>350</v>
      </c>
      <c r="W147" s="392">
        <v>343</v>
      </c>
      <c r="X147" s="281">
        <f ca="1">X247</f>
        <v>394.3</v>
      </c>
      <c r="Y147" s="282">
        <f t="shared" ref="Y147:Y151" si="201" ca="1">X147</f>
        <v>394.3</v>
      </c>
      <c r="Z147" s="281">
        <f t="shared" ref="Z147:AC147" si="202" ca="1">Z247</f>
        <v>454.834</v>
      </c>
      <c r="AA147" s="281">
        <f t="shared" si="202" ca="1"/>
        <v>523.84276</v>
      </c>
      <c r="AB147" s="281">
        <f t="shared" si="202" ca="1"/>
        <v>584.5704688</v>
      </c>
      <c r="AC147" s="281">
        <f t="shared" si="202" ca="1"/>
        <v>642.2617921599999</v>
      </c>
      <c r="AD147" s="282">
        <f t="shared" ref="AD147:AD151" si="203" ca="1">AC147</f>
        <v>642.2617921599999</v>
      </c>
      <c r="AE147" s="282">
        <f t="shared" ref="AE147:AG147" si="204" ca="1">AE247</f>
        <v>895.1828201632</v>
      </c>
      <c r="AF147" s="282">
        <f t="shared" si="204" ca="1"/>
        <v>1153.162268726464</v>
      </c>
      <c r="AG147" s="282">
        <f t="shared" si="204" ca="1"/>
        <v>1416.3013062609932</v>
      </c>
      <c r="AH147" s="16"/>
      <c r="AI147" s="16"/>
      <c r="AJ147" s="16"/>
      <c r="AK147" s="16"/>
    </row>
    <row r="148" ht="13.5" customHeight="1" spans="1:37" x14ac:dyDescent="0.25">
      <c r="A148" s="264"/>
      <c r="B148" s="16"/>
      <c r="C148" s="16" t="s">
        <v>352</v>
      </c>
      <c r="D148" s="16"/>
      <c r="E148" s="16"/>
      <c r="F148" s="358">
        <v>196625</v>
      </c>
      <c r="G148" s="358">
        <v>200884</v>
      </c>
      <c r="H148" s="358">
        <v>205647</v>
      </c>
      <c r="I148" s="358">
        <v>211247</v>
      </c>
      <c r="J148" s="162">
        <v>211247</v>
      </c>
      <c r="K148" s="358">
        <v>219770</v>
      </c>
      <c r="L148" s="358">
        <v>226033</v>
      </c>
      <c r="M148" s="358">
        <v>235317</v>
      </c>
      <c r="N148" s="358">
        <v>245084</v>
      </c>
      <c r="O148" s="162">
        <v>245084</v>
      </c>
      <c r="P148" s="358">
        <v>262628</v>
      </c>
      <c r="Q148" s="358">
        <v>275760</v>
      </c>
      <c r="R148" s="358">
        <v>297226</v>
      </c>
      <c r="S148" s="358">
        <v>324055</v>
      </c>
      <c r="T148" s="162">
        <v>324055</v>
      </c>
      <c r="U148" s="358">
        <v>384024</v>
      </c>
      <c r="V148" s="358">
        <f ca="1">-460</f>
        <v>-460</v>
      </c>
      <c r="W148" s="358">
        <f ca="1">-1913</f>
        <v>-1913</v>
      </c>
      <c r="X148" s="359">
        <f ca="1">X256</f>
        <v>-6735.976413</v>
      </c>
      <c r="Y148" s="162">
        <f t="shared" si="201" ca="1"/>
        <v>-6735.976413</v>
      </c>
      <c r="Z148" s="359">
        <f t="shared" ref="Z148:AC148" si="205" ca="1">Z256</f>
        <v>-11739.584386407445</v>
      </c>
      <c r="AA148" s="359">
        <f t="shared" si="205" ca="1"/>
        <v>-12047.125311775832</v>
      </c>
      <c r="AB148" s="359">
        <f t="shared" si="205" ca="1"/>
        <v>-15139.793477334846</v>
      </c>
      <c r="AC148" s="359">
        <f t="shared" si="205" ca="1"/>
        <v>-20599.89337753792</v>
      </c>
      <c r="AD148" s="162">
        <f t="shared" si="203" ca="1"/>
        <v>-20599.89337753792</v>
      </c>
      <c r="AE148" s="162">
        <f t="shared" ref="AE148:AG148" si="206" ca="1">AE256</f>
        <v>-34763.552769706606</v>
      </c>
      <c r="AF148" s="162">
        <f t="shared" si="206" ca="1"/>
        <v>-49793.05109533298</v>
      </c>
      <c r="AG148" s="162">
        <f t="shared" si="206" ca="1"/>
        <v>-65699.85235399693</v>
      </c>
      <c r="AH148" s="16"/>
      <c r="AI148" s="16"/>
      <c r="AJ148" s="16"/>
      <c r="AK148" s="16"/>
    </row>
    <row r="149" ht="13.5" customHeight="1" spans="1:37" x14ac:dyDescent="0.25">
      <c r="A149" s="264"/>
      <c r="B149" s="16"/>
      <c r="C149" s="16" t="s">
        <v>353</v>
      </c>
      <c r="D149" s="16"/>
      <c r="E149" s="16"/>
      <c r="F149" s="358">
        <v>0</v>
      </c>
      <c r="G149" s="358">
        <v>0</v>
      </c>
      <c r="H149" s="358">
        <v>0</v>
      </c>
      <c r="I149" s="358">
        <v>0</v>
      </c>
      <c r="J149" s="162">
        <v>0</v>
      </c>
      <c r="K149" s="358">
        <v>0</v>
      </c>
      <c r="L149" s="358">
        <v>0</v>
      </c>
      <c r="M149" s="358">
        <v>0</v>
      </c>
      <c r="N149" s="358">
        <v>0</v>
      </c>
      <c r="O149" s="162">
        <v>0</v>
      </c>
      <c r="P149" s="358">
        <v>0</v>
      </c>
      <c r="Q149" s="358">
        <v>0</v>
      </c>
      <c r="R149" s="358">
        <v>0</v>
      </c>
      <c r="S149" s="358">
        <v>0</v>
      </c>
      <c r="T149" s="162">
        <v>0</v>
      </c>
      <c r="U149" s="358">
        <v>0</v>
      </c>
      <c r="V149" s="358">
        <v>0</v>
      </c>
      <c r="W149" s="358">
        <v>0</v>
      </c>
      <c r="X149" s="359">
        <f ca="1">-X241+W149</f>
        <v>-500</v>
      </c>
      <c r="Y149" s="162">
        <f t="shared" si="201" ca="1"/>
        <v>-500</v>
      </c>
      <c r="Z149" s="359">
        <f t="shared" ref="Z149:AC149" si="207" ca="1">-Z241+Y149</f>
        <v>-1000</v>
      </c>
      <c r="AA149" s="359">
        <f t="shared" si="207" ca="1"/>
        <v>-1500</v>
      </c>
      <c r="AB149" s="359">
        <f t="shared" si="207" ca="1"/>
        <v>-2000</v>
      </c>
      <c r="AC149" s="359">
        <f t="shared" si="207" ca="1"/>
        <v>-2500</v>
      </c>
      <c r="AD149" s="162">
        <f t="shared" si="203" ca="1"/>
        <v>-2500</v>
      </c>
      <c r="AE149" s="162">
        <f t="shared" ref="AE149:AG149" si="208" ca="1">-AE241+AD149</f>
        <v>-5500</v>
      </c>
      <c r="AF149" s="162">
        <f t="shared" si="208" ca="1"/>
        <v>-8500</v>
      </c>
      <c r="AG149" s="162">
        <f t="shared" si="208" ca="1"/>
        <v>-11500</v>
      </c>
      <c r="AH149" s="16"/>
      <c r="AI149" s="16"/>
      <c r="AJ149" s="16"/>
      <c r="AK149" s="16"/>
    </row>
    <row r="150" ht="13.5" customHeight="1" spans="1:37" x14ac:dyDescent="0.25">
      <c r="A150" s="264"/>
      <c r="B150" s="16"/>
      <c r="C150" s="16" t="s">
        <v>354</v>
      </c>
      <c r="D150" s="16"/>
      <c r="E150" s="16"/>
      <c r="F150" s="354">
        <v>-6000</v>
      </c>
      <c r="G150" s="354">
        <v>-5991</v>
      </c>
      <c r="H150" s="354">
        <v>-7036</v>
      </c>
      <c r="I150" s="354">
        <v>-4402</v>
      </c>
      <c r="J150" s="355">
        <v>-4402</v>
      </c>
      <c r="K150" s="354">
        <v>-4839</v>
      </c>
      <c r="L150" s="354">
        <v>-5012</v>
      </c>
      <c r="M150" s="354">
        <v>-3228</v>
      </c>
      <c r="N150" s="354">
        <v>-4800</v>
      </c>
      <c r="O150" s="355">
        <v>-4800</v>
      </c>
      <c r="P150" s="354">
        <v>-4086</v>
      </c>
      <c r="Q150" s="354">
        <v>-2127</v>
      </c>
      <c r="R150" s="354">
        <v>-2054</v>
      </c>
      <c r="S150" s="354">
        <v>-1916</v>
      </c>
      <c r="T150" s="355">
        <v>-1916</v>
      </c>
      <c r="U150" s="354">
        <v>-2180</v>
      </c>
      <c r="V150" s="354">
        <f ca="1">-65</f>
        <v>-65</v>
      </c>
      <c r="W150" s="354">
        <v>-6</v>
      </c>
      <c r="X150" s="356">
        <f ca="1">X261</f>
        <v>-6</v>
      </c>
      <c r="Y150" s="355">
        <f t="shared" si="201" ca="1"/>
        <v>-6</v>
      </c>
      <c r="Z150" s="356">
        <f t="shared" ref="Z150:AC150" si="209" ca="1">Z261</f>
        <v>-6</v>
      </c>
      <c r="AA150" s="356">
        <f t="shared" si="209" ca="1"/>
        <v>-6</v>
      </c>
      <c r="AB150" s="356">
        <f t="shared" si="209" ca="1"/>
        <v>-6</v>
      </c>
      <c r="AC150" s="356">
        <f t="shared" si="209" ca="1"/>
        <v>-6</v>
      </c>
      <c r="AD150" s="355">
        <f t="shared" si="203" ca="1"/>
        <v>-6</v>
      </c>
      <c r="AE150" s="355">
        <f t="shared" ref="AE150:AG150" si="210" ca="1">AE261</f>
        <v>-6</v>
      </c>
      <c r="AF150" s="355">
        <f t="shared" si="210" ca="1"/>
        <v>-6</v>
      </c>
      <c r="AG150" s="355">
        <f t="shared" si="210" ca="1"/>
        <v>-6</v>
      </c>
      <c r="AH150" s="16"/>
      <c r="AI150" s="16"/>
      <c r="AJ150" s="16"/>
      <c r="AK150" s="16"/>
    </row>
    <row r="151" ht="13.5" customHeight="1" spans="1:37" x14ac:dyDescent="0.25">
      <c r="A151" s="264"/>
      <c r="B151" s="16"/>
      <c r="C151" s="139" t="s">
        <v>355</v>
      </c>
      <c r="D151" s="16"/>
      <c r="E151" s="16"/>
      <c r="F151" s="353">
        <f ca="1">SUM(F147:F150)</f>
        <v>260894</v>
      </c>
      <c r="G151" s="353">
        <f ca="1">SUM(G147:G150)</f>
        <v>267141</v>
      </c>
      <c r="H151" s="353">
        <f ca="1">SUM(H147:H150)</f>
        <v>273202</v>
      </c>
      <c r="I151" s="353">
        <f ca="1">SUM(I147:I150)</f>
        <v>283379</v>
      </c>
      <c r="J151" s="282">
        <f ca="1">I151</f>
        <v>283379</v>
      </c>
      <c r="K151" s="353">
        <f ca="1">SUM(K147:K150)</f>
        <v>292844</v>
      </c>
      <c r="L151" s="353">
        <f ca="1">SUM(L147:L150)</f>
        <v>300753</v>
      </c>
      <c r="M151" s="353">
        <f ca="1">SUM(M147:M150)</f>
        <v>314119</v>
      </c>
      <c r="N151" s="353">
        <f ca="1">SUM(N147:N150)</f>
        <v>325084</v>
      </c>
      <c r="O151" s="282">
        <f ca="1">N151</f>
        <v>325084</v>
      </c>
      <c r="P151" s="353">
        <f ca="1">SUM(P147:P150)</f>
        <v>345267</v>
      </c>
      <c r="Q151" s="353">
        <f ca="1">SUM(Q147:Q150)</f>
        <v>362916</v>
      </c>
      <c r="R151" s="353">
        <f ca="1">SUM(R147:R150)</f>
        <v>386867</v>
      </c>
      <c r="S151" s="353">
        <f ca="1">SUM(S147:S150)</f>
        <v>415265</v>
      </c>
      <c r="T151" s="282">
        <f ca="1">S151</f>
        <v>415265</v>
      </c>
      <c r="U151" s="353">
        <f t="shared" ref="U151:X151" si="211" ca="1">SUM(U147:U150)</f>
        <v>478746</v>
      </c>
      <c r="V151" s="353">
        <f ca="1">SUM(V147:V150)</f>
        <v>-175</v>
      </c>
      <c r="W151" s="353">
        <f t="shared" si="211" ca="1"/>
        <v>-1576</v>
      </c>
      <c r="X151" s="281">
        <f t="shared" si="211" ca="1"/>
        <v>-6847.676413</v>
      </c>
      <c r="Y151" s="282">
        <f t="shared" si="201" ca="1"/>
        <v>-6847.676413</v>
      </c>
      <c r="Z151" s="281">
        <f t="shared" ref="Z151:AC151" si="212" ca="1">SUM(Z147:Z150)</f>
        <v>-12290.750386407444</v>
      </c>
      <c r="AA151" s="281">
        <f t="shared" si="212" ca="1"/>
        <v>-13029.282551775832</v>
      </c>
      <c r="AB151" s="281">
        <f t="shared" si="212" ca="1"/>
        <v>-16561.223008534846</v>
      </c>
      <c r="AC151" s="281">
        <f t="shared" si="212" ca="1"/>
        <v>-22463.63158537792</v>
      </c>
      <c r="AD151" s="282">
        <f t="shared" si="203" ca="1"/>
        <v>-22463.63158537792</v>
      </c>
      <c r="AE151" s="282">
        <f t="shared" ref="AE151:AG151" si="213" ca="1">SUM(AE147:AE150)</f>
        <v>-39374.369949543405</v>
      </c>
      <c r="AF151" s="282">
        <f t="shared" si="213" ca="1"/>
        <v>-57145.88882660652</v>
      </c>
      <c r="AG151" s="282">
        <f t="shared" si="213" ca="1"/>
        <v>-75789.55104773593</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0</v>
      </c>
      <c r="G153" s="354">
        <v>0</v>
      </c>
      <c r="H153" s="354">
        <v>0</v>
      </c>
      <c r="I153" s="354">
        <v>0</v>
      </c>
      <c r="J153" s="355">
        <v>0</v>
      </c>
      <c r="K153" s="354">
        <v>0</v>
      </c>
      <c r="L153" s="354">
        <v>0</v>
      </c>
      <c r="M153" s="354">
        <v>0</v>
      </c>
      <c r="N153" s="354">
        <v>0</v>
      </c>
      <c r="O153" s="355">
        <v>0</v>
      </c>
      <c r="P153" s="354">
        <v>0</v>
      </c>
      <c r="Q153" s="354">
        <v>0</v>
      </c>
      <c r="R153" s="354">
        <v>0</v>
      </c>
      <c r="S153" s="354">
        <v>0</v>
      </c>
      <c r="T153" s="355">
        <v>0</v>
      </c>
      <c r="U153" s="354">
        <v>0</v>
      </c>
      <c r="V153" s="354">
        <v>0</v>
      </c>
      <c r="W153" s="354">
        <v>0</v>
      </c>
      <c r="X153" s="356">
        <f ca="1">W153+Drivers!X106</f>
        <v>1e-12</v>
      </c>
      <c r="Y153" s="355">
        <f t="shared" ref="Y153:Y154" si="214" ca="1">X153</f>
        <v>1e-12</v>
      </c>
      <c r="Z153" s="356">
        <f ca="1">Y153+Drivers!Z106</f>
        <v>1e-12</v>
      </c>
      <c r="AA153" s="356">
        <f ca="1">Z153+Drivers!AA106</f>
        <v>1e-12</v>
      </c>
      <c r="AB153" s="356">
        <f ca="1">AA153+Drivers!AB106</f>
        <v>1e-12</v>
      </c>
      <c r="AC153" s="356">
        <f ca="1">AB153+Drivers!AC106</f>
        <v>1e-12</v>
      </c>
      <c r="AD153" s="355">
        <f t="shared" ref="AD153:AD154" si="215" ca="1">AC153</f>
        <v>1e-12</v>
      </c>
      <c r="AE153" s="355">
        <f ca="1">AD153+Drivers!AE106</f>
        <v>1e-12</v>
      </c>
      <c r="AF153" s="355">
        <f ca="1">AE153+Drivers!AF106</f>
        <v>1e-12</v>
      </c>
      <c r="AG153" s="355">
        <f ca="1">AF153+Drivers!AG106</f>
        <v>1e-12</v>
      </c>
      <c r="AH153" s="16"/>
      <c r="AI153" s="16"/>
      <c r="AJ153" s="16"/>
      <c r="AK153" s="16"/>
    </row>
    <row r="154" ht="13.5" customHeight="1" spans="1:37" x14ac:dyDescent="0.25">
      <c r="A154" s="264"/>
      <c r="B154" s="16"/>
      <c r="C154" s="139" t="s">
        <v>357</v>
      </c>
      <c r="D154" s="16"/>
      <c r="E154" s="16"/>
      <c r="F154" s="353">
        <f ca="1">SUM(F151:F153)</f>
        <v>260894</v>
      </c>
      <c r="G154" s="353">
        <f ca="1">SUM(G151:G153)</f>
        <v>267141</v>
      </c>
      <c r="H154" s="353">
        <f ca="1">SUM(H151:H153)</f>
        <v>273202</v>
      </c>
      <c r="I154" s="353">
        <f ca="1">SUM(I151:I153)</f>
        <v>283379</v>
      </c>
      <c r="J154" s="282">
        <f ca="1">I154</f>
        <v>283379</v>
      </c>
      <c r="K154" s="353">
        <f ca="1">SUM(K151:K153)</f>
        <v>292844</v>
      </c>
      <c r="L154" s="353">
        <f ca="1">SUM(L151:L153)</f>
        <v>300753</v>
      </c>
      <c r="M154" s="353">
        <f ca="1">SUM(M151:M153)</f>
        <v>314119</v>
      </c>
      <c r="N154" s="353">
        <f ca="1">SUM(N151:N153)</f>
        <v>325084</v>
      </c>
      <c r="O154" s="282">
        <f ca="1">N154</f>
        <v>325084</v>
      </c>
      <c r="P154" s="353">
        <f ca="1">SUM(P151:P153)</f>
        <v>345267</v>
      </c>
      <c r="Q154" s="353">
        <f ca="1">SUM(Q151:Q153)</f>
        <v>362916</v>
      </c>
      <c r="R154" s="353">
        <f ca="1">SUM(R151:R153)</f>
        <v>386867</v>
      </c>
      <c r="S154" s="353">
        <f ca="1">SUM(S151:S153)</f>
        <v>415265</v>
      </c>
      <c r="T154" s="282">
        <f ca="1">S154</f>
        <v>415265</v>
      </c>
      <c r="U154" s="353">
        <f t="shared" ref="U154:X154" si="216" ca="1">SUM(U151:U153)</f>
        <v>478746</v>
      </c>
      <c r="V154" s="353">
        <f ca="1">SUM(V151:V153)</f>
        <v>-175</v>
      </c>
      <c r="W154" s="353">
        <f t="shared" si="216" ca="1"/>
        <v>-1576</v>
      </c>
      <c r="X154" s="281">
        <f t="shared" si="216" ca="1"/>
        <v>-6847.676413</v>
      </c>
      <c r="Y154" s="282">
        <f t="shared" si="214" ca="1"/>
        <v>-6847.676413</v>
      </c>
      <c r="Z154" s="281">
        <f t="shared" ref="Z154:AC154" si="217" ca="1">SUM(Z151:Z153)</f>
        <v>-12290.750386407444</v>
      </c>
      <c r="AA154" s="281">
        <f t="shared" si="217" ca="1"/>
        <v>-13029.282551775832</v>
      </c>
      <c r="AB154" s="281">
        <f t="shared" si="217" ca="1"/>
        <v>-16561.223008534846</v>
      </c>
      <c r="AC154" s="281">
        <f t="shared" si="217" ca="1"/>
        <v>-22463.63158537792</v>
      </c>
      <c r="AD154" s="282">
        <f t="shared" si="215" ca="1"/>
        <v>-22463.63158537792</v>
      </c>
      <c r="AE154" s="282">
        <f t="shared" ref="AE154:AG154" si="218" ca="1">SUM(AE151:AE153)</f>
        <v>-39374.369949543405</v>
      </c>
      <c r="AF154" s="282">
        <f t="shared" si="218" ca="1"/>
        <v>-57145.88882660652</v>
      </c>
      <c r="AG154" s="282">
        <f t="shared" si="218" ca="1"/>
        <v>-75789.55104773593</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19" ca="1">SUM(F145,F154)</f>
        <v>369491</v>
      </c>
      <c r="G156" s="353">
        <f ca="1">SUM(G145,G154)</f>
        <v>383044</v>
      </c>
      <c r="H156" s="353">
        <f ca="1">SUM(H145,H154)</f>
        <v>396711</v>
      </c>
      <c r="I156" s="353">
        <f ca="1">SUM(I145,I154)</f>
        <v>402392</v>
      </c>
      <c r="J156" s="282">
        <f ca="1">SUM(J145,J154)</f>
        <v>402392</v>
      </c>
      <c r="K156" s="353">
        <f ca="1">SUM(K145,K154)</f>
        <v>407350</v>
      </c>
      <c r="L156" s="353">
        <f ca="1">SUM(L145,L154)</f>
        <v>414770</v>
      </c>
      <c r="M156" s="353">
        <f ca="1">SUM(M145,M154)</f>
        <v>430266</v>
      </c>
      <c r="N156" s="353">
        <f ca="1">SUM(N145,N154)</f>
        <v>450256</v>
      </c>
      <c r="O156" s="282">
        <f ca="1">SUM(O145,O154)</f>
        <v>450256</v>
      </c>
      <c r="P156" s="353">
        <f ca="1">SUM(P145,P154)</f>
        <v>475374</v>
      </c>
      <c r="Q156" s="353">
        <f ca="1">SUM(Q145,Q154)</f>
        <v>502053</v>
      </c>
      <c r="R156" s="353">
        <f ca="1">SUM(R145,R154)</f>
        <v>536469</v>
      </c>
      <c r="S156" s="353">
        <f ca="1">SUM(S145,S154)</f>
        <v>595281</v>
      </c>
      <c r="T156" s="282">
        <f ca="1">SUM(T145,T154)</f>
        <v>595281</v>
      </c>
      <c r="U156" s="353">
        <f ca="1">SUM(U145,U154)</f>
        <v>703919</v>
      </c>
      <c r="V156" s="353">
        <f ca="1">SUM(V145,V154)</f>
        <v>49404</v>
      </c>
      <c r="W156" s="353">
        <f t="shared" si="219" ca="1"/>
        <v>49400</v>
      </c>
      <c r="X156" s="281">
        <f t="shared" si="219" ca="1"/>
        <v>45888.131969608694</v>
      </c>
      <c r="Y156" s="282">
        <f t="shared" si="219" ca="1"/>
        <v>45888.131969608694</v>
      </c>
      <c r="Z156" s="281">
        <f t="shared" si="219" ca="1"/>
        <v>44395.1860501903</v>
      </c>
      <c r="AA156" s="281">
        <f t="shared" si="219" ca="1"/>
        <v>48444.47015045998</v>
      </c>
      <c r="AB156" s="281">
        <f t="shared" si="219" ca="1"/>
        <v>47342.55039494476</v>
      </c>
      <c r="AC156" s="281">
        <f t="shared" si="219" ca="1"/>
        <v>45288.863396898625</v>
      </c>
      <c r="AD156" s="282">
        <f t="shared" si="219" ca="1"/>
        <v>45288.863396898625</v>
      </c>
      <c r="AE156" s="282">
        <f t="shared" si="219" ca="1"/>
        <v>41731.10744131024</v>
      </c>
      <c r="AF156" s="282">
        <f t="shared" si="219" ca="1"/>
        <v>41826.07883634987</v>
      </c>
      <c r="AG156" s="282">
        <f t="shared" si="219" ca="1"/>
        <v>42821.14556152417</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20" ca="1">F132-F156</f>
        <v>1e-12</v>
      </c>
      <c r="G158" s="402">
        <f ca="1">G132-G156</f>
        <v>1e-12</v>
      </c>
      <c r="H158" s="402">
        <f ca="1">H132-H156</f>
        <v>1e-12</v>
      </c>
      <c r="I158" s="402">
        <f ca="1">I132-I156</f>
        <v>1e-12</v>
      </c>
      <c r="J158" s="403">
        <f ca="1">J132-J156</f>
        <v>1e-12</v>
      </c>
      <c r="K158" s="402">
        <f ca="1">K132-K156</f>
        <v>1e-12</v>
      </c>
      <c r="L158" s="402">
        <f ca="1">L132-L156</f>
        <v>1e-12</v>
      </c>
      <c r="M158" s="402">
        <f ca="1">M132-M156</f>
        <v>1e-12</v>
      </c>
      <c r="N158" s="402">
        <f ca="1">N132-N156</f>
        <v>1e-12</v>
      </c>
      <c r="O158" s="403">
        <f ca="1">O132-O156</f>
        <v>1e-12</v>
      </c>
      <c r="P158" s="402">
        <f ca="1">P132-P156</f>
        <v>1e-12</v>
      </c>
      <c r="Q158" s="402">
        <f ca="1">Q132-Q156</f>
        <v>1e-12</v>
      </c>
      <c r="R158" s="402">
        <f ca="1">R132-R156</f>
        <v>1e-12</v>
      </c>
      <c r="S158" s="402">
        <f ca="1">S132-S156</f>
        <v>1e-12</v>
      </c>
      <c r="T158" s="403">
        <f ca="1">T132-T156</f>
        <v>1e-12</v>
      </c>
      <c r="U158" s="402">
        <f ca="1">U132-U156</f>
        <v>1e-12</v>
      </c>
      <c r="V158" s="402">
        <f ca="1">V132-V156</f>
        <v>1e-12</v>
      </c>
      <c r="W158" s="402">
        <f t="shared" si="220" ca="1"/>
        <v>1e-12</v>
      </c>
      <c r="X158" s="404">
        <f t="shared" si="220" ca="1"/>
        <v>1e-12</v>
      </c>
      <c r="Y158" s="403">
        <f t="shared" si="220" ca="1"/>
        <v>1e-12</v>
      </c>
      <c r="Z158" s="404">
        <f t="shared" si="220" ca="1"/>
        <v>1e-12</v>
      </c>
      <c r="AA158" s="404">
        <f t="shared" si="220" ca="1"/>
        <v>1e-12</v>
      </c>
      <c r="AB158" s="404">
        <f t="shared" si="220" ca="1"/>
        <v>1e-12</v>
      </c>
      <c r="AC158" s="404">
        <f t="shared" si="220" ca="1"/>
        <v>1.4551915228366852e-11</v>
      </c>
      <c r="AD158" s="403">
        <f t="shared" si="220" ca="1"/>
        <v>1.4551915228366852e-11</v>
      </c>
      <c r="AE158" s="403">
        <f t="shared" si="220" ca="1"/>
        <v>1e-12</v>
      </c>
      <c r="AF158" s="403">
        <f t="shared" si="220" ca="1"/>
        <v>7.275957614183426e-12</v>
      </c>
      <c r="AG158" s="405">
        <f t="shared" si="220" ca="1"/>
        <v>-1.4551915228366852e-11</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 ca="1">F$25</f>
        <v>1e-12</v>
      </c>
      <c r="G160" s="63">
        <f t="shared" ref="G160:AG160" si="221" ca="1">G$63</f>
        <v>1e-12</v>
      </c>
      <c r="H160" s="63">
        <f ca="1">H$63</f>
        <v>1e-12</v>
      </c>
      <c r="I160" s="63">
        <f ca="1">I$63</f>
        <v>1e-12</v>
      </c>
      <c r="J160" s="63">
        <f ca="1">J$63</f>
        <v>2023</v>
      </c>
      <c r="K160" s="63">
        <f ca="1">K$63</f>
        <v>1e-12</v>
      </c>
      <c r="L160" s="63">
        <f ca="1">L$63</f>
        <v>1e-12</v>
      </c>
      <c r="M160" s="63">
        <f ca="1">M$63</f>
        <v>1e-12</v>
      </c>
      <c r="N160" s="63">
        <f ca="1">N$63</f>
        <v>1e-12</v>
      </c>
      <c r="O160" s="63">
        <f ca="1">O$63</f>
        <v>2024</v>
      </c>
      <c r="P160" s="63">
        <f ca="1">P$63</f>
        <v>1e-12</v>
      </c>
      <c r="Q160" s="63">
        <f ca="1">Q$63</f>
        <v>1e-12</v>
      </c>
      <c r="R160" s="63">
        <f ca="1">R$63</f>
        <v>1e-12</v>
      </c>
      <c r="S160" s="63">
        <f ca="1">S$63</f>
        <v>1e-12</v>
      </c>
      <c r="T160" s="63">
        <f ca="1">T$63</f>
        <v>2025</v>
      </c>
      <c r="U160" s="63">
        <f ca="1">U$63</f>
        <v>1e-12</v>
      </c>
      <c r="V160" s="63" t="str">
        <f ca="1">V$63</f>
        <v>2Q26</v>
      </c>
      <c r="W160" s="63" t="str">
        <f ca="1">W$63</f>
        <v>3Q26e</v>
      </c>
      <c r="X160" s="63" t="str">
        <f ca="1">X$63</f>
        <v>4Q26e</v>
      </c>
      <c r="Y160" s="63" t="str">
        <f ca="1">Y$63</f>
        <v>2026e</v>
      </c>
      <c r="Z160" s="63" t="str">
        <f ca="1">Z$63</f>
        <v>1Q27e</v>
      </c>
      <c r="AA160" s="63" t="str">
        <f ca="1">AA$63</f>
        <v>2Q27e</v>
      </c>
      <c r="AB160" s="63" t="str">
        <f ca="1">AB$63</f>
        <v>3Q27e</v>
      </c>
      <c r="AC160" s="63" t="str">
        <f ca="1">AC$63</f>
        <v>4Q27e</v>
      </c>
      <c r="AD160" s="63" t="str">
        <f ca="1">AD$63</f>
        <v>2027e</v>
      </c>
      <c r="AE160" s="63" t="str">
        <f ca="1">AE$63</f>
        <v>2028e</v>
      </c>
      <c r="AF160" s="63" t="str">
        <f ca="1">AF$63</f>
        <v>2029e</v>
      </c>
      <c r="AG160" s="64" t="str">
        <f ca="1">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22" ca="1">C121</f>
        <v>Accounts Receivable</v>
      </c>
      <c r="D162" s="16"/>
      <c r="E162" s="16"/>
      <c r="F162" s="353">
        <f t="shared" ref="F162:W162" si="223" ca="1">F121</f>
        <v>36036</v>
      </c>
      <c r="G162" s="353">
        <f ca="1">G121</f>
        <v>38804</v>
      </c>
      <c r="H162" s="353">
        <f ca="1">H121</f>
        <v>41020</v>
      </c>
      <c r="I162" s="353">
        <f ca="1">I121</f>
        <v>47964</v>
      </c>
      <c r="J162" s="282">
        <f ca="1">J121</f>
        <v>47964</v>
      </c>
      <c r="K162" s="353">
        <f ca="1">K121</f>
        <v>44552</v>
      </c>
      <c r="L162" s="353">
        <f ca="1">L121</f>
        <v>47087</v>
      </c>
      <c r="M162" s="353">
        <f ca="1">M121</f>
        <v>49104</v>
      </c>
      <c r="N162" s="353">
        <f ca="1">N121</f>
        <v>52340</v>
      </c>
      <c r="O162" s="282">
        <f ca="1">O121</f>
        <v>52340</v>
      </c>
      <c r="P162" s="353">
        <f ca="1">P121</f>
        <v>51000</v>
      </c>
      <c r="Q162" s="353">
        <f ca="1">Q121</f>
        <v>55048</v>
      </c>
      <c r="R162" s="353">
        <f ca="1">R121</f>
        <v>57148</v>
      </c>
      <c r="S162" s="353">
        <f ca="1">S121</f>
        <v>62886</v>
      </c>
      <c r="T162" s="282">
        <f ca="1">T121</f>
        <v>62886</v>
      </c>
      <c r="U162" s="353">
        <f ca="1">U121</f>
        <v>62999</v>
      </c>
      <c r="V162" s="353">
        <f ca="1">V121</f>
        <v>1e-12</v>
      </c>
      <c r="W162" s="353">
        <f ca="1">W121</f>
        <v>1e-12</v>
      </c>
      <c r="X162" s="281">
        <f ca="1">X182*X28/X$26</f>
        <v>1e-12</v>
      </c>
      <c r="Y162" s="282">
        <f t="shared" ref="Y162:Y164" si="224" ca="1">X162</f>
        <v>1e-12</v>
      </c>
      <c r="Z162" s="281">
        <f t="shared" ref="Z162:AC162" si="225" ca="1">Z182*Z28/Z$26</f>
        <v>1e-12</v>
      </c>
      <c r="AA162" s="281">
        <f ca="1">AA182*AA28/AA$26</f>
        <v>1e-12</v>
      </c>
      <c r="AB162" s="281">
        <f ca="1">AB182*AB28/AB$26</f>
        <v>1e-12</v>
      </c>
      <c r="AC162" s="281">
        <f ca="1">AC182*AC28/AC$26</f>
        <v>1e-12</v>
      </c>
      <c r="AD162" s="282">
        <f t="shared" ref="AD162:AD164" si="226" ca="1">AC162</f>
        <v>1e-12</v>
      </c>
      <c r="AE162" s="282">
        <f t="shared" ref="AE162:AG162" si="227" ca="1">AE182*AE28/AE$26</f>
        <v>1e-12</v>
      </c>
      <c r="AF162" s="282">
        <f ca="1">AF182*AF28/AF$26</f>
        <v>1e-12</v>
      </c>
      <c r="AG162" s="282">
        <f ca="1">AG182*AG28/AG$26</f>
        <v>1e-12</v>
      </c>
      <c r="AH162" s="16"/>
      <c r="AI162" s="16"/>
      <c r="AJ162" s="16"/>
      <c r="AK162" s="16"/>
    </row>
    <row r="163" ht="13.5" customHeight="1" spans="1:37" x14ac:dyDescent="0.25">
      <c r="A163" s="264"/>
      <c r="B163" s="16"/>
      <c r="C163" s="139" t="str">
        <f ca="1">C122</f>
        <v>Inventory</v>
      </c>
      <c r="D163" s="16"/>
      <c r="E163" s="16"/>
      <c r="F163" s="384">
        <f t="shared" ref="F163:W163" si="228" ca="1">F122</f>
        <v>2315</v>
      </c>
      <c r="G163" s="384">
        <f ca="1">G122</f>
        <v>2231</v>
      </c>
      <c r="H163" s="384">
        <f ca="1">H122</f>
        <v>2957</v>
      </c>
      <c r="I163" s="384">
        <f ca="1">I122</f>
        <v>1e-12</v>
      </c>
      <c r="J163" s="162">
        <f ca="1">J122</f>
        <v>1e-12</v>
      </c>
      <c r="K163" s="384">
        <f ca="1">K122</f>
        <v>1e-12</v>
      </c>
      <c r="L163" s="384">
        <f ca="1">L122</f>
        <v>1e-12</v>
      </c>
      <c r="M163" s="384">
        <f ca="1">M122</f>
        <v>1e-12</v>
      </c>
      <c r="N163" s="384">
        <f ca="1">N122</f>
        <v>1e-12</v>
      </c>
      <c r="O163" s="162">
        <f ca="1">O122</f>
        <v>1e-12</v>
      </c>
      <c r="P163" s="384">
        <f ca="1">P122</f>
        <v>1e-12</v>
      </c>
      <c r="Q163" s="384">
        <f ca="1">Q122</f>
        <v>1e-12</v>
      </c>
      <c r="R163" s="384">
        <f ca="1">R122</f>
        <v>1e-12</v>
      </c>
      <c r="S163" s="384">
        <f ca="1">S122</f>
        <v>1e-12</v>
      </c>
      <c r="T163" s="162">
        <f ca="1">T122</f>
        <v>1e-12</v>
      </c>
      <c r="U163" s="384">
        <f ca="1">U122</f>
        <v>1e-12</v>
      </c>
      <c r="V163" s="384">
        <f ca="1">V122</f>
        <v>17322</v>
      </c>
      <c r="W163" s="384">
        <f ca="1">W122</f>
        <v>16685</v>
      </c>
      <c r="X163" s="359">
        <f ca="1">X183*-X29/X$26</f>
        <v>18529.950326086957</v>
      </c>
      <c r="Y163" s="162">
        <f ca="1">X163</f>
        <v>18529.950326086957</v>
      </c>
      <c r="Z163" s="359">
        <f t="shared" ref="Z163:AC163" si="229" ca="1">Z183*-Z29/Z$26</f>
        <v>23065.506292307695</v>
      </c>
      <c r="AA163" s="359">
        <f ca="1">AA183*-AA29/AA$26</f>
        <v>22014.14833107692</v>
      </c>
      <c r="AB163" s="359">
        <f ca="1">AB183*-AB29/AB$26</f>
        <v>20954.80490032696</v>
      </c>
      <c r="AC163" s="359">
        <f ca="1">AC183*-AC29/AC$26</f>
        <v>20718.783200747737</v>
      </c>
      <c r="AD163" s="162">
        <f ca="1">AC163</f>
        <v>20718.783200747737</v>
      </c>
      <c r="AE163" s="162">
        <f t="shared" ref="AE163:AG163" si="230" ca="1">AE183*-AE29/AE$26</f>
        <v>21269.509108004873</v>
      </c>
      <c r="AF163" s="162">
        <f ca="1">AF183*-AF29/AF$26</f>
        <v>21669.70196230183</v>
      </c>
      <c r="AG163" s="162">
        <f ca="1">AG183*-AG29/AG$26</f>
        <v>22051.69345270706</v>
      </c>
      <c r="AH163" s="16"/>
      <c r="AI163" s="16"/>
      <c r="AJ163" s="16"/>
      <c r="AK163" s="16"/>
    </row>
    <row r="164" ht="13.5" customHeight="1" spans="1:37" x14ac:dyDescent="0.25">
      <c r="A164" s="264"/>
      <c r="B164" s="16"/>
      <c r="C164" s="139" t="str">
        <f ca="1">C123</f>
        <v>Prepaid &amp; Other Current Assets</v>
      </c>
      <c r="D164" s="16"/>
      <c r="E164" s="16"/>
      <c r="F164" s="372">
        <f t="shared" ref="F164:W164" si="231" ca="1">F123</f>
        <v>8532</v>
      </c>
      <c r="G164" s="372">
        <f ca="1">G123</f>
        <v>9421</v>
      </c>
      <c r="H164" s="372">
        <f ca="1">H123</f>
        <v>12398</v>
      </c>
      <c r="I164" s="372">
        <f ca="1">I123</f>
        <v>12650</v>
      </c>
      <c r="J164" s="355">
        <f ca="1">J123</f>
        <v>12650</v>
      </c>
      <c r="K164" s="372">
        <f ca="1">K123</f>
        <v>12829</v>
      </c>
      <c r="L164" s="372">
        <f ca="1">L123</f>
        <v>14183</v>
      </c>
      <c r="M164" s="372">
        <f ca="1">M123</f>
        <v>15207</v>
      </c>
      <c r="N164" s="372">
        <f ca="1">N123</f>
        <v>15714</v>
      </c>
      <c r="O164" s="355">
        <f ca="1">O123</f>
        <v>15714</v>
      </c>
      <c r="P164" s="372">
        <f ca="1">P123</f>
        <v>15724</v>
      </c>
      <c r="Q164" s="372">
        <f ca="1">Q123</f>
        <v>16020</v>
      </c>
      <c r="R164" s="372">
        <f ca="1">R123</f>
        <v>18303</v>
      </c>
      <c r="S164" s="372">
        <f ca="1">S123</f>
        <v>16309</v>
      </c>
      <c r="T164" s="355">
        <f ca="1">T123</f>
        <v>16309</v>
      </c>
      <c r="U164" s="372">
        <f ca="1">U123</f>
        <v>23914</v>
      </c>
      <c r="V164" s="372">
        <f ca="1">V123</f>
        <v>1506</v>
      </c>
      <c r="W164" s="372">
        <f ca="1">W123</f>
        <v>1491</v>
      </c>
      <c r="X164" s="356">
        <f ca="1">X186*X28*4</f>
        <v>1e-12</v>
      </c>
      <c r="Y164" s="355">
        <f ca="1">X164</f>
        <v>1e-12</v>
      </c>
      <c r="Z164" s="356">
        <f t="shared" ref="Z164:AC164" si="232" ca="1">Z186*Z28*4</f>
        <v>1849.7576159999996</v>
      </c>
      <c r="AA164" s="356">
        <f ca="1">AA186*AA28*4</f>
        <v>2108.72368224</v>
      </c>
      <c r="AB164" s="356">
        <f ca="1">AB186*AB28*4</f>
        <v>1855.6768403712</v>
      </c>
      <c r="AC164" s="356">
        <f ca="1">AC186*AC28*4</f>
        <v>1762.8929983526398</v>
      </c>
      <c r="AD164" s="355">
        <f ca="1">AC164</f>
        <v>1762.8929983526398</v>
      </c>
      <c r="AE164" s="355">
        <f t="shared" ref="AE164:AG164" si="233" ca="1">AE186*AE28</f>
        <v>1932.1480399257787</v>
      </c>
      <c r="AF164" s="355">
        <f ca="1">AF186*AF28</f>
        <v>1970.7910007242942</v>
      </c>
      <c r="AG164" s="355">
        <f ca="1">AG186*AG28</f>
        <v>2010.2068207387802</v>
      </c>
      <c r="AH164" s="16"/>
      <c r="AI164" s="16"/>
      <c r="AJ164" s="16"/>
      <c r="AK164" s="16"/>
    </row>
    <row r="165" ht="13.5" customHeight="1" spans="1:37" x14ac:dyDescent="0.25">
      <c r="A165" s="264"/>
      <c r="B165" s="16"/>
      <c r="C165" s="16" t="s">
        <v>361</v>
      </c>
      <c r="D165" s="16"/>
      <c r="E165" s="16"/>
      <c r="F165" s="353">
        <f t="shared" ref="F165:AG165" si="234" ca="1">SUM(F162:F164)</f>
        <v>46883</v>
      </c>
      <c r="G165" s="353">
        <f ca="1">SUM(G162:G164)</f>
        <v>50456</v>
      </c>
      <c r="H165" s="353">
        <f ca="1">SUM(H162:H164)</f>
        <v>56375</v>
      </c>
      <c r="I165" s="353">
        <f ca="1">SUM(I162:I164)</f>
        <v>60614</v>
      </c>
      <c r="J165" s="282">
        <f ca="1">SUM(J162:J164)</f>
        <v>60614</v>
      </c>
      <c r="K165" s="353">
        <f ca="1">SUM(K162:K164)</f>
        <v>57381</v>
      </c>
      <c r="L165" s="353">
        <f ca="1">SUM(L162:L164)</f>
        <v>61270</v>
      </c>
      <c r="M165" s="353">
        <f ca="1">SUM(M162:M164)</f>
        <v>64311</v>
      </c>
      <c r="N165" s="353">
        <f ca="1">SUM(N162:N164)</f>
        <v>68054</v>
      </c>
      <c r="O165" s="282">
        <f ca="1">SUM(O162:O164)</f>
        <v>68054</v>
      </c>
      <c r="P165" s="353">
        <f ca="1">SUM(P162:P164)</f>
        <v>66724</v>
      </c>
      <c r="Q165" s="353">
        <f ca="1">SUM(Q162:Q164)</f>
        <v>71068</v>
      </c>
      <c r="R165" s="353">
        <f ca="1">SUM(R162:R164)</f>
        <v>75451</v>
      </c>
      <c r="S165" s="353">
        <f ca="1">SUM(S162:S164)</f>
        <v>79195</v>
      </c>
      <c r="T165" s="282">
        <f ca="1">SUM(T162:T164)</f>
        <v>79195</v>
      </c>
      <c r="U165" s="353">
        <f ca="1">SUM(U162:U164)</f>
        <v>86913</v>
      </c>
      <c r="V165" s="353">
        <f ca="1">SUM(V162:V164)</f>
        <v>18828</v>
      </c>
      <c r="W165" s="353">
        <f ca="1">SUM(W162:W164)</f>
        <v>18176</v>
      </c>
      <c r="X165" s="281">
        <f ca="1">SUM(X162:X164)</f>
        <v>18529.950326086957</v>
      </c>
      <c r="Y165" s="282">
        <f ca="1">SUM(Y162:Y164)</f>
        <v>18529.950326086957</v>
      </c>
      <c r="Z165" s="281">
        <f ca="1">SUM(Z162:Z164)</f>
        <v>24915.263908307694</v>
      </c>
      <c r="AA165" s="281">
        <f ca="1">SUM(AA162:AA164)</f>
        <v>24122.872013316923</v>
      </c>
      <c r="AB165" s="281">
        <f ca="1">SUM(AB162:AB164)</f>
        <v>22810.48174069816</v>
      </c>
      <c r="AC165" s="281">
        <f ca="1">SUM(AC162:AC164)</f>
        <v>22481.676199100377</v>
      </c>
      <c r="AD165" s="282">
        <f ca="1">SUM(AD162:AD164)</f>
        <v>22481.676199100377</v>
      </c>
      <c r="AE165" s="282">
        <f ca="1">SUM(AE162:AE164)</f>
        <v>23201.65714793065</v>
      </c>
      <c r="AF165" s="282">
        <f ca="1">SUM(AF162:AF164)</f>
        <v>23640.492963026125</v>
      </c>
      <c r="AG165" s="282">
        <f ca="1">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35" ca="1">C134</f>
        <v>Accounts Payable</v>
      </c>
      <c r="D167" s="16"/>
      <c r="E167" s="16"/>
      <c r="F167" s="353">
        <f t="shared" ref="F167:W167" si="236" ca="1">F134</f>
        <v>4184</v>
      </c>
      <c r="G167" s="353">
        <f ca="1">G134</f>
        <v>5313</v>
      </c>
      <c r="H167" s="353">
        <f ca="1">H134</f>
        <v>5803</v>
      </c>
      <c r="I167" s="353">
        <f ca="1">I134</f>
        <v>7493</v>
      </c>
      <c r="J167" s="282">
        <f ca="1">J134</f>
        <v>7493</v>
      </c>
      <c r="K167" s="353">
        <f ca="1">K134</f>
        <v>6198</v>
      </c>
      <c r="L167" s="353">
        <f ca="1">L134</f>
        <v>6092</v>
      </c>
      <c r="M167" s="353">
        <f ca="1">M134</f>
        <v>7049</v>
      </c>
      <c r="N167" s="353">
        <f ca="1">N134</f>
        <v>7987</v>
      </c>
      <c r="O167" s="282">
        <f ca="1">O134</f>
        <v>7987</v>
      </c>
      <c r="P167" s="353">
        <f ca="1">P134</f>
        <v>8497</v>
      </c>
      <c r="Q167" s="353">
        <f ca="1">Q134</f>
        <v>8347</v>
      </c>
      <c r="R167" s="353">
        <f ca="1">R134</f>
        <v>10546</v>
      </c>
      <c r="S167" s="353">
        <f ca="1">S134</f>
        <v>12200</v>
      </c>
      <c r="T167" s="282">
        <f ca="1">T134</f>
        <v>12200</v>
      </c>
      <c r="U167" s="353">
        <f ca="1">U134</f>
        <v>16852</v>
      </c>
      <c r="V167" s="353">
        <f ca="1">V134</f>
        <v>12011</v>
      </c>
      <c r="W167" s="353">
        <f ca="1">W134</f>
        <v>11334</v>
      </c>
      <c r="X167" s="281">
        <f ca="1">X184*-X29/X26</f>
        <v>11323.858532608696</v>
      </c>
      <c r="Y167" s="282">
        <f t="shared" ref="Y167:Y169" si="237" ca="1">X167</f>
        <v>11323.858532608696</v>
      </c>
      <c r="Z167" s="281">
        <f t="shared" ref="Z167:AC167" si="238" ca="1">Z184*-Z29/Z26</f>
        <v>14082.098578461539</v>
      </c>
      <c r="AA167" s="281">
        <f ca="1">AA184*-AA29/AA26</f>
        <v>13208.488998646155</v>
      </c>
      <c r="AB167" s="281">
        <f ca="1">AB184*-AB29/AB26</f>
        <v>13065.937173145043</v>
      </c>
      <c r="AC167" s="281">
        <f ca="1">AC184*-AC29/AC26</f>
        <v>12661.478622679173</v>
      </c>
      <c r="AD167" s="282">
        <f t="shared" ref="AD167:AD169" si="239" ca="1">AC167</f>
        <v>12661.478622679173</v>
      </c>
      <c r="AE167" s="282">
        <f t="shared" ref="AE167:AG167" si="240" ca="1">AE184*-AE29/AE26</f>
        <v>13673.255855145992</v>
      </c>
      <c r="AF167" s="282">
        <f ca="1">AF184*-AF29/AF26</f>
        <v>13930.522690051177</v>
      </c>
      <c r="AG167" s="282">
        <f ca="1">AG184*-AG29/AG26</f>
        <v>14176.088648168821</v>
      </c>
      <c r="AH167" s="16"/>
      <c r="AI167" s="16"/>
      <c r="AJ167" s="16"/>
      <c r="AK167" s="16"/>
    </row>
    <row r="168" ht="13.5" customHeight="1" spans="1:37" x14ac:dyDescent="0.25">
      <c r="A168" s="264"/>
      <c r="B168" s="16"/>
      <c r="C168" s="139" t="str">
        <f ca="1">C135</f>
        <v>Accrued Liabilities</v>
      </c>
      <c r="D168" s="16"/>
      <c r="E168" s="16"/>
      <c r="F168" s="384">
        <f t="shared" ref="F168:W168" si="241" ca="1">F135</f>
        <v>59956</v>
      </c>
      <c r="G168" s="384">
        <f ca="1">G135</f>
        <v>67551</v>
      </c>
      <c r="H168" s="384">
        <f ca="1">H135</f>
        <v>75189</v>
      </c>
      <c r="I168" s="384">
        <f ca="1">I135</f>
        <v>69184</v>
      </c>
      <c r="J168" s="162">
        <f ca="1">J135</f>
        <v>69184</v>
      </c>
      <c r="K168" s="384">
        <f ca="1">K135</f>
        <v>66826</v>
      </c>
      <c r="L168" s="384">
        <f ca="1">L135</f>
        <v>67570</v>
      </c>
      <c r="M168" s="384">
        <f ca="1">M135</f>
        <v>67859</v>
      </c>
      <c r="N168" s="384">
        <f ca="1">N135</f>
        <v>75100</v>
      </c>
      <c r="O168" s="162">
        <f ca="1">O135</f>
        <v>75100</v>
      </c>
      <c r="P168" s="384">
        <f ca="1">P135</f>
        <v>77249</v>
      </c>
      <c r="Q168" s="384">
        <f ca="1">Q135</f>
        <v>72994</v>
      </c>
      <c r="R168" s="384">
        <f ca="1">R135</f>
        <v>81467</v>
      </c>
      <c r="S168" s="384">
        <f ca="1">S135</f>
        <v>81971</v>
      </c>
      <c r="T168" s="162">
        <f ca="1">T135</f>
        <v>81971</v>
      </c>
      <c r="U168" s="384">
        <f ca="1">U135</f>
        <v>85176</v>
      </c>
      <c r="V168" s="384">
        <f ca="1">V135</f>
        <v>1331</v>
      </c>
      <c r="W168" s="384">
        <f ca="1">W135</f>
        <v>1353</v>
      </c>
      <c r="X168" s="359">
        <f ca="1">X187*-X29*4</f>
        <v>947.08635</v>
      </c>
      <c r="Y168" s="162">
        <f ca="1">X168</f>
        <v>947.08635</v>
      </c>
      <c r="Z168" s="359">
        <f t="shared" ref="Z168:AC168" si="242" ca="1">Z187*-Z29*4</f>
        <v>1104.716354</v>
      </c>
      <c r="AA168" s="359">
        <f ca="1">AA187*-AA29*4</f>
        <v>1252.05468633</v>
      </c>
      <c r="AB168" s="359">
        <f ca="1">AB187*-AB29*4</f>
        <v>1134.0247357824</v>
      </c>
      <c r="AC168" s="359">
        <f ca="1">AC187*-AC29*4</f>
        <v>1058.9600302604401</v>
      </c>
      <c r="AD168" s="162">
        <f ca="1">AC168</f>
        <v>1058.9600302604401</v>
      </c>
      <c r="AE168" s="162">
        <f t="shared" ref="AE168:AG168" si="243" ca="1">AE187*-AE29</f>
        <v>1201.4740561605136</v>
      </c>
      <c r="AF168" s="162">
        <f ca="1">AF187*-AF29</f>
        <v>1224.080188227645</v>
      </c>
      <c r="AG168" s="162">
        <f ca="1">AG187*-AG29</f>
        <v>1245.6581599177973</v>
      </c>
      <c r="AH168" s="16"/>
      <c r="AI168" s="16"/>
      <c r="AJ168" s="16"/>
      <c r="AK168" s="16"/>
    </row>
    <row r="169" ht="13.5" customHeight="1" spans="1:37" x14ac:dyDescent="0.25">
      <c r="A169" s="264"/>
      <c r="B169" s="16"/>
      <c r="C169" s="139" t="str">
        <f ca="1">C136</f>
        <v>Other Current Liabilities</v>
      </c>
      <c r="D169" s="16"/>
      <c r="E169" s="16"/>
      <c r="F169" s="372">
        <f t="shared" ref="F169:W169" si="244" ca="1">F136</f>
        <v>3715</v>
      </c>
      <c r="G169" s="372">
        <f ca="1">G136</f>
        <v>3846</v>
      </c>
      <c r="H169" s="372">
        <f ca="1">H136</f>
        <v>4303</v>
      </c>
      <c r="I169" s="372">
        <f ca="1">I136</f>
        <v>4137</v>
      </c>
      <c r="J169" s="355">
        <f ca="1">J136</f>
        <v>4137</v>
      </c>
      <c r="K169" s="372">
        <f ca="1">K136</f>
        <v>3973</v>
      </c>
      <c r="L169" s="372">
        <f ca="1">L136</f>
        <v>4251</v>
      </c>
      <c r="M169" s="372">
        <f ca="1">M136</f>
        <v>4896</v>
      </c>
      <c r="N169" s="372">
        <f ca="1">N136</f>
        <v>5036</v>
      </c>
      <c r="O169" s="355">
        <f ca="1">O136</f>
        <v>5036</v>
      </c>
      <c r="P169" s="372">
        <f ca="1">P136</f>
        <v>4908</v>
      </c>
      <c r="Q169" s="372">
        <f ca="1">Q136</f>
        <v>4969</v>
      </c>
      <c r="R169" s="372">
        <f ca="1">R136</f>
        <v>5542</v>
      </c>
      <c r="S169" s="372">
        <f ca="1">S136</f>
        <v>6578</v>
      </c>
      <c r="T169" s="355">
        <f ca="1">T136</f>
        <v>6578</v>
      </c>
      <c r="U169" s="372">
        <f ca="1">U136</f>
        <v>7162</v>
      </c>
      <c r="V169" s="372">
        <f ca="1">V136</f>
        <v>6978</v>
      </c>
      <c r="W169" s="372">
        <f ca="1">W136</f>
        <v>6795</v>
      </c>
      <c r="X169" s="356">
        <f ca="1">X188*-X29*4</f>
        <v>9470.8635</v>
      </c>
      <c r="Y169" s="355">
        <f ca="1">X169</f>
        <v>9470.8635</v>
      </c>
      <c r="Z169" s="356">
        <f t="shared" ref="Z169:AC169" si="245" ca="1">Z188*-Z29*4</f>
        <v>9721.503915199999</v>
      </c>
      <c r="AA169" s="356">
        <f ca="1">AA188*-AA29*4</f>
        <v>11018.081239704</v>
      </c>
      <c r="AB169" s="356">
        <f ca="1">AB188*-AB29*4</f>
        <v>11340.247357824</v>
      </c>
      <c r="AC169" s="356">
        <f ca="1">AC188*-AC29*4</f>
        <v>10589.6003026044</v>
      </c>
      <c r="AD169" s="355">
        <f ca="1">AC169</f>
        <v>10589.6003026044</v>
      </c>
      <c r="AE169" s="355">
        <f t="shared" ref="AE169:AG169" si="246" ca="1">AE188*-AE29</f>
        <v>11090.529749173971</v>
      </c>
      <c r="AF169" s="355">
        <f ca="1">AF188*-AF29</f>
        <v>11299.201737485955</v>
      </c>
      <c r="AG169" s="355">
        <f ca="1">AG188*-AG29</f>
        <v>11498.383014625822</v>
      </c>
      <c r="AH169" s="16"/>
      <c r="AI169" s="16"/>
      <c r="AJ169" s="16"/>
      <c r="AK169" s="16"/>
    </row>
    <row r="170" ht="13.5" customHeight="1" spans="1:37" x14ac:dyDescent="0.25">
      <c r="A170" s="264"/>
      <c r="B170" s="16"/>
      <c r="C170" s="16" t="s">
        <v>362</v>
      </c>
      <c r="D170" s="16"/>
      <c r="E170" s="16"/>
      <c r="F170" s="353">
        <f t="shared" ref="F170:AG170" si="247" ca="1">SUM(F167:F169)</f>
        <v>67855</v>
      </c>
      <c r="G170" s="353">
        <f ca="1">SUM(G167:G169)</f>
        <v>76710</v>
      </c>
      <c r="H170" s="353">
        <f ca="1">SUM(H167:H169)</f>
        <v>85295</v>
      </c>
      <c r="I170" s="353">
        <f ca="1">SUM(I167:I169)</f>
        <v>80814</v>
      </c>
      <c r="J170" s="282">
        <f ca="1">SUM(J167:J169)</f>
        <v>80814</v>
      </c>
      <c r="K170" s="353">
        <f ca="1">SUM(K167:K169)</f>
        <v>76997</v>
      </c>
      <c r="L170" s="353">
        <f ca="1">SUM(L167:L169)</f>
        <v>77913</v>
      </c>
      <c r="M170" s="353">
        <f ca="1">SUM(M167:M169)</f>
        <v>79804</v>
      </c>
      <c r="N170" s="353">
        <f ca="1">SUM(N167:N169)</f>
        <v>88123</v>
      </c>
      <c r="O170" s="282">
        <f ca="1">SUM(O167:O169)</f>
        <v>88123</v>
      </c>
      <c r="P170" s="353">
        <f ca="1">SUM(P167:P169)</f>
        <v>90654</v>
      </c>
      <c r="Q170" s="353">
        <f ca="1">SUM(Q167:Q169)</f>
        <v>86310</v>
      </c>
      <c r="R170" s="353">
        <f ca="1">SUM(R167:R169)</f>
        <v>97555</v>
      </c>
      <c r="S170" s="353">
        <f ca="1">SUM(S167:S169)</f>
        <v>100749</v>
      </c>
      <c r="T170" s="282">
        <f ca="1">SUM(T167:T169)</f>
        <v>100749</v>
      </c>
      <c r="U170" s="353">
        <f ca="1">SUM(U167:U169)</f>
        <v>109190</v>
      </c>
      <c r="V170" s="353">
        <f ca="1">SUM(V167:V169)</f>
        <v>20320</v>
      </c>
      <c r="W170" s="353">
        <f ca="1">SUM(W167:W169)</f>
        <v>19482</v>
      </c>
      <c r="X170" s="281">
        <f ca="1">SUM(X167:X169)</f>
        <v>21741.808382608695</v>
      </c>
      <c r="Y170" s="282">
        <f ca="1">SUM(Y167:Y169)</f>
        <v>21741.808382608695</v>
      </c>
      <c r="Z170" s="281">
        <f ca="1">SUM(Z167:Z169)</f>
        <v>24908.31884766154</v>
      </c>
      <c r="AA170" s="281">
        <f ca="1">SUM(AA167:AA169)</f>
        <v>25478.624924680156</v>
      </c>
      <c r="AB170" s="281">
        <f ca="1">SUM(AB167:AB169)</f>
        <v>25540.209266751444</v>
      </c>
      <c r="AC170" s="281">
        <f ca="1">SUM(AC167:AC169)</f>
        <v>24310.038955544012</v>
      </c>
      <c r="AD170" s="282">
        <f ca="1">SUM(AD167:AD169)</f>
        <v>24310.038955544012</v>
      </c>
      <c r="AE170" s="282">
        <f ca="1">SUM(AE167:AE169)</f>
        <v>25965.25966048048</v>
      </c>
      <c r="AF170" s="282">
        <f ca="1">SUM(AF167:AF169)</f>
        <v>26453.804615764777</v>
      </c>
      <c r="AG170" s="282">
        <f ca="1">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48" ca="1">F165-F170</f>
        <v>-20972</v>
      </c>
      <c r="G172" s="353">
        <f ca="1">G165-G170</f>
        <v>-26254</v>
      </c>
      <c r="H172" s="353">
        <f ca="1">H165-H170</f>
        <v>-28920</v>
      </c>
      <c r="I172" s="353">
        <f ca="1">I165-I170</f>
        <v>-20200</v>
      </c>
      <c r="J172" s="282">
        <f ca="1">J165-J170</f>
        <v>-20200</v>
      </c>
      <c r="K172" s="353">
        <f ca="1">K165-K170</f>
        <v>-19616</v>
      </c>
      <c r="L172" s="353">
        <f ca="1">L165-L170</f>
        <v>-16643</v>
      </c>
      <c r="M172" s="353">
        <f ca="1">M165-M170</f>
        <v>-15493</v>
      </c>
      <c r="N172" s="353">
        <f ca="1">N165-N170</f>
        <v>-20069</v>
      </c>
      <c r="O172" s="282">
        <f ca="1">O165-O170</f>
        <v>-20069</v>
      </c>
      <c r="P172" s="353">
        <f ca="1">P165-P170</f>
        <v>-23930</v>
      </c>
      <c r="Q172" s="353">
        <f ca="1">Q165-Q170</f>
        <v>-15242</v>
      </c>
      <c r="R172" s="353">
        <f ca="1">R165-R170</f>
        <v>-22104</v>
      </c>
      <c r="S172" s="353">
        <f ca="1">S165-S170</f>
        <v>-21554</v>
      </c>
      <c r="T172" s="282">
        <f ca="1">T165-T170</f>
        <v>-21554</v>
      </c>
      <c r="U172" s="353">
        <f ca="1">U165-U170</f>
        <v>-22277</v>
      </c>
      <c r="V172" s="353">
        <f ca="1">V165-V170</f>
        <v>-1492</v>
      </c>
      <c r="W172" s="353">
        <f ca="1">W165-W170</f>
        <v>-1306</v>
      </c>
      <c r="X172" s="281">
        <f ca="1">X165-X170</f>
        <v>-3211.858056521738</v>
      </c>
      <c r="Y172" s="282">
        <f ca="1">Y165-Y170</f>
        <v>-3211.858056521738</v>
      </c>
      <c r="Z172" s="281">
        <f ca="1">Z165-Z170</f>
        <v>6.945060646154161</v>
      </c>
      <c r="AA172" s="281">
        <f ca="1">AA165-AA170</f>
        <v>-1355.7529113632336</v>
      </c>
      <c r="AB172" s="281">
        <f ca="1">AB165-AB170</f>
        <v>-2729.7275260532842</v>
      </c>
      <c r="AC172" s="281">
        <f ca="1">AC165-AC170</f>
        <v>-1828.3627564436356</v>
      </c>
      <c r="AD172" s="282">
        <f ca="1">AD165-AD170</f>
        <v>-1828.3627564436356</v>
      </c>
      <c r="AE172" s="282">
        <f ca="1">AE165-AE170</f>
        <v>-2763.602512549827</v>
      </c>
      <c r="AF172" s="282">
        <f ca="1">AF165-AF170</f>
        <v>-2813.311652738652</v>
      </c>
      <c r="AG172" s="282">
        <f ca="1">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49" ca="1">G172-F172</f>
        <v>-5282</v>
      </c>
      <c r="H174" s="388">
        <f ca="1">H172-G172</f>
        <v>-2666</v>
      </c>
      <c r="I174" s="388">
        <f ca="1">I172-H172</f>
        <v>8720</v>
      </c>
      <c r="J174" s="100"/>
      <c r="K174" s="388">
        <f t="shared" ref="K174:N174" si="250" ca="1">-(K172-J172)</f>
        <v>-584</v>
      </c>
      <c r="L174" s="388">
        <f ca="1">-(L172-K172)</f>
        <v>-2973</v>
      </c>
      <c r="M174" s="388">
        <f ca="1">-(M172-L172)</f>
        <v>-1150</v>
      </c>
      <c r="N174" s="388">
        <f ca="1">-(N172-M172)</f>
        <v>4576</v>
      </c>
      <c r="O174" s="389">
        <f ca="1">-(O172-J172)</f>
        <v>-131</v>
      </c>
      <c r="P174" s="388">
        <f t="shared" ref="P174:S174" si="251" ca="1">-(P172-O172)</f>
        <v>3861</v>
      </c>
      <c r="Q174" s="388">
        <f ca="1">-(Q172-P172)</f>
        <v>-8688</v>
      </c>
      <c r="R174" s="388">
        <f ca="1">-(R172-Q172)</f>
        <v>6862</v>
      </c>
      <c r="S174" s="388">
        <f ca="1">-(S172-R172)</f>
        <v>-550</v>
      </c>
      <c r="T174" s="389">
        <f ca="1">-(T172-O172)</f>
        <v>1485</v>
      </c>
      <c r="U174" s="388">
        <f t="shared" ref="U174:X174" si="252" ca="1">-(U172-T172)</f>
        <v>723</v>
      </c>
      <c r="V174" s="388">
        <f ca="1">-(V172-U172)</f>
        <v>-392</v>
      </c>
      <c r="W174" s="388">
        <f ca="1">-(W172-V172)</f>
        <v>-186</v>
      </c>
      <c r="X174" s="390">
        <f ca="1">-(X172-W172)</f>
        <v>1905.858056521738</v>
      </c>
      <c r="Y174" s="389">
        <f ca="1">-(Y172-T172)</f>
        <v>3432.858056521738</v>
      </c>
      <c r="Z174" s="390">
        <f t="shared" ref="Z174:AC174" si="253" ca="1">-(Z172-Y172)</f>
        <v>-3218.803117167892</v>
      </c>
      <c r="AA174" s="390">
        <f ca="1">-(AA172-Z172)</f>
        <v>1362.6979720093877</v>
      </c>
      <c r="AB174" s="390">
        <f ca="1">-(AB172-AA172)</f>
        <v>1373.9746146900507</v>
      </c>
      <c r="AC174" s="390">
        <f ca="1">-(AC172-AB172)</f>
        <v>-901.3647696096486</v>
      </c>
      <c r="AD174" s="389">
        <f ca="1">-(AD172-Y172)</f>
        <v>-1383.4953000781024</v>
      </c>
      <c r="AE174" s="389">
        <f t="shared" ref="AE174:AG174" si="254" ca="1">-(AE172-AD172)</f>
        <v>935.2397561061916</v>
      </c>
      <c r="AF174" s="389">
        <f ca="1">-(AF172-AE172)</f>
        <v>49.709140188824676</v>
      </c>
      <c r="AG174" s="407">
        <f ca="1">-(AG172-AF172)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55" ca="1">F162+F163-F167</f>
        <v>34167</v>
      </c>
      <c r="G176" s="353">
        <f ca="1">G162+G163-G167</f>
        <v>35722</v>
      </c>
      <c r="H176" s="353">
        <f ca="1">H162+H163-H167</f>
        <v>38174</v>
      </c>
      <c r="I176" s="353">
        <f ca="1">I162+I163-I167</f>
        <v>40471</v>
      </c>
      <c r="J176" s="282">
        <f ca="1">J162+J163-J167</f>
        <v>40471</v>
      </c>
      <c r="K176" s="353">
        <f ca="1">K162+K163-K167</f>
        <v>38354</v>
      </c>
      <c r="L176" s="353">
        <f ca="1">L162+L163-L167</f>
        <v>40995</v>
      </c>
      <c r="M176" s="353">
        <f ca="1">M162+M163-M167</f>
        <v>42055</v>
      </c>
      <c r="N176" s="353">
        <f ca="1">N162+N163-N167</f>
        <v>44353</v>
      </c>
      <c r="O176" s="282">
        <f ca="1">O162+O163-O167</f>
        <v>44353</v>
      </c>
      <c r="P176" s="353">
        <f ca="1">P162+P163-P167</f>
        <v>42503</v>
      </c>
      <c r="Q176" s="353">
        <f ca="1">Q162+Q163-Q167</f>
        <v>46701</v>
      </c>
      <c r="R176" s="353">
        <f ca="1">R162+R163-R167</f>
        <v>46602</v>
      </c>
      <c r="S176" s="353">
        <f ca="1">S162+S163-S167</f>
        <v>50686</v>
      </c>
      <c r="T176" s="282">
        <f ca="1">T162+T163-T167</f>
        <v>50686</v>
      </c>
      <c r="U176" s="353">
        <f ca="1">U162+U163-U167</f>
        <v>46147</v>
      </c>
      <c r="V176" s="353">
        <f ca="1">V162+V163-V167</f>
        <v>5311</v>
      </c>
      <c r="W176" s="353">
        <f ca="1">W162+W163-W167</f>
        <v>5351</v>
      </c>
      <c r="X176" s="281">
        <f ca="1">X162+X163-X167</f>
        <v>7206.091793478261</v>
      </c>
      <c r="Y176" s="282">
        <f ca="1">Y162+Y163-Y167</f>
        <v>7206.091793478261</v>
      </c>
      <c r="Z176" s="281">
        <f ca="1">Z162+Z163-Z167</f>
        <v>8983.407713846156</v>
      </c>
      <c r="AA176" s="281">
        <f ca="1">AA162+AA163-AA167</f>
        <v>8805.659332430767</v>
      </c>
      <c r="AB176" s="281">
        <f ca="1">AB162+AB163-AB167</f>
        <v>7888.867727181916</v>
      </c>
      <c r="AC176" s="281">
        <f ca="1">AC162+AC163-AC167</f>
        <v>8057.304578068564</v>
      </c>
      <c r="AD176" s="282">
        <f ca="1">AD162+AD163-AD167</f>
        <v>8057.304578068564</v>
      </c>
      <c r="AE176" s="282">
        <f ca="1">AE162+AE163-AE167</f>
        <v>7596.253252858882</v>
      </c>
      <c r="AF176" s="282">
        <f ca="1">AF162+AF163-AF167</f>
        <v>7739.179272250654</v>
      </c>
      <c r="AG176" s="282">
        <f ca="1">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56" ca="1">G176-F176</f>
        <v>1555</v>
      </c>
      <c r="H178" s="388">
        <f ca="1">H176-G176</f>
        <v>2452</v>
      </c>
      <c r="I178" s="388">
        <f ca="1">I176-H176</f>
        <v>2297</v>
      </c>
      <c r="J178" s="100"/>
      <c r="K178" s="388">
        <f t="shared" ref="K178:N178" si="257" ca="1">-(K176-J176)</f>
        <v>2117</v>
      </c>
      <c r="L178" s="388">
        <f ca="1">-(L176-K176)</f>
        <v>-2641</v>
      </c>
      <c r="M178" s="388">
        <f ca="1">-(M176-L176)</f>
        <v>-1060</v>
      </c>
      <c r="N178" s="388">
        <f ca="1">-(N176-M176)</f>
        <v>-2298</v>
      </c>
      <c r="O178" s="389">
        <f ca="1">-(O176-J176)</f>
        <v>-3882</v>
      </c>
      <c r="P178" s="388">
        <f t="shared" ref="P178:S178" si="258" ca="1">-(P176-O176)</f>
        <v>1850</v>
      </c>
      <c r="Q178" s="388">
        <f ca="1">-(Q176-P176)</f>
        <v>-4198</v>
      </c>
      <c r="R178" s="388">
        <f ca="1">-(R176-Q176)</f>
        <v>99</v>
      </c>
      <c r="S178" s="388">
        <f ca="1">-(S176-R176)</f>
        <v>-4084</v>
      </c>
      <c r="T178" s="389">
        <f ca="1">-(T176-O176)</f>
        <v>-6333</v>
      </c>
      <c r="U178" s="388">
        <f t="shared" ref="U178:X178" si="259" ca="1">-(U176-T176)</f>
        <v>4539</v>
      </c>
      <c r="V178" s="388">
        <f ca="1">-(V176-U176)</f>
        <v>-893</v>
      </c>
      <c r="W178" s="388">
        <f ca="1">-(W176-V176)</f>
        <v>-40</v>
      </c>
      <c r="X178" s="390">
        <f ca="1">-(X176-W176)</f>
        <v>-1855.091793478261</v>
      </c>
      <c r="Y178" s="389">
        <f ca="1">-(Y176-T176)</f>
        <v>-1897.091793478261</v>
      </c>
      <c r="Z178" s="390">
        <f t="shared" ref="Z178:AC178" si="260" ca="1">-(Z176-Y176)</f>
        <v>-1777.3159203678952</v>
      </c>
      <c r="AA178" s="390">
        <f ca="1">-(AA176-Z176)</f>
        <v>177.7483814153893</v>
      </c>
      <c r="AB178" s="390">
        <f ca="1">-(AB176-AA176)</f>
        <v>916.7916052488508</v>
      </c>
      <c r="AC178" s="390">
        <f ca="1">-(AC176-AB176)</f>
        <v>-168.43685088664824</v>
      </c>
      <c r="AD178" s="389">
        <f ca="1">-(AD176-Y176)</f>
        <v>-851.2127845903033</v>
      </c>
      <c r="AE178" s="389">
        <f t="shared" ref="AE178:AG178" si="261" ca="1">-(AE176-AD176)</f>
        <v>461.05132520968255</v>
      </c>
      <c r="AF178" s="389">
        <f ca="1">-(AF176-AE176)</f>
        <v>-142.92601939177257</v>
      </c>
      <c r="AG178" s="407">
        <f ca="1">-(AG176-AF176)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62" ca="1">AVERAGE(F162:G162)/G$28*G$26</f>
        <v>1e-12</v>
      </c>
      <c r="H182" s="384">
        <f ca="1">AVERAGE(G162:H162)/H$28*H$26</f>
        <v>1e-12</v>
      </c>
      <c r="I182" s="384">
        <f ca="1">AVERAGE(H162:I162)/I$28*I$26</f>
        <v>1e-12</v>
      </c>
      <c r="J182" s="162">
        <f ca="1">AVERAGE(F162:I162)/J$28*J$26</f>
        <v>1e-12</v>
      </c>
      <c r="K182" s="382">
        <f ca="1">AVERAGE(I162,K162)/K$28*K$26</f>
        <v>1e-12</v>
      </c>
      <c r="L182" s="384">
        <f t="shared" ref="L182:N182" si="263" ca="1">AVERAGE(K162:L162)/L$28*L$26</f>
        <v>1e-12</v>
      </c>
      <c r="M182" s="384">
        <f ca="1">AVERAGE(L162:M162)/M$28*M$26</f>
        <v>1e-12</v>
      </c>
      <c r="N182" s="384">
        <f ca="1">AVERAGE(M162:N162)/N$28*N$26</f>
        <v>1e-12</v>
      </c>
      <c r="O182" s="162">
        <f ca="1">AVERAGE(J162,O162)/O$28*O$26</f>
        <v>1e-12</v>
      </c>
      <c r="P182" s="382">
        <f ca="1">AVERAGE(N162,P162)/P$28*P$26</f>
        <v>1e-12</v>
      </c>
      <c r="Q182" s="384">
        <f t="shared" ref="Q182:S182" si="264" ca="1">AVERAGE(P162:Q162)/Q$28*Q$26</f>
        <v>1e-12</v>
      </c>
      <c r="R182" s="384">
        <f ca="1">AVERAGE(Q162:R162)/R$28*R$26</f>
        <v>1e-12</v>
      </c>
      <c r="S182" s="384">
        <f ca="1">AVERAGE(R162:S162)/S$28*S$26</f>
        <v>1e-12</v>
      </c>
      <c r="T182" s="162">
        <f ca="1">AVERAGE(O162,T162)/T$28*T$26</f>
        <v>1e-12</v>
      </c>
      <c r="U182" s="382">
        <f ca="1">AVERAGE(S162,U162)/U$28*U$26</f>
        <v>1e-12</v>
      </c>
      <c r="V182" s="384">
        <f t="shared" ref="V182:W182" si="265" ca="1">AVERAGE(U162:V162)/V$28*V$26</f>
        <v>0</v>
      </c>
      <c r="W182" s="384">
        <f ca="1">AVERAGE(V162:W162)/W$28*W$26</f>
      </c>
      <c r="X182" s="361">
        <f ca="1">Drivers!X113</f>
        <v>1e-12</v>
      </c>
      <c r="Y182" s="162">
        <f ca="1">AVERAGE(T162,Y162)/Y$28*Y$26</f>
        <v>0</v>
      </c>
      <c r="Z182" s="361">
        <f ca="1">Drivers!Z113</f>
        <v>1e-12</v>
      </c>
      <c r="AA182" s="361">
        <f ca="1">Drivers!AA113</f>
        <v>1e-12</v>
      </c>
      <c r="AB182" s="361">
        <f ca="1">Drivers!AB113</f>
        <v>1e-12</v>
      </c>
      <c r="AC182" s="361">
        <f ca="1">Drivers!AC113</f>
        <v>1e-12</v>
      </c>
      <c r="AD182" s="162">
        <f ca="1">AVERAGE(Y162,AD162)/AD$28*AD$26</f>
        <v>0</v>
      </c>
      <c r="AE182" s="362">
        <f ca="1">Drivers!AE113</f>
        <v>1e-12</v>
      </c>
      <c r="AF182" s="362">
        <f ca="1">Drivers!AF113</f>
        <v>1e-12</v>
      </c>
      <c r="AG182" s="362">
        <f ca="1">Drivers!AG113</f>
        <v>1e-12</v>
      </c>
      <c r="AH182" s="16"/>
      <c r="AI182" s="16"/>
      <c r="AJ182" s="16"/>
      <c r="AK182" s="16"/>
    </row>
    <row r="183" ht="13.5" customHeight="1" spans="1:37" x14ac:dyDescent="0.25">
      <c r="A183" s="264"/>
      <c r="B183" s="16"/>
      <c r="C183" s="16" t="s">
        <v>368</v>
      </c>
      <c r="D183" s="16"/>
      <c r="E183" s="16"/>
      <c r="F183" s="382"/>
      <c r="G183" s="384">
        <f t="shared" ref="G183:I183" si="266" ca="1">AVERAGE(F163:G163)/-G$29*G$26</f>
        <v>83.39173789173789</v>
      </c>
      <c r="H183" s="384">
        <f ca="1">AVERAGE(G163:H163)/-H$29*H$26</f>
        <v>94.8957890259464</v>
      </c>
      <c r="I183" s="384">
        <f ca="1">AVERAGE(H163:I163)/-I$29*I$26</f>
        <v>98.76785252821087</v>
      </c>
      <c r="J183" s="162">
        <f ca="1">AVERAGE(F163:I163)/-J$29*J$26</f>
        <v>94.5511972893122</v>
      </c>
      <c r="K183" s="382">
        <f ca="1">AVERAGE(I163,K163)/-K$29*K$26</f>
        <v>102.09004934210527</v>
      </c>
      <c r="L183" s="384">
        <f t="shared" ref="L183:N183" si="267" ca="1">AVERAGE(K163:L163)/-L$29*L$26</f>
        <v>91.80451866404715</v>
      </c>
      <c r="M183" s="384">
        <f ca="1">AVERAGE(L163:M163)/-M$29*M$26</f>
        <v>107.46646237657474</v>
      </c>
      <c r="N183" s="384">
        <f ca="1">AVERAGE(M163:N163)/-N$29*N$26</f>
        <v>112.01177003168854</v>
      </c>
      <c r="O183" s="162">
        <f ca="1">AVERAGE(J163,O163)/-O$29*O$26</f>
        <v>95.46895640686921</v>
      </c>
      <c r="P183" s="382">
        <f ca="1">AVERAGE(N163,P163)/-P$29*P$26</f>
        <v>93.89074608722079</v>
      </c>
      <c r="Q183" s="384">
        <f t="shared" ref="Q183:S183" si="268" ca="1">AVERAGE(P163:Q163)/-Q$29*Q$26</f>
        <v>71.07384153794867</v>
      </c>
      <c r="R183" s="384">
        <f ca="1">AVERAGE(Q163:R163)/-R$29*R$26</f>
        <v>90.54420680924778</v>
      </c>
      <c r="S183" s="384">
        <f ca="1">AVERAGE(R163:S163)/-S$29*S$26</f>
        <v>106.00433369447454</v>
      </c>
      <c r="T183" s="162">
        <f ca="1">AVERAGE(O163,T163)/-T$29*T$26</f>
        <v>89.31899223514513</v>
      </c>
      <c r="U183" s="382">
        <f ca="1">AVERAGE(S163,U163)/-U$29*U$26</f>
        <v>95.49932482199853</v>
      </c>
      <c r="V183" s="384">
        <f t="shared" ref="V183:W183" si="269" ca="1">AVERAGE(U163:V163)/-V$29*V$26</f>
        <v>88.97644868003067</v>
      </c>
      <c r="W183" s="384">
        <f ca="1">AVERAGE(V163:W163)/-W$29*W$26</f>
        <v>102.03652729763225</v>
      </c>
      <c r="X183" s="361">
        <f ca="1">Drivers!X118</f>
        <v>90</v>
      </c>
      <c r="Y183" s="162">
        <f ca="1">AVERAGE(T163,Y163)/-Y$29*Y$26</f>
        <v>92.07624734938022</v>
      </c>
      <c r="Z183" s="361">
        <f ca="1">Drivers!Z118</f>
        <v>95</v>
      </c>
      <c r="AA183" s="361">
        <f ca="1">Drivers!AA118</f>
        <v>80</v>
      </c>
      <c r="AB183" s="361">
        <f ca="1">Drivers!AB118</f>
        <v>85</v>
      </c>
      <c r="AC183" s="361">
        <f ca="1">Drivers!AC118</f>
        <v>90</v>
      </c>
      <c r="AD183" s="162">
        <f ca="1">AVERAGE(Y163,AD163)/-AD$29*AD$26</f>
        <v>78.93300806770992</v>
      </c>
      <c r="AE183" s="362">
        <f ca="1">Drivers!AE118</f>
        <v>84</v>
      </c>
      <c r="AF183" s="362">
        <f ca="1">Drivers!AF118</f>
        <v>84</v>
      </c>
      <c r="AG183" s="362">
        <f ca="1">Drivers!AG118</f>
        <v>84</v>
      </c>
      <c r="AH183" s="16"/>
      <c r="AI183" s="16"/>
      <c r="AJ183" s="16"/>
      <c r="AK183" s="16"/>
    </row>
    <row r="184" ht="13.5" customHeight="1" spans="1:37" x14ac:dyDescent="0.25">
      <c r="A184" s="264"/>
      <c r="B184" s="16"/>
      <c r="C184" s="16" t="s">
        <v>369</v>
      </c>
      <c r="D184" s="16"/>
      <c r="E184" s="16"/>
      <c r="F184" s="382"/>
      <c r="G184" s="384">
        <f t="shared" ref="G184:I184" si="270" ca="1">AVERAGE(F167:G167)/-G$29*G$26</f>
        <v>63.44539411206078</v>
      </c>
      <c r="H184" s="384">
        <f ca="1">AVERAGE(G167:H167)/-H$29*H$26</f>
        <v>71.48294342832837</v>
      </c>
      <c r="I184" s="384">
        <f ca="1">AVERAGE(H167:I167)/-I$29*I$26</f>
        <v>69.58842277543286</v>
      </c>
      <c r="J184" s="162">
        <f ca="1">AVERAGE(F167:I167)/-J$29*J$26</f>
        <v>69.28524204045371</v>
      </c>
      <c r="K184" s="382">
        <f ca="1">AVERAGE(I167,K167)/-K$29*K$26</f>
        <v>73.13980263157895</v>
      </c>
      <c r="L184" s="384">
        <f t="shared" ref="L184:N184" si="271" ca="1">AVERAGE(K167:L167)/-L$29*L$26</f>
        <v>66.99214145383104</v>
      </c>
      <c r="M184" s="384">
        <f ca="1">AVERAGE(L167:M167)/-M$29*M$26</f>
        <v>71.73697650663944</v>
      </c>
      <c r="N184" s="384">
        <f ca="1">AVERAGE(M167:N167)/-N$29*N$26</f>
        <v>68.63974649162517</v>
      </c>
      <c r="O184" s="162">
        <f ca="1">AVERAGE(J167,O167)/-O$29*O$26</f>
        <v>59.11360634081902</v>
      </c>
      <c r="P184" s="382">
        <f ca="1">AVERAGE(N167,P167)/-P$29*P$26</f>
        <v>63.250265917033886</v>
      </c>
      <c r="Q184" s="384">
        <f t="shared" ref="Q184:S184" si="272" ca="1">AVERAGE(P167:Q167)/-Q$29*Q$26</f>
        <v>60.05908989887765</v>
      </c>
      <c r="R184" s="384">
        <f ca="1">AVERAGE(Q167:R167)/-R$29*R$26</f>
        <v>78.68945299486974</v>
      </c>
      <c r="S184" s="384">
        <f ca="1">AVERAGE(R167:S167)/-S$29*S$26</f>
        <v>78.55384615384615</v>
      </c>
      <c r="T184" s="162">
        <f ca="1">AVERAGE(O167,T167)/-T$29*T$26</f>
        <v>56.38846769087213</v>
      </c>
      <c r="U184" s="382">
        <f ca="1">AVERAGE(S167,U167)/-U$29*U$26</f>
        <v>68.63245764792536</v>
      </c>
      <c r="V184" s="384">
        <f t="shared" ref="V184:W184" si="273" ca="1">AVERAGE(U167:V167)/-V$29*V$26</f>
        <v>64.7312137145361</v>
      </c>
      <c r="W184" s="384">
        <f ca="1">AVERAGE(V167:W167)/-W$29*W$26</f>
        <v>70.04565912204032</v>
      </c>
      <c r="X184" s="361">
        <f ca="1">Drivers!X135</f>
        <v>55</v>
      </c>
      <c r="Y184" s="162">
        <f ca="1">AVERAGE(T167,Y167)/-Y$29*Y$26</f>
        <v>58.889473853616515</v>
      </c>
      <c r="Z184" s="361">
        <f ca="1">Drivers!Z135</f>
        <v>58</v>
      </c>
      <c r="AA184" s="361">
        <f ca="1">Drivers!AA135</f>
        <v>48</v>
      </c>
      <c r="AB184" s="361">
        <f ca="1">Drivers!AB135</f>
        <v>53</v>
      </c>
      <c r="AC184" s="361">
        <f ca="1">Drivers!AC135</f>
        <v>55</v>
      </c>
      <c r="AD184" s="162">
        <f ca="1">AVERAGE(Y167,AD167)/-AD$29*AD$26</f>
        <v>48.236838263600504</v>
      </c>
      <c r="AE184" s="362">
        <f ca="1">Drivers!AE135</f>
        <v>54</v>
      </c>
      <c r="AF184" s="362">
        <f ca="1">Drivers!AF135</f>
        <v>54</v>
      </c>
      <c r="AG184" s="362">
        <f ca="1">Drivers!AG135</f>
        <v>54</v>
      </c>
      <c r="AH184" s="16"/>
      <c r="AI184" s="16"/>
      <c r="AJ184" s="16"/>
      <c r="AK184" s="16"/>
    </row>
    <row r="185" ht="13.5" customHeight="1" spans="1:37" x14ac:dyDescent="0.25">
      <c r="A185" s="264"/>
      <c r="B185" s="16"/>
      <c r="C185" s="16" t="s">
        <v>131</v>
      </c>
      <c r="D185" s="16"/>
      <c r="E185" s="16"/>
      <c r="F185" s="382"/>
      <c r="G185" s="384">
        <f t="shared" ref="G185:AG185" si="274" ca="1">SUM(G182:G183)-G184</f>
        <v>19.946343779678102</v>
      </c>
      <c r="H185" s="384">
        <f ca="1">SUM(H182:H183)-H184</f>
        <v>23.412845597619025</v>
      </c>
      <c r="I185" s="384">
        <f ca="1">SUM(I182:I183)-I184</f>
        <v>29.179429752779</v>
      </c>
      <c r="J185" s="162">
        <f ca="1">SUM(J182:J183)-J184</f>
        <v>25.265955248859484</v>
      </c>
      <c r="K185" s="382">
        <f ca="1">SUM(K182:K183)-K184</f>
        <v>28.950246710527324</v>
      </c>
      <c r="L185" s="384">
        <f ca="1">SUM(L182:L183)-L184</f>
        <v>24.812377210217107</v>
      </c>
      <c r="M185" s="384">
        <f ca="1">SUM(M182:M183)-M184</f>
        <v>35.7294858699363</v>
      </c>
      <c r="N185" s="384">
        <f ca="1">SUM(N182:N183)-N184</f>
        <v>43.37202354006436</v>
      </c>
      <c r="O185" s="162">
        <f ca="1">SUM(O182:O183)-O184</f>
        <v>36.35535006605119</v>
      </c>
      <c r="P185" s="382">
        <f ca="1">SUM(P182:P183)-P184</f>
        <v>30.6404801701879</v>
      </c>
      <c r="Q185" s="384">
        <f ca="1">SUM(Q182:Q183)-Q184</f>
        <v>11.01475163907201</v>
      </c>
      <c r="R185" s="384">
        <f ca="1">SUM(R182:R183)-R184</f>
        <v>11.854753814379038</v>
      </c>
      <c r="S185" s="384">
        <f ca="1">SUM(S182:S183)-S184</f>
        <v>27.450487540629382</v>
      </c>
      <c r="T185" s="162">
        <f ca="1">SUM(T182:T183)-T184</f>
        <v>32.93052454427399</v>
      </c>
      <c r="U185" s="382">
        <f ca="1">SUM(U182:U183)-U184</f>
        <v>26.86686717407416</v>
      </c>
      <c r="V185" s="384">
        <f ca="1">SUM(V182:V183)-V184</f>
        <v>24.245234965494575</v>
      </c>
      <c r="W185" s="384">
        <f ca="1">SUM(W182:W183)-W184</f>
        <v>31.990868175591928</v>
      </c>
      <c r="X185" s="359">
        <f ca="1">SUM(X182:X183)-X184</f>
        <v>35</v>
      </c>
      <c r="Y185" s="162">
        <f ca="1">SUM(Y182:Y183)-Y184</f>
        <v>33.18677349576371</v>
      </c>
      <c r="Z185" s="359">
        <f ca="1">SUM(Z182:Z183)-Z184</f>
        <v>37</v>
      </c>
      <c r="AA185" s="359">
        <f ca="1">SUM(AA182:AA183)-AA184</f>
        <v>32</v>
      </c>
      <c r="AB185" s="359">
        <f ca="1">SUM(AB182:AB183)-AB184</f>
        <v>32</v>
      </c>
      <c r="AC185" s="359">
        <f ca="1">SUM(AC182:AC183)-AC184</f>
        <v>35</v>
      </c>
      <c r="AD185" s="162">
        <f ca="1">SUM(AD182:AD183)-AD184</f>
        <v>30.696169804109417</v>
      </c>
      <c r="AE185" s="162">
        <f ca="1">SUM(AE182:AE183)-AE184</f>
        <v>30</v>
      </c>
      <c r="AF185" s="162">
        <f ca="1">SUM(AF182:AF183)-AF184</f>
        <v>30</v>
      </c>
      <c r="AG185" s="162">
        <f ca="1">SUM(AG182:AG183)-AG184</f>
        <v>30</v>
      </c>
      <c r="AH185" s="16"/>
      <c r="AI185" s="16"/>
      <c r="AJ185" s="16"/>
      <c r="AK185" s="16"/>
    </row>
    <row r="186" ht="13.5" customHeight="1" spans="1:37" x14ac:dyDescent="0.25">
      <c r="A186" s="264"/>
      <c r="B186" s="16"/>
      <c r="C186" s="139" t="s">
        <v>370</v>
      </c>
      <c r="D186" s="16"/>
      <c r="E186" s="16"/>
      <c r="F186" s="410">
        <f t="shared" ref="F186:I186" si="275" ca="1">F164/(4*F28)</f>
        <v>0.03056443177096021</v>
      </c>
      <c r="G186" s="410">
        <f ca="1">G164/(4*G28)</f>
        <v>0.031570023055064074</v>
      </c>
      <c r="H186" s="410">
        <f ca="1">H164/(4*H28)</f>
        <v>0.040414379408811756</v>
      </c>
      <c r="I186" s="410">
        <f ca="1">I164/(4*I28)</f>
        <v>0.03664117715212606</v>
      </c>
      <c r="J186" s="214">
        <f ca="1">J164/(J28)</f>
        <v>0.041152397249133034</v>
      </c>
      <c r="K186" s="410">
        <f t="shared" ref="K186:N186" si="276" ca="1">K164/(4*K28)</f>
        <v>0.039822322104818786</v>
      </c>
      <c r="L186" s="410">
        <f ca="1">L164/(4*L28)</f>
        <v>0.04184170777182507</v>
      </c>
      <c r="M186" s="410">
        <f ca="1">M164/(4*M28)</f>
        <v>0.04307053518829021</v>
      </c>
      <c r="N186" s="410">
        <f ca="1">N164/(4*N28)</f>
        <v>0.04072292653598565</v>
      </c>
      <c r="O186" s="214">
        <f ca="1">O164/(O28)</f>
        <v>0.04489483397996674</v>
      </c>
      <c r="P186" s="410">
        <f t="shared" ref="P186:S186" si="277" ca="1">P164/(4*P28)</f>
        <v>0.0435645100516435</v>
      </c>
      <c r="Q186" s="410">
        <f ca="1">Q164/(4*Q28)</f>
        <v>0.04153357945824864</v>
      </c>
      <c r="R186" s="410">
        <f ca="1">R164/(4*R28)</f>
        <v>0.04470863541320618</v>
      </c>
      <c r="S186" s="410">
        <f ca="1">S164/(4*S28)</f>
        <v>0.03581907949643764</v>
      </c>
      <c r="T186" s="214">
        <f ca="1">T164/(T28)</f>
        <v>0.04048535760121339</v>
      </c>
      <c r="U186" s="410">
        <f t="shared" ref="U186:W186" si="278" ca="1">U164/(4*U28)</f>
        <v>0.054401434083133145</v>
      </c>
      <c r="V186" s="410">
        <f ca="1">V164/(4*V28)</f>
        <v>0.013656147986942329</v>
      </c>
      <c r="W186" s="410">
        <f ca="1">W164/(4*W28)</f>
        <v>0.016264508246792913</v>
      </c>
      <c r="X186" s="411">
        <f ca="1">Drivers!X123</f>
        <v>1e-12</v>
      </c>
      <c r="Y186" s="214">
        <f ca="1">Y164/(Y28)</f>
        <v>1e-12</v>
      </c>
      <c r="Z186" s="411">
        <f ca="1">Drivers!Z123</f>
        <v>0.018</v>
      </c>
      <c r="AA186" s="411">
        <f ca="1">Drivers!AA123</f>
        <v>0.018</v>
      </c>
      <c r="AB186" s="411">
        <f ca="1">Drivers!AB123</f>
        <v>0.018</v>
      </c>
      <c r="AC186" s="411">
        <f ca="1">Drivers!AC123</f>
        <v>0.018</v>
      </c>
      <c r="AD186" s="214">
        <f ca="1">AD164/(AD28)</f>
        <v>0.016751674706560162</v>
      </c>
      <c r="AE186" s="412">
        <f ca="1">Drivers!AE123</f>
        <v>0.018</v>
      </c>
      <c r="AF186" s="412">
        <f ca="1">Drivers!AF123</f>
        <v>0.018</v>
      </c>
      <c r="AG186" s="412">
        <f ca="1">Drivers!AG123</f>
        <v>0.018</v>
      </c>
      <c r="AH186" s="16"/>
      <c r="AI186" s="16"/>
      <c r="AJ186" s="16"/>
      <c r="AK186" s="16"/>
    </row>
    <row r="187" ht="13.5" customHeight="1" spans="1:37" x14ac:dyDescent="0.25">
      <c r="A187" s="264"/>
      <c r="B187" s="16"/>
      <c r="C187" s="16" t="s">
        <v>371</v>
      </c>
      <c r="D187" s="16"/>
      <c r="E187" s="16"/>
      <c r="F187" s="410">
        <f t="shared" ref="F187:I187" si="279" ca="1">F168/(4*-F29)</f>
        <v>0.48964458382333725</v>
      </c>
      <c r="G187" s="410">
        <f ca="1">G168/(4*-G29)</f>
        <v>0.5291311567865647</v>
      </c>
      <c r="H187" s="410">
        <f ca="1">H168/(4*-H29)</f>
        <v>0.5656881037647837</v>
      </c>
      <c r="I187" s="410">
        <f ca="1">I168/(4*-I29)</f>
        <v>0.4603060545575516</v>
      </c>
      <c r="J187" s="214">
        <f ca="1">J168/(-J29)</f>
        <v>0.5188851888518885</v>
      </c>
      <c r="K187" s="410">
        <f t="shared" ref="K187:N187" si="280" ca="1">K168/(4*-K29)</f>
        <v>0.4955653773137162</v>
      </c>
      <c r="L187" s="410">
        <f ca="1">L168/(4*-L29)</f>
        <v>0.4757512603148675</v>
      </c>
      <c r="M187" s="410">
        <f ca="1">M168/(4*-M29)</f>
        <v>0.4651189888687832</v>
      </c>
      <c r="N187" s="410">
        <f ca="1">N168/(4*-N29)</f>
        <v>0.4622903996257356</v>
      </c>
      <c r="O187" s="214">
        <f ca="1">O168/(-O29)</f>
        <v>0.5133077249053354</v>
      </c>
      <c r="P187" s="410">
        <f t="shared" ref="P187:S187" si="281" ca="1">P168/(4*-P29)</f>
        <v>0.5311253815901653</v>
      </c>
      <c r="Q187" s="410">
        <f ca="1">Q168/(4*-Q29)</f>
        <v>0.46744281359665973</v>
      </c>
      <c r="R187" s="410">
        <f ca="1">R168/(4*-R29)</f>
        <v>0.4923191278493558</v>
      </c>
      <c r="S187" s="410">
        <f ca="1">S168/(4*-S29)</f>
        <v>0.44776258002490876</v>
      </c>
      <c r="T187" s="214">
        <f ca="1">T168/(-T29)</f>
        <v>0.5043251956489639</v>
      </c>
      <c r="U187" s="410">
        <f t="shared" ref="U187:W187" si="282" ca="1">U168/(4*-U29)</f>
        <v>0.5159555135567347</v>
      </c>
      <c r="V187" s="410">
        <f ca="1">V168/(4*-V29)</f>
        <v>0.01822488772045131</v>
      </c>
      <c r="W187" s="410">
        <f ca="1">W168/(4*-W29)</f>
        <v>0.02206314004305003</v>
      </c>
      <c r="X187" s="411">
        <f ca="1">Drivers!X140</f>
        <v>0.0125</v>
      </c>
      <c r="Y187" s="214">
        <f ca="1">Y168/(-Y29)</f>
        <v>0.013761244159941528</v>
      </c>
      <c r="Z187" s="411">
        <f ca="1">Drivers!Z140</f>
        <v>0.0125</v>
      </c>
      <c r="AA187" s="411">
        <f ca="1">Drivers!AA140</f>
        <v>0.0125</v>
      </c>
      <c r="AB187" s="411">
        <f ca="1">Drivers!AB140</f>
        <v>0.0125</v>
      </c>
      <c r="AC187" s="411">
        <f ca="1">Drivers!AC140</f>
        <v>0.0125</v>
      </c>
      <c r="AD187" s="214">
        <f ca="1">AD168/(-AD29)</f>
        <v>0.01163754798419242</v>
      </c>
      <c r="AE187" s="412">
        <f ca="1">Drivers!AE140</f>
        <v>0.013</v>
      </c>
      <c r="AF187" s="412">
        <f ca="1">Drivers!AF140</f>
        <v>0.013</v>
      </c>
      <c r="AG187" s="412">
        <f ca="1">Drivers!AG140</f>
        <v>0.013</v>
      </c>
      <c r="AH187" s="16"/>
      <c r="AI187" s="16"/>
      <c r="AJ187" s="16"/>
      <c r="AK187" s="16"/>
    </row>
    <row r="188" ht="13.5" customHeight="1" spans="1:37" x14ac:dyDescent="0.25">
      <c r="A188" s="264"/>
      <c r="B188" s="16"/>
      <c r="C188" s="16" t="s">
        <v>372</v>
      </c>
      <c r="D188" s="16"/>
      <c r="E188" s="16"/>
      <c r="F188" s="410">
        <f t="shared" ref="F188:I188" si="283" ca="1">F169/(4*-F29)</f>
        <v>0.030339409381941723</v>
      </c>
      <c r="G188" s="410">
        <f ca="1">G169/(4*-G29)</f>
        <v>0.030125955633538037</v>
      </c>
      <c r="H188" s="410">
        <f ca="1">H169/(4*-H29)</f>
        <v>0.032373830088175994</v>
      </c>
      <c r="I188" s="410">
        <f ca="1">I169/(4*-I29)</f>
        <v>0.0275249500998004</v>
      </c>
      <c r="J188" s="214">
        <f ca="1">J169/(-J29)</f>
        <v>0.03102781027810278</v>
      </c>
      <c r="K188" s="410">
        <f t="shared" ref="K188:N188" si="284" ca="1">K169/(4*-K29)</f>
        <v>0.02946280256288562</v>
      </c>
      <c r="L188" s="410">
        <f ca="1">L169/(4*-L29)</f>
        <v>0.029930717886613906</v>
      </c>
      <c r="M188" s="410">
        <f ca="1">M169/(4*-M29)</f>
        <v>0.033558151011679554</v>
      </c>
      <c r="N188" s="410">
        <f ca="1">N169/(4*-N29)</f>
        <v>0.030999926132026692</v>
      </c>
      <c r="O188" s="214">
        <f ca="1">O169/(-O29)</f>
        <v>0.03442100802427788</v>
      </c>
      <c r="P188" s="410">
        <f t="shared" ref="P188:S188" si="285" ca="1">P169/(4*-P29)</f>
        <v>0.03374494650862187</v>
      </c>
      <c r="Q188" s="410">
        <f ca="1">Q169/(4*-Q29)</f>
        <v>0.0318207433592049</v>
      </c>
      <c r="R188" s="410">
        <f ca="1">R169/(4*-R29)</f>
        <v>0.03349126157267519</v>
      </c>
      <c r="S188" s="410">
        <f ca="1">S169/(4*-S29)</f>
        <v>0.035932003408569495</v>
      </c>
      <c r="T188" s="214">
        <f ca="1">T169/(-T29)</f>
        <v>0.04047103410936654</v>
      </c>
      <c r="U188" s="410">
        <f t="shared" ref="U188:W188" si="286" ca="1">U169/(4*-U29)</f>
        <v>0.043383974219185384</v>
      </c>
      <c r="V188" s="410">
        <f ca="1">V169/(4*-V29)</f>
        <v>0.09554715741045021</v>
      </c>
      <c r="W188" s="410">
        <f ca="1">W169/(4*-W29)</f>
        <v>0.11080490509425348</v>
      </c>
      <c r="X188" s="411">
        <f ca="1">Drivers!X145</f>
        <v>0.125</v>
      </c>
      <c r="Y188" s="214">
        <f ca="1">Y169/(-Y29)</f>
        <v>0.13761244159941527</v>
      </c>
      <c r="Z188" s="411">
        <f ca="1">Drivers!Z145</f>
        <v>0.11</v>
      </c>
      <c r="AA188" s="411">
        <f ca="1">Drivers!AA145</f>
        <v>0.11</v>
      </c>
      <c r="AB188" s="411">
        <f ca="1">Drivers!AB145</f>
        <v>0.125</v>
      </c>
      <c r="AC188" s="411">
        <f ca="1">Drivers!AC145</f>
        <v>0.125</v>
      </c>
      <c r="AD188" s="214">
        <f ca="1">AD169/(-AD29)</f>
        <v>0.11637547984192419</v>
      </c>
      <c r="AE188" s="412">
        <f ca="1">Drivers!AE145</f>
        <v>0.12</v>
      </c>
      <c r="AF188" s="412">
        <f ca="1">Drivers!AF145</f>
        <v>0.12</v>
      </c>
      <c r="AG188" s="412">
        <f ca="1">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 ca="1">F$25</f>
        <v>1e-12</v>
      </c>
      <c r="G190" s="63">
        <f t="shared" ref="G190:AG190" si="287" ca="1">G$63</f>
        <v>1e-12</v>
      </c>
      <c r="H190" s="63">
        <f ca="1">H$63</f>
        <v>1e-12</v>
      </c>
      <c r="I190" s="63">
        <f ca="1">I$63</f>
        <v>1e-12</v>
      </c>
      <c r="J190" s="63">
        <f ca="1">J$63</f>
        <v>2023</v>
      </c>
      <c r="K190" s="63">
        <f ca="1">K$63</f>
        <v>1e-12</v>
      </c>
      <c r="L190" s="63">
        <f ca="1">L$63</f>
        <v>1e-12</v>
      </c>
      <c r="M190" s="63">
        <f ca="1">M$63</f>
        <v>1e-12</v>
      </c>
      <c r="N190" s="63">
        <f ca="1">N$63</f>
        <v>1e-12</v>
      </c>
      <c r="O190" s="63">
        <f ca="1">O$63</f>
        <v>2024</v>
      </c>
      <c r="P190" s="63">
        <f ca="1">P$63</f>
        <v>1e-12</v>
      </c>
      <c r="Q190" s="63">
        <f ca="1">Q$63</f>
        <v>1e-12</v>
      </c>
      <c r="R190" s="63">
        <f ca="1">R$63</f>
        <v>1e-12</v>
      </c>
      <c r="S190" s="63">
        <f ca="1">S$63</f>
        <v>1e-12</v>
      </c>
      <c r="T190" s="63">
        <f ca="1">T$63</f>
        <v>2025</v>
      </c>
      <c r="U190" s="63">
        <f ca="1">U$63</f>
        <v>1e-12</v>
      </c>
      <c r="V190" s="63" t="str">
        <f ca="1">V$63</f>
        <v>2Q26</v>
      </c>
      <c r="W190" s="63" t="str">
        <f ca="1">W$63</f>
        <v>3Q26e</v>
      </c>
      <c r="X190" s="63" t="str">
        <f ca="1">X$63</f>
        <v>4Q26e</v>
      </c>
      <c r="Y190" s="63" t="str">
        <f ca="1">Y$63</f>
        <v>2026e</v>
      </c>
      <c r="Z190" s="63" t="str">
        <f ca="1">Z$63</f>
        <v>1Q27e</v>
      </c>
      <c r="AA190" s="63" t="str">
        <f ca="1">AA$63</f>
        <v>2Q27e</v>
      </c>
      <c r="AB190" s="63" t="str">
        <f ca="1">AB$63</f>
        <v>3Q27e</v>
      </c>
      <c r="AC190" s="63" t="str">
        <f ca="1">AC$63</f>
        <v>4Q27e</v>
      </c>
      <c r="AD190" s="63" t="str">
        <f ca="1">AD$63</f>
        <v>2027e</v>
      </c>
      <c r="AE190" s="63" t="str">
        <f ca="1">AE$63</f>
        <v>2028e</v>
      </c>
      <c r="AF190" s="63" t="str">
        <f ca="1">AF$63</f>
        <v>2029e</v>
      </c>
      <c r="AG190" s="64" t="str">
        <f ca="1">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 ca="1">W196</f>
        <v>18925</v>
      </c>
      <c r="Y192" s="282">
        <f ca="1">U192</f>
        <v>1e-12</v>
      </c>
      <c r="Z192" s="281">
        <f t="shared" ref="Z192:AC192" si="288" ca="1">Y196</f>
        <v>18963.9382</v>
      </c>
      <c r="AA192" s="281">
        <f ca="1">Z196</f>
        <v>19248.6551535</v>
      </c>
      <c r="AB192" s="281">
        <f ca="1">AA196</f>
        <v>19556.13592455375</v>
      </c>
      <c r="AC192" s="281">
        <f ca="1">AB196</f>
        <v>19652.04946651726</v>
      </c>
      <c r="AD192" s="282">
        <f ca="1">Y196</f>
        <v>18963.9382</v>
      </c>
      <c r="AE192" s="282">
        <f t="shared" ref="AE192:AG192" si="289" ca="1">AD196</f>
        <v>19724.377225464246</v>
      </c>
      <c r="AF192" s="282">
        <f ca="1">AE196</f>
        <v>20451.053220703907</v>
      </c>
      <c r="AG192" s="282">
        <f ca="1">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290" ca="1">SUM(F193:I193)</f>
        <v>1174</v>
      </c>
      <c r="K193" s="413">
        <v>205</v>
      </c>
      <c r="L193" s="413">
        <v>321</v>
      </c>
      <c r="M193" s="413">
        <v>401</v>
      </c>
      <c r="N193" s="413">
        <v>557</v>
      </c>
      <c r="O193" s="329">
        <f t="shared" ref="O193:O195" si="291" ca="1">SUM(K193:N193)</f>
        <v>1484</v>
      </c>
      <c r="P193" s="413">
        <v>328</v>
      </c>
      <c r="Q193" s="413">
        <v>382</v>
      </c>
      <c r="R193" s="413">
        <v>462</v>
      </c>
      <c r="S193" s="413">
        <v>557</v>
      </c>
      <c r="T193" s="329">
        <f t="shared" ref="T193:T195" si="292" ca="1">SUM(P193:S193)</f>
        <v>1729</v>
      </c>
      <c r="U193" s="413">
        <v>461</v>
      </c>
      <c r="V193" s="413">
        <f ca="1">846-U193</f>
        <v>385</v>
      </c>
      <c r="W193" s="413">
        <f ca="1">1256-SUM(U193:V193)</f>
        <v>410</v>
      </c>
      <c r="X193" s="330">
        <f ca="1">X200*X28</f>
        <v>370.1257</v>
      </c>
      <c r="Y193" s="329">
        <f t="shared" ref="Y193:Y195" si="293" ca="1">SUM(U193:X193)</f>
        <v>1626.1257</v>
      </c>
      <c r="Z193" s="330">
        <f t="shared" ref="Z193:AC193" si="294" ca="1">Z200*Z28</f>
        <v>616.585872</v>
      </c>
      <c r="AA193" s="330">
        <f ca="1">AA200*AA28</f>
        <v>644.3322362399999</v>
      </c>
      <c r="AB193" s="330">
        <f ca="1">AB200*AB28</f>
        <v>438.14592064320004</v>
      </c>
      <c r="AC193" s="330">
        <f ca="1">AC200*AC28</f>
        <v>416.23862461104</v>
      </c>
      <c r="AD193" s="329">
        <f t="shared" ref="AD193:AD195" si="295" ca="1">SUM(Z193:AC193)</f>
        <v>2115.30265349424</v>
      </c>
      <c r="AE193" s="329">
        <f t="shared" ref="AE193:AG193" si="296" ca="1">AE200*AE28</f>
        <v>2146.8311554730876</v>
      </c>
      <c r="AF193" s="329">
        <f ca="1">AF200*AF28</f>
        <v>2189.7677785825495</v>
      </c>
      <c r="AG193" s="329">
        <f ca="1">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 ca="1">SUM(F194:I194)</f>
        <v>1e-12</v>
      </c>
      <c r="K194" s="358"/>
      <c r="L194" s="358"/>
      <c r="M194" s="358"/>
      <c r="N194" s="358"/>
      <c r="O194" s="366">
        <f ca="1">SUM(K194:N194)</f>
        <v>1e-12</v>
      </c>
      <c r="P194" s="358"/>
      <c r="Q194" s="358"/>
      <c r="R194" s="358"/>
      <c r="S194" s="358"/>
      <c r="T194" s="366">
        <f ca="1">SUM(P194:S194)</f>
        <v>1e-12</v>
      </c>
      <c r="U194" s="358"/>
      <c r="V194" s="358">
        <f ca="1">-409+207</f>
        <v>-202</v>
      </c>
      <c r="W194" s="358">
        <f ca="1">-425+216</f>
        <v>-209</v>
      </c>
      <c r="X194" s="359">
        <f ca="1">-X201*X192/4</f>
        <v>-331.18750000000006</v>
      </c>
      <c r="Y194" s="329">
        <f ca="1">SUM(U194:X194)</f>
        <v>-1133.1875</v>
      </c>
      <c r="Z194" s="359">
        <f t="shared" ref="Z194:AC194" si="297" ca="1">-Z201*Z192/4</f>
        <v>-331.86891850000006</v>
      </c>
      <c r="AA194" s="359">
        <f ca="1">-AA201*AA192/4</f>
        <v>-336.85146518625004</v>
      </c>
      <c r="AB194" s="359">
        <f ca="1">-AB201*AB192/4</f>
        <v>-342.23237867969067</v>
      </c>
      <c r="AC194" s="359">
        <f ca="1">-AC201*AC192/4</f>
        <v>-343.91086566405204</v>
      </c>
      <c r="AD194" s="329">
        <f ca="1">SUM(Z194:AC194)</f>
        <v>-1354.863628029993</v>
      </c>
      <c r="AE194" s="162">
        <f t="shared" ref="AE194:AG194" si="298" ca="1">-AE201*AE192</f>
        <v>-1420.1551602334257</v>
      </c>
      <c r="AF194" s="162">
        <f ca="1">-AF201*AF192</f>
        <v>-1472.475831890681</v>
      </c>
      <c r="AG194" s="162">
        <f ca="1">-AG201*AG192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 ca="1">SUM(F195:I195)</f>
        <v>1e-12</v>
      </c>
      <c r="K195" s="354">
        <v>0</v>
      </c>
      <c r="L195" s="354">
        <v>0</v>
      </c>
      <c r="M195" s="354">
        <v>0</v>
      </c>
      <c r="N195" s="354">
        <v>0</v>
      </c>
      <c r="O195" s="414">
        <f ca="1">SUM(K195:N195)</f>
        <v>1e-12</v>
      </c>
      <c r="P195" s="354">
        <v>0</v>
      </c>
      <c r="Q195" s="354">
        <v>0</v>
      </c>
      <c r="R195" s="354">
        <v>0</v>
      </c>
      <c r="S195" s="354">
        <v>0</v>
      </c>
      <c r="T195" s="414">
        <f ca="1">SUM(P195:S195)</f>
        <v>1e-12</v>
      </c>
      <c r="U195" s="354">
        <v>-64</v>
      </c>
      <c r="V195" s="354">
        <f ca="1">-78-U195</f>
        <v>-14</v>
      </c>
      <c r="W195" s="354">
        <v>0</v>
      </c>
      <c r="X195" s="385">
        <f ca="1">-Drivers!X97</f>
        <v>1e-12</v>
      </c>
      <c r="Y195" s="414">
        <f ca="1">SUM(U195:X195)</f>
        <v>-78</v>
      </c>
      <c r="Z195" s="385">
        <f ca="1">-Drivers!Z97</f>
        <v>1e-12</v>
      </c>
      <c r="AA195" s="385">
        <f ca="1">-Drivers!AA97</f>
        <v>1e-12</v>
      </c>
      <c r="AB195" s="385">
        <f ca="1">-Drivers!AB97</f>
        <v>1e-12</v>
      </c>
      <c r="AC195" s="385">
        <f ca="1">-Drivers!AC97</f>
        <v>1e-12</v>
      </c>
      <c r="AD195" s="414">
        <f ca="1">SUM(Z195:AC195)</f>
        <v>1e-12</v>
      </c>
      <c r="AE195" s="391">
        <f ca="1">-Drivers!AE97</f>
        <v>1e-12</v>
      </c>
      <c r="AF195" s="391">
        <f ca="1">-Drivers!AF97</f>
        <v>1e-12</v>
      </c>
      <c r="AG195" s="391">
        <f ca="1">-Drivers!AG97</f>
        <v>1e-12</v>
      </c>
      <c r="AH195" s="16"/>
      <c r="AI195" s="16"/>
      <c r="AJ195" s="16"/>
      <c r="AK195" s="16"/>
    </row>
    <row r="196" ht="13.5" customHeight="1" spans="1:37" x14ac:dyDescent="0.25">
      <c r="A196" s="264"/>
      <c r="B196" s="16"/>
      <c r="C196" s="16" t="s">
        <v>377</v>
      </c>
      <c r="D196" s="16"/>
      <c r="E196" s="16"/>
      <c r="F196" s="353">
        <f t="shared" ref="F196:W196" si="299" ca="1">F126</f>
        <v>117560</v>
      </c>
      <c r="G196" s="353">
        <f ca="1">G126</f>
        <v>121208</v>
      </c>
      <c r="H196" s="353">
        <f ca="1">H126</f>
        <v>125705</v>
      </c>
      <c r="I196" s="353">
        <f ca="1">I126</f>
        <v>134345</v>
      </c>
      <c r="J196" s="282">
        <f ca="1">J126</f>
        <v>134345</v>
      </c>
      <c r="K196" s="353">
        <f ca="1">K126</f>
        <v>143182</v>
      </c>
      <c r="L196" s="353">
        <f ca="1">L126</f>
        <v>151155</v>
      </c>
      <c r="M196" s="353">
        <f ca="1">M126</f>
        <v>161270</v>
      </c>
      <c r="N196" s="353">
        <f ca="1">N126</f>
        <v>171036</v>
      </c>
      <c r="O196" s="282">
        <f ca="1">O126</f>
        <v>171036</v>
      </c>
      <c r="P196" s="353">
        <f ca="1">P126</f>
        <v>185062</v>
      </c>
      <c r="Q196" s="353">
        <f ca="1">Q126</f>
        <v>203231</v>
      </c>
      <c r="R196" s="353">
        <f ca="1">R126</f>
        <v>223787</v>
      </c>
      <c r="S196" s="353">
        <f ca="1">S126</f>
        <v>246597</v>
      </c>
      <c r="T196" s="282">
        <f ca="1">T126</f>
        <v>246597</v>
      </c>
      <c r="U196" s="353">
        <f ca="1">U126</f>
        <v>281020</v>
      </c>
      <c r="V196" s="353">
        <f ca="1">V126</f>
        <v>19031</v>
      </c>
      <c r="W196" s="353">
        <f ca="1">W126</f>
        <v>18925</v>
      </c>
      <c r="X196" s="281">
        <f ca="1">SUM(X192:X195)</f>
        <v>18963.9382</v>
      </c>
      <c r="Y196" s="282">
        <f ca="1">X196</f>
        <v>18963.9382</v>
      </c>
      <c r="Z196" s="281">
        <f t="shared" ref="Z196:AG196" si="300" ca="1">SUM(Z192:Z195)</f>
        <v>19248.6551535</v>
      </c>
      <c r="AA196" s="281">
        <f ca="1">SUM(AA192:AA195)</f>
        <v>19556.13592455375</v>
      </c>
      <c r="AB196" s="281">
        <f ca="1">SUM(AB192:AB195)</f>
        <v>19652.04946651726</v>
      </c>
      <c r="AC196" s="281">
        <f ca="1">SUM(AC192:AC195)</f>
        <v>19724.377225464246</v>
      </c>
      <c r="AD196" s="282">
        <f ca="1">SUM(AD192:AD195)</f>
        <v>19724.377225464246</v>
      </c>
      <c r="AE196" s="282">
        <f ca="1">SUM(AE192:AE195)</f>
        <v>20451.053220703907</v>
      </c>
      <c r="AF196" s="282">
        <f ca="1">SUM(AF192:AF195)</f>
        <v>21168.345167395775</v>
      </c>
      <c r="AG196" s="282">
        <f ca="1">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01" ca="1">F193/F28</f>
        <v>0.003209766862023013</v>
      </c>
      <c r="G200" s="410">
        <f ca="1">G193/G28</f>
        <v>0.004275910138866548</v>
      </c>
      <c r="H200" s="410">
        <f ca="1">H193/H28</f>
        <v>0.003950816893327944</v>
      </c>
      <c r="I200" s="410">
        <f ca="1">I193/I28</f>
        <v>0.003800254895145406</v>
      </c>
      <c r="J200" s="214">
        <f ca="1">J193/J28</f>
        <v>0.0038192027170341645</v>
      </c>
      <c r="K200" s="410">
        <f ca="1">K193/K28</f>
        <v>0.0025453506996610336</v>
      </c>
      <c r="L200" s="410">
        <f ca="1">L193/L28</f>
        <v>0.003787968185787449</v>
      </c>
      <c r="M200" s="410">
        <f ca="1">M193/M28</f>
        <v>0.004542982734399782</v>
      </c>
      <c r="N200" s="410">
        <f ca="1">N193/N28</f>
        <v>0.00577387554551203</v>
      </c>
      <c r="O200" s="214">
        <f ca="1">O193/O28</f>
        <v>0.004239781954070933</v>
      </c>
      <c r="P200" s="410">
        <f ca="1">P193/P28</f>
        <v>0.0036349934614446884</v>
      </c>
      <c r="Q200" s="410">
        <f ca="1">Q193/Q28</f>
        <v>0.0039615049570664125</v>
      </c>
      <c r="R200" s="410">
        <f ca="1">R193/R28</f>
        <v>0.004514099232016884</v>
      </c>
      <c r="S200" s="410">
        <f ca="1">S193/S28</f>
        <v>0.0048933048695850795</v>
      </c>
      <c r="T200" s="214">
        <f ca="1">T193/T28</f>
        <v>0.004292058574559934</v>
      </c>
      <c r="U200" s="410">
        <f ca="1">U193/U28</f>
        <v>0.004194875154691709</v>
      </c>
      <c r="V200" s="410">
        <f ca="1">V193/V28</f>
        <v>0.013964454116793616</v>
      </c>
      <c r="W200" s="410">
        <f ca="1">W193/W28</f>
        <v>0.017889868225848676</v>
      </c>
      <c r="X200" s="411">
        <f ca="1">Drivers!X92</f>
        <v>0.017</v>
      </c>
      <c r="Y200" s="214">
        <f ca="1">Y193/Y28</f>
        <v>0.016819304711006483</v>
      </c>
      <c r="Z200" s="411">
        <f ca="1">Drivers!Z92</f>
        <v>0.024</v>
      </c>
      <c r="AA200" s="411">
        <f ca="1">Drivers!AA92</f>
        <v>0.022</v>
      </c>
      <c r="AB200" s="411">
        <f ca="1">Drivers!AB92</f>
        <v>0.017</v>
      </c>
      <c r="AC200" s="411">
        <f ca="1">Drivers!AC92</f>
        <v>0.017</v>
      </c>
      <c r="AD200" s="214">
        <f ca="1">AD193/AD28</f>
        <v>0.02010040427318712</v>
      </c>
      <c r="AE200" s="412">
        <f ca="1">Drivers!AE92</f>
        <v>0.02</v>
      </c>
      <c r="AF200" s="412">
        <f ca="1">Drivers!AF92</f>
        <v>0.02</v>
      </c>
      <c r="AG200" s="412">
        <f ca="1">Drivers!AG92</f>
        <v>0.021</v>
      </c>
      <c r="AH200" s="16"/>
      <c r="AI200" s="16"/>
      <c r="AJ200" s="16"/>
      <c r="AK200" s="16"/>
    </row>
    <row r="201" ht="13.5" customHeight="1" spans="1:37" x14ac:dyDescent="0.25">
      <c r="A201" s="264"/>
      <c r="B201" s="16"/>
      <c r="C201" s="16" t="s">
        <v>379</v>
      </c>
      <c r="D201" s="16"/>
      <c r="E201" s="16"/>
      <c r="F201" s="410"/>
      <c r="G201" s="410">
        <f t="shared" ref="G201:I201" si="302" ca="1">-G194*4/AVERAGE(F196:G196)</f>
        <v>0.07136946628051304</v>
      </c>
      <c r="H201" s="410">
        <f ca="1">-H194*4/AVERAGE(G196:H196)</f>
        <v>0.09093056831605198</v>
      </c>
      <c r="I201" s="410">
        <f ca="1">-I194*4/AVERAGE(H196:I196)</f>
        <v>0.07260072279480659</v>
      </c>
      <c r="J201" s="214">
        <f ca="1">-J194/AVERAGE(F196:I196)</f>
        <v>0.07770923487708314</v>
      </c>
      <c r="K201" s="410">
        <f t="shared" ref="K201:N201" si="303" ca="1">-K194*4/AVERAGE(J196:K196)</f>
        <v>0.06604340932699142</v>
      </c>
      <c r="L201" s="410">
        <f ca="1">-L194*4/AVERAGE(K196:L196)</f>
        <v>0.06844001870547135</v>
      </c>
      <c r="M201" s="410">
        <f ca="1">-M194*4/AVERAGE(L196:M196)</f>
        <v>0.06780773226882485</v>
      </c>
      <c r="N201" s="410">
        <f ca="1">-N194*4/AVERAGE(M196:N196)</f>
        <v>0.07321814254859611</v>
      </c>
      <c r="O201" s="214">
        <f ca="1">-O194/AVERAGE(J196,O196)</f>
        <v>0.06803051130697285</v>
      </c>
      <c r="P201" s="410">
        <f t="shared" ref="P201:S201" si="304" ca="1">-P194*4/AVERAGE(O196:P196)</f>
        <v>0.07016411084207694</v>
      </c>
      <c r="Q201" s="410">
        <f ca="1">-Q194*4/AVERAGE(P196:Q196)</f>
        <v>0.0704874302804947</v>
      </c>
      <c r="R201" s="410">
        <f ca="1">-R194*4/AVERAGE(Q196:R196)</f>
        <v>0.07614961791124816</v>
      </c>
      <c r="S201" s="410">
        <f ca="1">-S194*4/AVERAGE(R196:S196)</f>
        <v>0.07487401007919367</v>
      </c>
      <c r="T201" s="214">
        <f ca="1">-T194/AVERAGE(O196,T196)</f>
        <v>0.06712118302285384</v>
      </c>
      <c r="U201" s="410">
        <f t="shared" ref="U201:W201" si="305" ca="1">-U194*4/AVERAGE(T196:U196)</f>
        <v>0.07439471055510631</v>
      </c>
      <c r="V201" s="410">
        <f ca="1">-V194*4/AVERAGE(U196:V196)</f>
        <v>0.042425833552113414</v>
      </c>
      <c r="W201" s="410">
        <f ca="1">-W194*4/AVERAGE(V196:W196)</f>
        <v>0.04405100642849615</v>
      </c>
      <c r="X201" s="411">
        <f ca="1">Drivers!X72</f>
        <v>0.07</v>
      </c>
      <c r="Y201" s="214">
        <f ca="1">-Y194/AVERAGE(T196,Y196)</f>
        <v>0.054024417503968955</v>
      </c>
      <c r="Z201" s="411">
        <f ca="1">Drivers!Z72</f>
        <v>0.07</v>
      </c>
      <c r="AA201" s="411">
        <f ca="1">Drivers!AA72</f>
        <v>0.07</v>
      </c>
      <c r="AB201" s="411">
        <f ca="1">Drivers!AB72</f>
        <v>0.07</v>
      </c>
      <c r="AC201" s="411">
        <f ca="1">Drivers!AC72</f>
        <v>0.07</v>
      </c>
      <c r="AD201" s="214">
        <f ca="1">-AD194/AVERAGE(Y196,AD196)</f>
        <v>0.07003993909428458</v>
      </c>
      <c r="AE201" s="412">
        <f ca="1">Drivers!AE72</f>
        <v>0.072</v>
      </c>
      <c r="AF201" s="412">
        <f ca="1">Drivers!AF72</f>
        <v>0.072</v>
      </c>
      <c r="AG201" s="412">
        <f ca="1">Drivers!AG72</f>
        <v>0.072</v>
      </c>
      <c r="AH201" s="16"/>
      <c r="AI201" s="16"/>
      <c r="AJ201" s="16"/>
      <c r="AK201" s="16"/>
    </row>
    <row r="202" ht="13.5" customHeight="1" spans="1:37" x14ac:dyDescent="0.25">
      <c r="A202" s="264"/>
      <c r="B202" s="16"/>
      <c r="C202" s="16" t="s">
        <v>380</v>
      </c>
      <c r="D202" s="16"/>
      <c r="E202" s="16"/>
      <c r="F202" s="410">
        <f t="shared" ref="F202:AG202" si="306" ca="1">-F194/F28</f>
        <v>1e-12</v>
      </c>
      <c r="G202" s="410">
        <f ca="1">-G194/G28</f>
        <v>1e-12</v>
      </c>
      <c r="H202" s="410">
        <f ca="1">-H194/H28</f>
        <v>1e-12</v>
      </c>
      <c r="I202" s="410">
        <f ca="1">-I194/I28</f>
        <v>1e-12</v>
      </c>
      <c r="J202" s="214">
        <f ca="1">-J194/J28</f>
        <v>1e-12</v>
      </c>
      <c r="K202" s="410">
        <f ca="1">-K194/K28</f>
        <v>1e-12</v>
      </c>
      <c r="L202" s="410">
        <f ca="1">-L194/L28</f>
        <v>1e-12</v>
      </c>
      <c r="M202" s="410">
        <f ca="1">-M194/M28</f>
        <v>1e-12</v>
      </c>
      <c r="N202" s="410">
        <f ca="1">-N194/N28</f>
        <v>1e-12</v>
      </c>
      <c r="O202" s="214">
        <f ca="1">-O194/O28</f>
        <v>1e-12</v>
      </c>
      <c r="P202" s="410">
        <f ca="1">-P194/P28</f>
        <v>1e-12</v>
      </c>
      <c r="Q202" s="410">
        <f ca="1">-Q194/Q28</f>
        <v>1e-12</v>
      </c>
      <c r="R202" s="410">
        <f ca="1">-R194/R28</f>
        <v>1e-12</v>
      </c>
      <c r="S202" s="410">
        <f ca="1">-S194/S28</f>
        <v>1e-12</v>
      </c>
      <c r="T202" s="214">
        <f ca="1">-T194/T28</f>
        <v>1e-12</v>
      </c>
      <c r="U202" s="410">
        <f ca="1">-U194/U28</f>
        <v>1e-12</v>
      </c>
      <c r="V202" s="410">
        <f ca="1">-V194/V28</f>
        <v>0.007326804497642365</v>
      </c>
      <c r="W202" s="410">
        <f ca="1">-W194/W28</f>
        <v>0.009119469412688716</v>
      </c>
      <c r="X202" s="415">
        <f ca="1">-X194/X28</f>
        <v>0.015211555155451245</v>
      </c>
      <c r="Y202" s="214">
        <f ca="1">-Y194/Y28</f>
        <v>0.011720758030700615</v>
      </c>
      <c r="Z202" s="415">
        <f ca="1">-Z194/Z28</f>
        <v>0.012917671983246483</v>
      </c>
      <c r="AA202" s="415">
        <f ca="1">-AA194/AA28</f>
        <v>0.011501414669771639</v>
      </c>
      <c r="AB202" s="415">
        <f ca="1">-AB194/AB28</f>
        <v>0.013278568083012084</v>
      </c>
      <c r="AC202" s="415">
        <f ca="1">-AC194/AC28</f>
        <v>0.014045992780588814</v>
      </c>
      <c r="AD202" s="214">
        <f ca="1">-AD194/AD28</f>
        <v>0.012874425611603874</v>
      </c>
      <c r="AE202" s="214">
        <f ca="1">-AE194/AE28</f>
        <v>0.013230245486357053</v>
      </c>
      <c r="AF202" s="214">
        <f ca="1">-AF194/AF28</f>
        <v>0.01344869393268563</v>
      </c>
      <c r="AG202" s="214">
        <f ca="1">-AG194/AG28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 ca="1">F$25</f>
        <v>1e-12</v>
      </c>
      <c r="G204" s="63">
        <f t="shared" ref="G204:AG204" si="307" ca="1">G$63</f>
        <v>1e-12</v>
      </c>
      <c r="H204" s="63">
        <f ca="1">H$63</f>
        <v>1e-12</v>
      </c>
      <c r="I204" s="63">
        <f ca="1">I$63</f>
        <v>1e-12</v>
      </c>
      <c r="J204" s="63">
        <f ca="1">J$63</f>
        <v>2023</v>
      </c>
      <c r="K204" s="63">
        <f ca="1">K$63</f>
        <v>1e-12</v>
      </c>
      <c r="L204" s="63">
        <f ca="1">L$63</f>
        <v>1e-12</v>
      </c>
      <c r="M204" s="63">
        <f ca="1">M$63</f>
        <v>1e-12</v>
      </c>
      <c r="N204" s="63">
        <f ca="1">N$63</f>
        <v>1e-12</v>
      </c>
      <c r="O204" s="63">
        <f ca="1">O$63</f>
        <v>2024</v>
      </c>
      <c r="P204" s="63">
        <f ca="1">P$63</f>
        <v>1e-12</v>
      </c>
      <c r="Q204" s="63">
        <f ca="1">Q$63</f>
        <v>1e-12</v>
      </c>
      <c r="R204" s="63">
        <f ca="1">R$63</f>
        <v>1e-12</v>
      </c>
      <c r="S204" s="63">
        <f ca="1">S$63</f>
        <v>1e-12</v>
      </c>
      <c r="T204" s="63">
        <f ca="1">T$63</f>
        <v>2025</v>
      </c>
      <c r="U204" s="63">
        <f ca="1">U$63</f>
        <v>1e-12</v>
      </c>
      <c r="V204" s="63" t="str">
        <f ca="1">V$63</f>
        <v>2Q26</v>
      </c>
      <c r="W204" s="63" t="str">
        <f ca="1">W$63</f>
        <v>3Q26e</v>
      </c>
      <c r="X204" s="63" t="str">
        <f ca="1">X$63</f>
        <v>4Q26e</v>
      </c>
      <c r="Y204" s="63" t="str">
        <f ca="1">Y$63</f>
        <v>2026e</v>
      </c>
      <c r="Z204" s="63" t="str">
        <f ca="1">Z$63</f>
        <v>1Q27e</v>
      </c>
      <c r="AA204" s="63" t="str">
        <f ca="1">AA$63</f>
        <v>2Q27e</v>
      </c>
      <c r="AB204" s="63" t="str">
        <f ca="1">AB$63</f>
        <v>3Q27e</v>
      </c>
      <c r="AC204" s="63" t="str">
        <f ca="1">AC$63</f>
        <v>4Q27e</v>
      </c>
      <c r="AD204" s="63" t="str">
        <f ca="1">AD$63</f>
        <v>2027e</v>
      </c>
      <c r="AE204" s="63" t="str">
        <f ca="1">AE$63</f>
        <v>2028e</v>
      </c>
      <c r="AF204" s="63" t="str">
        <f ca="1">AF$63</f>
        <v>2029e</v>
      </c>
      <c r="AG204" s="64" t="str">
        <f ca="1">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08" ca="1">E210</f>
        <v>1e-12</v>
      </c>
      <c r="G206" s="353">
        <f ca="1">F210</f>
        <v>1726</v>
      </c>
      <c r="H206" s="353">
        <f ca="1">G210</f>
        <v>1730</v>
      </c>
      <c r="I206" s="353">
        <f ca="1">H210</f>
        <v>1599</v>
      </c>
      <c r="J206" s="282">
        <f ca="1">F206</f>
        <v>1e-12</v>
      </c>
      <c r="K206" s="353">
        <f t="shared" ref="K206:N206" si="309" ca="1">J210</f>
        <v>1e-12</v>
      </c>
      <c r="L206" s="353">
        <f ca="1">K210</f>
        <v>1e-12</v>
      </c>
      <c r="M206" s="353">
        <f ca="1">L210</f>
        <v>1e-12</v>
      </c>
      <c r="N206" s="353">
        <f ca="1">M210</f>
        <v>1e-12</v>
      </c>
      <c r="O206" s="282">
        <f ca="1">K206</f>
        <v>1e-12</v>
      </c>
      <c r="P206" s="353">
        <f t="shared" ref="P206:S206" si="310" ca="1">O210</f>
        <v>1e-12</v>
      </c>
      <c r="Q206" s="353">
        <f ca="1">P210</f>
        <v>1e-12</v>
      </c>
      <c r="R206" s="353">
        <f ca="1">Q210</f>
        <v>1e-12</v>
      </c>
      <c r="S206" s="353">
        <f ca="1">R210</f>
        <v>1e-12</v>
      </c>
      <c r="T206" s="282">
        <f ca="1">P206</f>
        <v>1e-12</v>
      </c>
      <c r="U206" s="353">
        <f t="shared" ref="U206:X206" si="311" ca="1">T210</f>
        <v>1088</v>
      </c>
      <c r="V206" s="353">
        <f ca="1">U210</f>
        <v>9249</v>
      </c>
      <c r="W206" s="353">
        <f ca="1">V210</f>
        <v>1e-12</v>
      </c>
      <c r="X206" s="281">
        <f ca="1">W210</f>
        <v>1e-12</v>
      </c>
      <c r="Y206" s="282">
        <f ca="1">U206</f>
        <v>1088</v>
      </c>
      <c r="Z206" s="281">
        <f t="shared" ref="Z206:AC206" si="312" ca="1">Y210</f>
        <v>1e-12</v>
      </c>
      <c r="AA206" s="281">
        <f ca="1">Z210</f>
        <v>1e-12</v>
      </c>
      <c r="AB206" s="281">
        <f ca="1">AA210</f>
        <v>1e-12</v>
      </c>
      <c r="AC206" s="281">
        <f ca="1">AB210</f>
        <v>1e-12</v>
      </c>
      <c r="AD206" s="282">
        <f ca="1">Z206</f>
        <v>1e-12</v>
      </c>
      <c r="AE206" s="282">
        <f t="shared" ref="AE206:AG206" si="313" ca="1">AD210</f>
        <v>1e-12</v>
      </c>
      <c r="AF206" s="282">
        <f ca="1">AE210</f>
        <v>1e-12</v>
      </c>
      <c r="AG206" s="282">
        <f ca="1">AF210</f>
        <v>1e-12</v>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14" ca="1">SUM(F207:I207)</f>
        <v>1e-12</v>
      </c>
      <c r="K207" s="413">
        <v>0</v>
      </c>
      <c r="L207" s="413">
        <v>0</v>
      </c>
      <c r="M207" s="413">
        <v>0</v>
      </c>
      <c r="N207" s="413">
        <v>0</v>
      </c>
      <c r="O207" s="329">
        <f t="shared" ref="O207:O209" si="315" ca="1">SUM(K207:N207)</f>
        <v>1e-12</v>
      </c>
      <c r="P207" s="413">
        <v>0</v>
      </c>
      <c r="Q207" s="413">
        <v>0</v>
      </c>
      <c r="R207" s="413">
        <v>0</v>
      </c>
      <c r="S207" s="413">
        <v>0</v>
      </c>
      <c r="T207" s="329">
        <f t="shared" ref="T207:T209" si="316" ca="1">SUM(P207:S207)</f>
        <v>1e-12</v>
      </c>
      <c r="U207" s="413">
        <v>0</v>
      </c>
      <c r="V207" s="413">
        <v>0</v>
      </c>
      <c r="W207" s="413">
        <v>0</v>
      </c>
      <c r="X207" s="417">
        <f ca="1">W207</f>
        <v>1e-12</v>
      </c>
      <c r="Y207" s="329">
        <f t="shared" ref="Y207:Y209" si="317" ca="1">SUM(U207:X207)</f>
        <v>1e-12</v>
      </c>
      <c r="Z207" s="417">
        <f t="shared" ref="Z207:AC207" si="318" ca="1">Y207</f>
        <v>1e-12</v>
      </c>
      <c r="AA207" s="417">
        <f ca="1">Z207</f>
        <v>1e-12</v>
      </c>
      <c r="AB207" s="417">
        <f ca="1">AA207</f>
        <v>1e-12</v>
      </c>
      <c r="AC207" s="417">
        <f ca="1">AB207</f>
        <v>1e-12</v>
      </c>
      <c r="AD207" s="329">
        <f t="shared" ref="AD207:AD209" si="319" ca="1">SUM(Z207:AC207)</f>
        <v>1e-12</v>
      </c>
      <c r="AE207" s="418">
        <f t="shared" ref="AE207:AG207" si="320" ca="1">AD207</f>
        <v>1e-12</v>
      </c>
      <c r="AF207" s="418">
        <f ca="1">AE207</f>
        <v>1e-12</v>
      </c>
      <c r="AG207" s="418">
        <f ca="1">AF207</f>
        <v>1e-12</v>
      </c>
      <c r="AH207" s="16"/>
      <c r="AI207" s="16"/>
      <c r="AJ207" s="16"/>
      <c r="AK207" s="16"/>
    </row>
    <row r="208" ht="13.5" customHeight="1" spans="1:37" x14ac:dyDescent="0.25">
      <c r="A208" s="264"/>
      <c r="B208" s="16"/>
      <c r="C208" s="139" t="s">
        <v>383</v>
      </c>
      <c r="D208" s="16"/>
      <c r="E208" s="16"/>
      <c r="F208" s="328">
        <f t="shared" ref="F208:I208" si="321" ca="1">F34-F194</f>
        <v>1e-12</v>
      </c>
      <c r="G208" s="328">
        <f ca="1">G34-G194</f>
        <v>1e-12</v>
      </c>
      <c r="H208" s="328">
        <f ca="1">H34-H194</f>
        <v>1e-12</v>
      </c>
      <c r="I208" s="328">
        <f ca="1">I34-I194</f>
        <v>1e-12</v>
      </c>
      <c r="J208" s="329">
        <f ca="1">SUM(F208:I208)</f>
        <v>1e-12</v>
      </c>
      <c r="K208" s="328">
        <f t="shared" ref="K208:N208" si="322" ca="1">K34-K194</f>
        <v>1e-12</v>
      </c>
      <c r="L208" s="328">
        <f ca="1">L34-L194</f>
        <v>1e-12</v>
      </c>
      <c r="M208" s="328">
        <f ca="1">M34-M194</f>
        <v>1e-12</v>
      </c>
      <c r="N208" s="328">
        <f ca="1">N34-N194</f>
        <v>1e-12</v>
      </c>
      <c r="O208" s="329">
        <f ca="1">SUM(K208:N208)</f>
        <v>1e-12</v>
      </c>
      <c r="P208" s="328">
        <f t="shared" ref="P208:S208" si="323" ca="1">P34-P194</f>
        <v>1e-12</v>
      </c>
      <c r="Q208" s="328">
        <f ca="1">Q34-Q194</f>
        <v>1e-12</v>
      </c>
      <c r="R208" s="328">
        <f ca="1">R34-R194</f>
        <v>1e-12</v>
      </c>
      <c r="S208" s="328">
        <f ca="1">S34-S194</f>
        <v>1e-12</v>
      </c>
      <c r="T208" s="329">
        <f ca="1">SUM(P208:S208)</f>
        <v>1e-12</v>
      </c>
      <c r="U208" s="328">
        <f t="shared" ref="U208:W208" si="324" ca="1">U34-U194</f>
        <v>1e-12</v>
      </c>
      <c r="V208" s="328">
        <f ca="1">V34-V194</f>
        <v>-207</v>
      </c>
      <c r="W208" s="328">
        <f ca="1">W34-W194</f>
        <v>-216</v>
      </c>
      <c r="X208" s="330">
        <f ca="1">X214*X206/4</f>
        <v>1e-12</v>
      </c>
      <c r="Y208" s="329">
        <f ca="1">SUM(U208:X208)</f>
        <v>-423</v>
      </c>
      <c r="Z208" s="330">
        <f t="shared" ref="Z208:AC208" si="325" ca="1">Z214*Z206/4</f>
        <v>1e-12</v>
      </c>
      <c r="AA208" s="330">
        <f ca="1">AA214*AA206/4</f>
        <v>1e-12</v>
      </c>
      <c r="AB208" s="330">
        <f ca="1">AB214*AB206/4</f>
        <v>1e-12</v>
      </c>
      <c r="AC208" s="330">
        <f ca="1">AC214*AC206/4</f>
        <v>1e-12</v>
      </c>
      <c r="AD208" s="329">
        <f ca="1">SUM(Z208:AC208)</f>
        <v>1e-12</v>
      </c>
      <c r="AE208" s="329">
        <f t="shared" ref="AE208:AG208" si="326" ca="1">AE214*AE206</f>
        <v>1e-12</v>
      </c>
      <c r="AF208" s="329">
        <f ca="1">AF214*AF206</f>
        <v>1e-12</v>
      </c>
      <c r="AG208" s="329">
        <f ca="1">AG214*AG206</f>
        <v>1e-12</v>
      </c>
      <c r="AH208" s="16"/>
      <c r="AI208" s="16"/>
      <c r="AJ208" s="16"/>
      <c r="AK208" s="16"/>
    </row>
    <row r="209" ht="13.5" customHeight="1" spans="1:37" x14ac:dyDescent="0.25">
      <c r="A209" s="264"/>
      <c r="B209" s="16"/>
      <c r="C209" s="139" t="s">
        <v>384</v>
      </c>
      <c r="D209" s="16"/>
      <c r="E209" s="16"/>
      <c r="F209" s="419">
        <v>126</v>
      </c>
      <c r="G209" s="419">
        <v>0</v>
      </c>
      <c r="H209" s="419">
        <v>0</v>
      </c>
      <c r="I209" s="419">
        <v>0</v>
      </c>
      <c r="J209" s="414">
        <f ca="1">SUM(F209:I209)</f>
        <v>126</v>
      </c>
      <c r="K209" s="419">
        <v>0</v>
      </c>
      <c r="L209" s="419">
        <v>0</v>
      </c>
      <c r="M209" s="419">
        <v>0</v>
      </c>
      <c r="N209" s="419">
        <v>0</v>
      </c>
      <c r="O209" s="414">
        <f ca="1">SUM(K209:N209)</f>
        <v>1e-12</v>
      </c>
      <c r="P209" s="419">
        <v>0</v>
      </c>
      <c r="Q209" s="419">
        <v>0</v>
      </c>
      <c r="R209" s="419">
        <v>0</v>
      </c>
      <c r="S209" s="419">
        <v>0</v>
      </c>
      <c r="T209" s="414">
        <f ca="1">SUM(P209:S209)</f>
        <v>1e-12</v>
      </c>
      <c r="U209" s="419">
        <v>0</v>
      </c>
      <c r="V209" s="419">
        <v>0</v>
      </c>
      <c r="W209" s="419">
        <v>0</v>
      </c>
      <c r="X209" s="420">
        <f ca="1">W209</f>
        <v>1e-12</v>
      </c>
      <c r="Y209" s="414">
        <f ca="1">SUM(U209:X209)</f>
        <v>1e-12</v>
      </c>
      <c r="Z209" s="420">
        <f t="shared" ref="Z209:AC209" si="327" ca="1">Y209</f>
        <v>1e-12</v>
      </c>
      <c r="AA209" s="420">
        <f ca="1">Z209</f>
        <v>1e-12</v>
      </c>
      <c r="AB209" s="420">
        <f ca="1">AA209</f>
        <v>1e-12</v>
      </c>
      <c r="AC209" s="420">
        <f ca="1">AB209</f>
        <v>1e-12</v>
      </c>
      <c r="AD209" s="414">
        <f ca="1">SUM(Z209:AC209)</f>
        <v>1e-12</v>
      </c>
      <c r="AE209" s="421">
        <f t="shared" ref="AE209:AG209" si="328" ca="1">AD209</f>
        <v>1e-12</v>
      </c>
      <c r="AF209" s="421">
        <f ca="1">AE209</f>
        <v>1e-12</v>
      </c>
      <c r="AG209" s="421">
        <f ca="1">AF209</f>
        <v>1e-12</v>
      </c>
      <c r="AH209" s="16"/>
      <c r="AI209" s="16"/>
      <c r="AJ209" s="16"/>
      <c r="AK209" s="16"/>
    </row>
    <row r="210" ht="13.5" customHeight="1" spans="1:37" x14ac:dyDescent="0.25">
      <c r="A210" s="264"/>
      <c r="B210" s="16"/>
      <c r="C210" s="16" t="s">
        <v>385</v>
      </c>
      <c r="D210" s="16"/>
      <c r="E210" s="16"/>
      <c r="F210" s="353">
        <f t="shared" ref="F210:W210" si="329" ca="1">F127</f>
        <v>1726</v>
      </c>
      <c r="G210" s="353">
        <f ca="1">G127</f>
        <v>1730</v>
      </c>
      <c r="H210" s="353">
        <f ca="1">H127</f>
        <v>1599</v>
      </c>
      <c r="I210" s="353">
        <f ca="1">I127</f>
        <v>1e-12</v>
      </c>
      <c r="J210" s="282">
        <f ca="1">J127</f>
        <v>1e-12</v>
      </c>
      <c r="K210" s="353">
        <f ca="1">K127</f>
        <v>1e-12</v>
      </c>
      <c r="L210" s="353">
        <f ca="1">L127</f>
        <v>1e-12</v>
      </c>
      <c r="M210" s="353">
        <f ca="1">M127</f>
        <v>1e-12</v>
      </c>
      <c r="N210" s="353">
        <f ca="1">N127</f>
        <v>1e-12</v>
      </c>
      <c r="O210" s="282">
        <f ca="1">O127</f>
        <v>1e-12</v>
      </c>
      <c r="P210" s="353">
        <f ca="1">P127</f>
        <v>1e-12</v>
      </c>
      <c r="Q210" s="353">
        <f ca="1">Q127</f>
        <v>1e-12</v>
      </c>
      <c r="R210" s="353">
        <f ca="1">R127</f>
        <v>1e-12</v>
      </c>
      <c r="S210" s="353">
        <f ca="1">S127</f>
        <v>1088</v>
      </c>
      <c r="T210" s="282">
        <f ca="1">T127</f>
        <v>1088</v>
      </c>
      <c r="U210" s="353">
        <f ca="1">U127</f>
        <v>9249</v>
      </c>
      <c r="V210" s="353">
        <f ca="1">V127</f>
        <v>1e-12</v>
      </c>
      <c r="W210" s="353">
        <f ca="1">W127</f>
        <v>1e-12</v>
      </c>
      <c r="X210" s="281">
        <f ca="1">SUM(X206:X209)</f>
        <v>1e-12</v>
      </c>
      <c r="Y210" s="282">
        <f ca="1">X210</f>
        <v>1e-12</v>
      </c>
      <c r="Z210" s="281">
        <f t="shared" ref="Z210:AC210" si="330" ca="1">SUM(Z206:Z209)</f>
        <v>1e-12</v>
      </c>
      <c r="AA210" s="281">
        <f ca="1">SUM(AA206:AA209)</f>
        <v>1e-12</v>
      </c>
      <c r="AB210" s="281">
        <f ca="1">SUM(AB206:AB209)</f>
        <v>1e-12</v>
      </c>
      <c r="AC210" s="281">
        <f ca="1">SUM(AC206:AC209)</f>
        <v>1e-12</v>
      </c>
      <c r="AD210" s="282">
        <f ca="1">AC210</f>
        <v>1e-12</v>
      </c>
      <c r="AE210" s="282">
        <f t="shared" ref="AE210:AG210" si="331" ca="1">SUM(AE206:AE209)</f>
        <v>1e-12</v>
      </c>
      <c r="AF210" s="282">
        <f ca="1">SUM(AF206:AF209)</f>
        <v>1e-12</v>
      </c>
      <c r="AG210" s="282">
        <f ca="1">SUM(AG206:AG209)</f>
        <v>1e-12</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f ca="1">4*-G208/AVERAGE(F210:G210)</f>
        <v>1e-12</v>
      </c>
      <c r="H214" s="397">
        <f ca="1">4*-H208/AVERAGE(G210:H210)</f>
        <v>1e-12</v>
      </c>
      <c r="I214" s="397">
        <f ca="1">4*-I208/AVERAGE(H210:I210)</f>
        <v>1e-12</v>
      </c>
      <c r="J214" s="398">
        <f ca="1">J208/AVERAGE(F206,I210)</f>
        <v>1e-12</v>
      </c>
      <c r="K214" s="397">
        <f ca="1">4*-K208/AVERAGE(J210:K210)</f>
        <v>1e-12</v>
      </c>
      <c r="L214" s="397">
        <f ca="1">4*-L208/AVERAGE(K210:L210)</f>
        <v>1e-12</v>
      </c>
      <c r="M214" s="397">
        <f ca="1">4*-M208/AVERAGE(L210:M210)</f>
        <v>1e-12</v>
      </c>
      <c r="N214" s="397">
        <f ca="1">4*-N208/AVERAGE(M210:N210)</f>
        <v>1e-12</v>
      </c>
      <c r="O214" s="398">
        <f ca="1">O208/AVERAGE(K206,N210)</f>
        <v>1e-12</v>
      </c>
      <c r="P214" s="397">
        <f ca="1">4*-P208/AVERAGE(O210:P210)</f>
        <v>1e-12</v>
      </c>
      <c r="Q214" s="397">
        <f ca="1">4*-Q208/AVERAGE(P210:Q210)</f>
        <v>1e-12</v>
      </c>
      <c r="R214" s="397">
        <f ca="1">4*-R208/AVERAGE(Q210:R210)</f>
        <v>1e-12</v>
      </c>
      <c r="S214" s="397">
        <f ca="1">4*-S208/AVERAGE(R210:S210)</f>
        <v>1e-12</v>
      </c>
      <c r="T214" s="398">
        <f ca="1">T208/AVERAGE(P206,S210)</f>
        <v>1e-12</v>
      </c>
      <c r="U214" s="397">
        <f ca="1">4*-U208/AVERAGE(T210:U210)</f>
        <v>1e-12</v>
      </c>
      <c r="V214" s="397">
        <f ca="1">4*-V208/AVERAGE(U210:V210)</f>
      </c>
      <c r="W214" s="397">
        <f ca="1">4*-W208/AVERAGE(V210:W210)</f>
      </c>
      <c r="X214" s="422">
        <f ca="1">Drivers!X85</f>
        <v>1e-12</v>
      </c>
      <c r="Y214" s="398">
        <f ca="1">Y208/AVERAGE(U206,X210)</f>
      </c>
      <c r="Z214" s="422">
        <f ca="1">Drivers!Z85</f>
        <v>1e-12</v>
      </c>
      <c r="AA214" s="422">
        <f ca="1">Drivers!AA85</f>
        <v>1e-12</v>
      </c>
      <c r="AB214" s="422">
        <f ca="1">Drivers!AB85</f>
        <v>1e-12</v>
      </c>
      <c r="AC214" s="422">
        <f ca="1">Drivers!AC85</f>
        <v>1e-12</v>
      </c>
      <c r="AD214" s="398">
        <f ca="1">AD208/AVERAGE(Z206,AC210)</f>
      </c>
      <c r="AE214" s="423">
        <f ca="1">Drivers!AE85</f>
        <v>1e-12</v>
      </c>
      <c r="AF214" s="423">
        <f ca="1">Drivers!AF85</f>
        <v>1e-12</v>
      </c>
      <c r="AG214" s="423">
        <f ca="1">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 ca="1">F$25</f>
        <v>1e-12</v>
      </c>
      <c r="G216" s="63">
        <f t="shared" ref="G216:AG216" si="332" ca="1">G$63</f>
        <v>1e-12</v>
      </c>
      <c r="H216" s="63">
        <f ca="1">H$63</f>
        <v>1e-12</v>
      </c>
      <c r="I216" s="63">
        <f ca="1">I$63</f>
        <v>1e-12</v>
      </c>
      <c r="J216" s="63">
        <f ca="1">J$63</f>
        <v>2023</v>
      </c>
      <c r="K216" s="63">
        <f ca="1">K$63</f>
        <v>1e-12</v>
      </c>
      <c r="L216" s="63">
        <f ca="1">L$63</f>
        <v>1e-12</v>
      </c>
      <c r="M216" s="63">
        <f ca="1">M$63</f>
        <v>1e-12</v>
      </c>
      <c r="N216" s="63">
        <f ca="1">N$63</f>
        <v>1e-12</v>
      </c>
      <c r="O216" s="63">
        <f ca="1">O$63</f>
        <v>2024</v>
      </c>
      <c r="P216" s="63">
        <f ca="1">P$63</f>
        <v>1e-12</v>
      </c>
      <c r="Q216" s="63">
        <f ca="1">Q$63</f>
        <v>1e-12</v>
      </c>
      <c r="R216" s="63">
        <f ca="1">R$63</f>
        <v>1e-12</v>
      </c>
      <c r="S216" s="63">
        <f ca="1">S$63</f>
        <v>1e-12</v>
      </c>
      <c r="T216" s="63">
        <f ca="1">T$63</f>
        <v>2025</v>
      </c>
      <c r="U216" s="63">
        <f ca="1">U$63</f>
        <v>1e-12</v>
      </c>
      <c r="V216" s="63" t="str">
        <f ca="1">V$63</f>
        <v>2Q26</v>
      </c>
      <c r="W216" s="63" t="str">
        <f ca="1">W$63</f>
        <v>3Q26e</v>
      </c>
      <c r="X216" s="63" t="str">
        <f ca="1">X$63</f>
        <v>4Q26e</v>
      </c>
      <c r="Y216" s="63" t="str">
        <f ca="1">Y$63</f>
        <v>2026e</v>
      </c>
      <c r="Z216" s="63" t="str">
        <f ca="1">Z$63</f>
        <v>1Q27e</v>
      </c>
      <c r="AA216" s="63" t="str">
        <f ca="1">AA$63</f>
        <v>2Q27e</v>
      </c>
      <c r="AB216" s="63" t="str">
        <f ca="1">AB$63</f>
        <v>3Q27e</v>
      </c>
      <c r="AC216" s="63" t="str">
        <f ca="1">AC$63</f>
        <v>4Q27e</v>
      </c>
      <c r="AD216" s="63" t="str">
        <f ca="1">AD$63</f>
        <v>2027e</v>
      </c>
      <c r="AE216" s="63" t="str">
        <f ca="1">AE$63</f>
        <v>2028e</v>
      </c>
      <c r="AF216" s="63" t="str">
        <f ca="1">AF$63</f>
        <v>2029e</v>
      </c>
      <c r="AG216" s="64" t="str">
        <f ca="1">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33" ca="1">F128</f>
        <v>28994</v>
      </c>
      <c r="G218" s="353">
        <f ca="1">G128</f>
        <v>29210</v>
      </c>
      <c r="H218" s="353">
        <f ca="1">H128</f>
        <v>29146</v>
      </c>
      <c r="I218" s="353">
        <f ca="1">I128</f>
        <v>29198</v>
      </c>
      <c r="J218" s="282">
        <f ca="1">J128</f>
        <v>29198</v>
      </c>
      <c r="K218" s="353">
        <f ca="1">K128</f>
        <v>29183</v>
      </c>
      <c r="L218" s="353">
        <f ca="1">L128</f>
        <v>29185</v>
      </c>
      <c r="M218" s="353">
        <f ca="1">M128</f>
        <v>31935</v>
      </c>
      <c r="N218" s="353">
        <f ca="1">N128</f>
        <v>31885</v>
      </c>
      <c r="O218" s="282">
        <f ca="1">O128</f>
        <v>31885</v>
      </c>
      <c r="P218" s="353">
        <f ca="1">P128</f>
        <v>32173</v>
      </c>
      <c r="Q218" s="353">
        <f ca="1">Q128</f>
        <v>32335</v>
      </c>
      <c r="R218" s="353">
        <f ca="1">R128</f>
        <v>33269</v>
      </c>
      <c r="S218" s="353">
        <f ca="1">S128</f>
        <v>33380</v>
      </c>
      <c r="T218" s="282">
        <f ca="1">T128</f>
        <v>33380</v>
      </c>
      <c r="U218" s="353">
        <f ca="1">U128</f>
        <v>57774</v>
      </c>
      <c r="V218" s="353">
        <f ca="1">V128</f>
        <v>1e-12</v>
      </c>
      <c r="W218" s="353">
        <f ca="1">W128</f>
        <v>1e-12</v>
      </c>
      <c r="X218" s="281">
        <f ca="1">Drivers!X62+W218</f>
        <v>1e-12</v>
      </c>
      <c r="Y218" s="282">
        <f t="shared" ref="Y218:Y219" si="334" ca="1">X218</f>
        <v>1e-12</v>
      </c>
      <c r="Z218" s="281">
        <f ca="1">Drivers!Z62+Y218</f>
        <v>1e-12</v>
      </c>
      <c r="AA218" s="281">
        <f ca="1">Drivers!AA62+Z218</f>
        <v>1e-12</v>
      </c>
      <c r="AB218" s="281">
        <f ca="1">Drivers!AB62+AA218</f>
        <v>1e-12</v>
      </c>
      <c r="AC218" s="281">
        <f ca="1">Drivers!AC62+AB218</f>
        <v>1e-12</v>
      </c>
      <c r="AD218" s="282">
        <f t="shared" ref="AD218:AD219" si="335" ca="1">AC218</f>
        <v>1e-12</v>
      </c>
      <c r="AE218" s="282">
        <f ca="1">Drivers!AE62+AD218</f>
        <v>1e-12</v>
      </c>
      <c r="AF218" s="282">
        <f ca="1">Drivers!AF62+AE218</f>
        <v>1e-12</v>
      </c>
      <c r="AG218" s="282">
        <f ca="1">Drivers!AG62+AF218</f>
        <v>1e-12</v>
      </c>
      <c r="AH218" s="16"/>
      <c r="AI218" s="16"/>
      <c r="AJ218" s="16"/>
      <c r="AK218" s="16"/>
    </row>
    <row r="219" ht="13.5" customHeight="1" spans="1:37" x14ac:dyDescent="0.25">
      <c r="A219" s="264"/>
      <c r="B219" s="16"/>
      <c r="C219" s="139" t="s">
        <v>338</v>
      </c>
      <c r="D219" s="16"/>
      <c r="E219" s="16"/>
      <c r="F219" s="372">
        <f t="shared" ref="F219:W219" si="336" ca="1">F129</f>
        <v>59226</v>
      </c>
      <c r="G219" s="372">
        <f ca="1">G129</f>
        <v>62108</v>
      </c>
      <c r="H219" s="372">
        <f ca="1">H129</f>
        <v>63951</v>
      </c>
      <c r="I219" s="372">
        <f ca="1">I129</f>
        <v>67319</v>
      </c>
      <c r="J219" s="355">
        <f ca="1">J129</f>
        <v>67319</v>
      </c>
      <c r="K219" s="372">
        <f ca="1">K129</f>
        <v>69514</v>
      </c>
      <c r="L219" s="372">
        <f ca="1">L129</f>
        <v>72435</v>
      </c>
      <c r="M219" s="372">
        <f ca="1">M129</f>
        <v>79520</v>
      </c>
      <c r="N219" s="372">
        <f ca="1">N129</f>
        <v>83624</v>
      </c>
      <c r="O219" s="355">
        <f ca="1">O129</f>
        <v>83624</v>
      </c>
      <c r="P219" s="372">
        <f ca="1">P129</f>
        <v>96087</v>
      </c>
      <c r="Q219" s="372">
        <f ca="1">Q129</f>
        <v>100271</v>
      </c>
      <c r="R219" s="372">
        <f ca="1">R129</f>
        <v>105466</v>
      </c>
      <c r="S219" s="372">
        <f ca="1">S129</f>
        <v>108178</v>
      </c>
      <c r="T219" s="355">
        <f ca="1">T129</f>
        <v>108178</v>
      </c>
      <c r="U219" s="372">
        <f ca="1">U129</f>
        <v>142123</v>
      </c>
      <c r="V219" s="372">
        <f ca="1">V129</f>
        <v>5290</v>
      </c>
      <c r="W219" s="372">
        <f ca="1">W129</f>
        <v>5626</v>
      </c>
      <c r="X219" s="356">
        <f ca="1">W219*(1+X232)</f>
        <v>5738.52</v>
      </c>
      <c r="Y219" s="355">
        <f ca="1">X219</f>
        <v>5738.52</v>
      </c>
      <c r="Z219" s="356">
        <f t="shared" ref="Z219:AC219" si="337" ca="1">Y219*(1+Z232)</f>
        <v>5853.290400000001</v>
      </c>
      <c r="AA219" s="356">
        <f ca="1">Z219*(1+AA232)</f>
        <v>5970.356208000001</v>
      </c>
      <c r="AB219" s="356">
        <f ca="1">AA219*(1+AB232)</f>
        <v>6089.7633321600015</v>
      </c>
      <c r="AC219" s="356">
        <f ca="1">AB219*(1+AC232)</f>
        <v>6211.558598803202</v>
      </c>
      <c r="AD219" s="355">
        <f ca="1">AC219</f>
        <v>6211.558598803202</v>
      </c>
      <c r="AE219" s="355">
        <f t="shared" ref="AE219:AG219" si="338" ca="1">AD219*(1+AE232)</f>
        <v>6335.789770779265</v>
      </c>
      <c r="AF219" s="355">
        <f ca="1">AE219*(1+AF232)</f>
        <v>6462.505566194851</v>
      </c>
      <c r="AG219" s="355">
        <f ca="1">AF219*(1+AG232)</f>
        <v>6591.755677518748</v>
      </c>
      <c r="AH219" s="16"/>
      <c r="AI219" s="16"/>
      <c r="AJ219" s="16"/>
      <c r="AK219" s="16"/>
    </row>
    <row r="220" ht="13.5" customHeight="1" spans="1:37" x14ac:dyDescent="0.25">
      <c r="A220" s="264"/>
      <c r="B220" s="16"/>
      <c r="C220" s="16" t="s">
        <v>388</v>
      </c>
      <c r="D220" s="16"/>
      <c r="E220" s="16"/>
      <c r="F220" s="353">
        <f t="shared" ref="F220:AG220" si="339" ca="1">SUM(F218:F219)</f>
        <v>88220</v>
      </c>
      <c r="G220" s="353">
        <f ca="1">SUM(G218:G219)</f>
        <v>91318</v>
      </c>
      <c r="H220" s="353">
        <f ca="1">SUM(H218:H219)</f>
        <v>93097</v>
      </c>
      <c r="I220" s="353">
        <f ca="1">SUM(I218:I219)</f>
        <v>96517</v>
      </c>
      <c r="J220" s="282">
        <f ca="1">SUM(J218:J219)</f>
        <v>96517</v>
      </c>
      <c r="K220" s="353">
        <f ca="1">SUM(K218:K219)</f>
        <v>98697</v>
      </c>
      <c r="L220" s="353">
        <f ca="1">SUM(L218:L219)</f>
        <v>101620</v>
      </c>
      <c r="M220" s="353">
        <f ca="1">SUM(M218:M219)</f>
        <v>111455</v>
      </c>
      <c r="N220" s="353">
        <f ca="1">SUM(N218:N219)</f>
        <v>115509</v>
      </c>
      <c r="O220" s="282">
        <f ca="1">SUM(O218:O219)</f>
        <v>115509</v>
      </c>
      <c r="P220" s="353">
        <f ca="1">SUM(P218:P219)</f>
        <v>128260</v>
      </c>
      <c r="Q220" s="353">
        <f ca="1">SUM(Q218:Q219)</f>
        <v>132606</v>
      </c>
      <c r="R220" s="353">
        <f ca="1">SUM(R218:R219)</f>
        <v>138735</v>
      </c>
      <c r="S220" s="353">
        <f ca="1">SUM(S218:S219)</f>
        <v>141558</v>
      </c>
      <c r="T220" s="282">
        <f ca="1">SUM(T218:T219)</f>
        <v>141558</v>
      </c>
      <c r="U220" s="353">
        <f ca="1">SUM(U218:U219)</f>
        <v>199897</v>
      </c>
      <c r="V220" s="353">
        <f ca="1">SUM(V218:V219)</f>
        <v>5290</v>
      </c>
      <c r="W220" s="353">
        <f ca="1">SUM(W218:W219)</f>
        <v>5626</v>
      </c>
      <c r="X220" s="281">
        <f ca="1">SUM(X218:X219)</f>
        <v>5738.52</v>
      </c>
      <c r="Y220" s="282">
        <f ca="1">SUM(Y218:Y219)</f>
        <v>5738.52</v>
      </c>
      <c r="Z220" s="281">
        <f ca="1">SUM(Z218:Z219)</f>
        <v>5853.290400000001</v>
      </c>
      <c r="AA220" s="281">
        <f ca="1">SUM(AA218:AA219)</f>
        <v>5970.356208000001</v>
      </c>
      <c r="AB220" s="281">
        <f ca="1">SUM(AB218:AB219)</f>
        <v>6089.7633321600015</v>
      </c>
      <c r="AC220" s="281">
        <f ca="1">SUM(AC218:AC219)</f>
        <v>6211.558598803202</v>
      </c>
      <c r="AD220" s="282">
        <f ca="1">SUM(AD218:AD219)</f>
        <v>6211.558598803202</v>
      </c>
      <c r="AE220" s="282">
        <f ca="1">SUM(AE218:AE219)</f>
        <v>6335.789770779265</v>
      </c>
      <c r="AF220" s="282">
        <f ca="1">SUM(AF218:AF219)</f>
        <v>6462.505566194851</v>
      </c>
      <c r="AG220" s="282">
        <f ca="1">SUM(AG218:AG219)</f>
        <v>6591.755677518748</v>
      </c>
      <c r="AH220" s="16"/>
      <c r="AI220" s="16"/>
      <c r="AJ220" s="16"/>
      <c r="AK220" s="16"/>
    </row>
    <row r="221" ht="13.5" customHeight="1" spans="1:37" x14ac:dyDescent="0.25">
      <c r="A221" s="302"/>
      <c r="B221" s="303"/>
      <c r="C221" s="120" t="s">
        <v>389</v>
      </c>
      <c r="D221" s="303"/>
      <c r="E221" s="303"/>
      <c r="F221" s="424"/>
      <c r="G221" s="425">
        <f t="shared" ref="G221:I221" si="340" ca="1">G220-F220</f>
        <v>3098</v>
      </c>
      <c r="H221" s="425">
        <f ca="1">H220-G220</f>
        <v>1779</v>
      </c>
      <c r="I221" s="425">
        <f ca="1">I220-H220</f>
        <v>3420</v>
      </c>
      <c r="J221" s="426"/>
      <c r="K221" s="425">
        <f t="shared" ref="K221:N221" si="341" ca="1">K220-J220</f>
        <v>2180</v>
      </c>
      <c r="L221" s="425">
        <f ca="1">L220-K220</f>
        <v>2923</v>
      </c>
      <c r="M221" s="425">
        <f ca="1">M220-L220</f>
        <v>9835</v>
      </c>
      <c r="N221" s="425">
        <f ca="1">N220-M220</f>
        <v>4054</v>
      </c>
      <c r="O221" s="426">
        <f ca="1">O220-J220</f>
        <v>18992</v>
      </c>
      <c r="P221" s="425">
        <f t="shared" ref="P221:S221" si="342" ca="1">P220-O220</f>
        <v>12751</v>
      </c>
      <c r="Q221" s="425">
        <f ca="1">Q220-P220</f>
        <v>4346</v>
      </c>
      <c r="R221" s="425">
        <f ca="1">R220-Q220</f>
        <v>6129</v>
      </c>
      <c r="S221" s="425">
        <f ca="1">S220-R220</f>
        <v>2823</v>
      </c>
      <c r="T221" s="426">
        <f ca="1">T220-O220</f>
        <v>26049</v>
      </c>
      <c r="U221" s="425">
        <f t="shared" ref="U221:X221" si="343" ca="1">U220-T220</f>
        <v>58339</v>
      </c>
      <c r="V221" s="425">
        <f ca="1">V220-U220</f>
        <v>-35</v>
      </c>
      <c r="W221" s="425">
        <f ca="1">W220-V220</f>
        <v>336</v>
      </c>
      <c r="X221" s="427">
        <f ca="1">X220-W220</f>
        <v>112.52000000000044</v>
      </c>
      <c r="Y221" s="426">
        <f ca="1">Y220-T220</f>
        <v>4316.52</v>
      </c>
      <c r="Z221" s="427">
        <f t="shared" ref="Z221:AC221" si="344" ca="1">Z220-Y220</f>
        <v>114.77040000000034</v>
      </c>
      <c r="AA221" s="427">
        <f ca="1">AA220-Z220</f>
        <v>117.06580800000029</v>
      </c>
      <c r="AB221" s="427">
        <f ca="1">AB220-AA220</f>
        <v>119.40712416000042</v>
      </c>
      <c r="AC221" s="427">
        <f ca="1">AC220-AB220</f>
        <v>121.7952666432002</v>
      </c>
      <c r="AD221" s="426">
        <f ca="1">AD220-Y220</f>
        <v>473.03859880320124</v>
      </c>
      <c r="AE221" s="426">
        <f t="shared" ref="AE221:AG221" si="345" ca="1">AE220-AD220</f>
        <v>124.2311719760637</v>
      </c>
      <c r="AF221" s="426">
        <f ca="1">AF220-AE220</f>
        <v>126.71579541558549</v>
      </c>
      <c r="AG221" s="426">
        <f ca="1">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46" ca="1">F141</f>
        <v>542</v>
      </c>
      <c r="G223" s="353">
        <f ca="1">G141</f>
        <v>558</v>
      </c>
      <c r="H223" s="353">
        <f ca="1">H141</f>
        <v>528</v>
      </c>
      <c r="I223" s="353">
        <f ca="1">I141</f>
        <v>485</v>
      </c>
      <c r="J223" s="282">
        <f ca="1">J141</f>
        <v>485</v>
      </c>
      <c r="K223" s="353">
        <f ca="1">K141</f>
        <v>486</v>
      </c>
      <c r="L223" s="353">
        <f ca="1">L141</f>
        <v>717</v>
      </c>
      <c r="M223" s="353">
        <f ca="1">M141</f>
        <v>706</v>
      </c>
      <c r="N223" s="353">
        <f ca="1">N141</f>
        <v>1e-12</v>
      </c>
      <c r="O223" s="282">
        <f ca="1">O141</f>
        <v>1e-12</v>
      </c>
      <c r="P223" s="353">
        <f ca="1">P141</f>
        <v>1e-12</v>
      </c>
      <c r="Q223" s="353">
        <f ca="1">Q141</f>
        <v>1e-12</v>
      </c>
      <c r="R223" s="353">
        <f ca="1">R141</f>
        <v>1e-12</v>
      </c>
      <c r="S223" s="353">
        <f ca="1">S141</f>
        <v>1e-12</v>
      </c>
      <c r="T223" s="282">
        <f ca="1">T141</f>
        <v>1e-12</v>
      </c>
      <c r="U223" s="353">
        <f ca="1">U141</f>
        <v>1e-12</v>
      </c>
      <c r="V223" s="353">
        <f ca="1">V141</f>
        <v>1e-12</v>
      </c>
      <c r="W223" s="353">
        <f ca="1">W141</f>
        <v>1e-12</v>
      </c>
      <c r="X223" s="281">
        <f t="shared" ref="X223:AG223" si="347" ca="1">W223</f>
        <v>1e-12</v>
      </c>
      <c r="Y223" s="282">
        <f ca="1">X223</f>
        <v>1e-12</v>
      </c>
      <c r="Z223" s="281">
        <f ca="1">Y223</f>
        <v>1e-12</v>
      </c>
      <c r="AA223" s="281">
        <f ca="1">Z223</f>
        <v>1e-12</v>
      </c>
      <c r="AB223" s="281">
        <f ca="1">AA223</f>
        <v>1e-12</v>
      </c>
      <c r="AC223" s="281">
        <f ca="1">AB223</f>
        <v>1e-12</v>
      </c>
      <c r="AD223" s="282">
        <f ca="1">AC223</f>
        <v>1e-12</v>
      </c>
      <c r="AE223" s="282">
        <f ca="1">AD223</f>
        <v>1e-12</v>
      </c>
      <c r="AF223" s="282">
        <f ca="1">AE223</f>
        <v>1e-12</v>
      </c>
      <c r="AG223" s="282">
        <f ca="1">AF223</f>
        <v>1e-12</v>
      </c>
      <c r="AH223" s="16"/>
      <c r="AI223" s="16"/>
      <c r="AJ223" s="16"/>
      <c r="AK223" s="16"/>
    </row>
    <row r="224" ht="13.5" customHeight="1" spans="1:37" x14ac:dyDescent="0.25">
      <c r="A224" s="264"/>
      <c r="B224" s="16"/>
      <c r="C224" s="139" t="s">
        <v>348</v>
      </c>
      <c r="D224" s="16"/>
      <c r="E224" s="16"/>
      <c r="F224" s="372">
        <f t="shared" ref="F224:W224" si="348" ca="1">F142</f>
        <v>24992</v>
      </c>
      <c r="G224" s="372">
        <f ca="1">G142</f>
        <v>23476</v>
      </c>
      <c r="H224" s="372">
        <f ca="1">H142</f>
        <v>22372</v>
      </c>
      <c r="I224" s="372">
        <f ca="1">I142</f>
        <v>22968</v>
      </c>
      <c r="J224" s="355">
        <f ca="1">J142</f>
        <v>22968</v>
      </c>
      <c r="K224" s="372">
        <f ca="1">K142</f>
        <v>23351</v>
      </c>
      <c r="L224" s="372">
        <f ca="1">L142</f>
        <v>21107</v>
      </c>
      <c r="M224" s="372">
        <f ca="1">M142</f>
        <v>20852</v>
      </c>
      <c r="N224" s="372">
        <f ca="1">N142</f>
        <v>25167</v>
      </c>
      <c r="O224" s="355">
        <f ca="1">O142</f>
        <v>25167</v>
      </c>
      <c r="P224" s="372">
        <f ca="1">P142</f>
        <v>27567</v>
      </c>
      <c r="Q224" s="372">
        <f ca="1">Q142</f>
        <v>28220</v>
      </c>
      <c r="R224" s="372">
        <f ca="1">R142</f>
        <v>28445</v>
      </c>
      <c r="S224" s="372">
        <f ca="1">S142</f>
        <v>30724</v>
      </c>
      <c r="T224" s="355">
        <f ca="1">T142</f>
        <v>30724</v>
      </c>
      <c r="U224" s="372">
        <f ca="1">U142</f>
        <v>36484</v>
      </c>
      <c r="V224" s="372">
        <f ca="1">V142</f>
        <v>5948</v>
      </c>
      <c r="W224" s="372">
        <f ca="1">W142</f>
        <v>6261</v>
      </c>
      <c r="X224" s="356">
        <f t="shared" ref="X224:AG224" si="349" ca="1">W224</f>
        <v>6261</v>
      </c>
      <c r="Y224" s="355">
        <f ca="1">X224</f>
        <v>6261</v>
      </c>
      <c r="Z224" s="356">
        <f ca="1">Y224</f>
        <v>6261</v>
      </c>
      <c r="AA224" s="356">
        <f ca="1">Z224</f>
        <v>6261</v>
      </c>
      <c r="AB224" s="356">
        <f ca="1">AA224</f>
        <v>6261</v>
      </c>
      <c r="AC224" s="356">
        <f ca="1">AB224</f>
        <v>6261</v>
      </c>
      <c r="AD224" s="355">
        <f ca="1">AC224</f>
        <v>6261</v>
      </c>
      <c r="AE224" s="355">
        <f ca="1">AD224</f>
        <v>6261</v>
      </c>
      <c r="AF224" s="355">
        <f ca="1">AE224</f>
        <v>6261</v>
      </c>
      <c r="AG224" s="355">
        <f ca="1">AF224</f>
        <v>6261</v>
      </c>
      <c r="AH224" s="16"/>
      <c r="AI224" s="16"/>
      <c r="AJ224" s="16"/>
      <c r="AK224" s="16"/>
    </row>
    <row r="225" ht="13.5" customHeight="1" spans="1:37" x14ac:dyDescent="0.25">
      <c r="A225" s="264"/>
      <c r="B225" s="16"/>
      <c r="C225" s="16" t="s">
        <v>391</v>
      </c>
      <c r="D225" s="16"/>
      <c r="E225" s="16"/>
      <c r="F225" s="353">
        <f t="shared" ref="F225:AG225" si="350" ca="1">SUM(F223:F224)</f>
        <v>25534</v>
      </c>
      <c r="G225" s="353">
        <f ca="1">SUM(G223:G224)</f>
        <v>24034</v>
      </c>
      <c r="H225" s="353">
        <f ca="1">SUM(H223:H224)</f>
        <v>22900</v>
      </c>
      <c r="I225" s="353">
        <f ca="1">SUM(I223:I224)</f>
        <v>23453</v>
      </c>
      <c r="J225" s="282">
        <f ca="1">SUM(J223:J224)</f>
        <v>23453</v>
      </c>
      <c r="K225" s="353">
        <f ca="1">SUM(K223:K224)</f>
        <v>23837</v>
      </c>
      <c r="L225" s="353">
        <f ca="1">SUM(L223:L224)</f>
        <v>21824</v>
      </c>
      <c r="M225" s="353">
        <f ca="1">SUM(M223:M224)</f>
        <v>21558</v>
      </c>
      <c r="N225" s="353">
        <f ca="1">SUM(N223:N224)</f>
        <v>25167</v>
      </c>
      <c r="O225" s="282">
        <f ca="1">SUM(O223:O224)</f>
        <v>25167</v>
      </c>
      <c r="P225" s="353">
        <f ca="1">SUM(P223:P224)</f>
        <v>27567</v>
      </c>
      <c r="Q225" s="353">
        <f ca="1">SUM(Q223:Q224)</f>
        <v>28220</v>
      </c>
      <c r="R225" s="353">
        <f ca="1">SUM(R223:R224)</f>
        <v>28445</v>
      </c>
      <c r="S225" s="353">
        <f ca="1">SUM(S223:S224)</f>
        <v>30724</v>
      </c>
      <c r="T225" s="282">
        <f ca="1">SUM(T223:T224)</f>
        <v>30724</v>
      </c>
      <c r="U225" s="353">
        <f ca="1">SUM(U223:U224)</f>
        <v>36484</v>
      </c>
      <c r="V225" s="353">
        <f ca="1">SUM(V223:V224)</f>
        <v>5948</v>
      </c>
      <c r="W225" s="353">
        <f ca="1">SUM(W223:W224)</f>
        <v>6261</v>
      </c>
      <c r="X225" s="281">
        <f ca="1">SUM(X223:X224)</f>
        <v>6261</v>
      </c>
      <c r="Y225" s="282">
        <f ca="1">SUM(Y223:Y224)</f>
        <v>6261</v>
      </c>
      <c r="Z225" s="281">
        <f ca="1">SUM(Z223:Z224)</f>
        <v>6261</v>
      </c>
      <c r="AA225" s="281">
        <f ca="1">SUM(AA223:AA224)</f>
        <v>6261</v>
      </c>
      <c r="AB225" s="281">
        <f ca="1">SUM(AB223:AB224)</f>
        <v>6261</v>
      </c>
      <c r="AC225" s="281">
        <f ca="1">SUM(AC223:AC224)</f>
        <v>6261</v>
      </c>
      <c r="AD225" s="282">
        <f ca="1">SUM(AD223:AD224)</f>
        <v>6261</v>
      </c>
      <c r="AE225" s="282">
        <f ca="1">SUM(AE223:AE224)</f>
        <v>6261</v>
      </c>
      <c r="AF225" s="282">
        <f ca="1">SUM(AF223:AF224)</f>
        <v>6261</v>
      </c>
      <c r="AG225" s="282">
        <f ca="1">SUM(AG223:AG224)</f>
        <v>6261</v>
      </c>
      <c r="AH225" s="16"/>
      <c r="AI225" s="16"/>
      <c r="AJ225" s="16"/>
      <c r="AK225" s="16"/>
    </row>
    <row r="226" ht="13.5" customHeight="1" spans="1:37" x14ac:dyDescent="0.25">
      <c r="A226" s="302"/>
      <c r="B226" s="303"/>
      <c r="C226" s="120" t="s">
        <v>392</v>
      </c>
      <c r="D226" s="303"/>
      <c r="E226" s="303"/>
      <c r="F226" s="424"/>
      <c r="G226" s="425">
        <f t="shared" ref="G226:I226" si="351" ca="1">G225-F225</f>
        <v>-1500</v>
      </c>
      <c r="H226" s="425">
        <f ca="1">H225-G225</f>
        <v>-1134</v>
      </c>
      <c r="I226" s="425">
        <f ca="1">I225-H225</f>
        <v>553</v>
      </c>
      <c r="J226" s="426"/>
      <c r="K226" s="425">
        <f t="shared" ref="K226:N226" si="352" ca="1">K225-J225</f>
        <v>384</v>
      </c>
      <c r="L226" s="425">
        <f ca="1">L225-K225</f>
        <v>-2013</v>
      </c>
      <c r="M226" s="425">
        <f ca="1">M225-L225</f>
        <v>-266</v>
      </c>
      <c r="N226" s="425">
        <f ca="1">N225-M225</f>
        <v>3609</v>
      </c>
      <c r="O226" s="426">
        <f ca="1">O225-J225</f>
        <v>1714</v>
      </c>
      <c r="P226" s="425">
        <f t="shared" ref="P226:S226" si="353" ca="1">P225-O225</f>
        <v>2400</v>
      </c>
      <c r="Q226" s="425">
        <f ca="1">Q225-P225</f>
        <v>653</v>
      </c>
      <c r="R226" s="425">
        <f ca="1">R225-Q225</f>
        <v>225</v>
      </c>
      <c r="S226" s="425">
        <f ca="1">S225-R225</f>
        <v>2279</v>
      </c>
      <c r="T226" s="426">
        <f ca="1">T225-O225</f>
        <v>5557</v>
      </c>
      <c r="U226" s="425">
        <f t="shared" ref="U226:X226" si="354" ca="1">U225-T225</f>
        <v>5760</v>
      </c>
      <c r="V226" s="425">
        <f ca="1">V225-U225</f>
        <v>-9</v>
      </c>
      <c r="W226" s="425">
        <f ca="1">W225-V225</f>
        <v>313</v>
      </c>
      <c r="X226" s="427">
        <f ca="1">X225-W225</f>
        <v>1e-12</v>
      </c>
      <c r="Y226" s="426">
        <f ca="1">Y225-T225</f>
        <v>4083</v>
      </c>
      <c r="Z226" s="427">
        <f t="shared" ref="Z226:AC226" si="355" ca="1">Z225-Y225</f>
        <v>1e-12</v>
      </c>
      <c r="AA226" s="427">
        <f ca="1">AA225-Z225</f>
        <v>1e-12</v>
      </c>
      <c r="AB226" s="427">
        <f ca="1">AB225-AA225</f>
        <v>1e-12</v>
      </c>
      <c r="AC226" s="427">
        <f ca="1">AC225-AB225</f>
        <v>1e-12</v>
      </c>
      <c r="AD226" s="426">
        <f ca="1">AD225-Y225</f>
        <v>1e-12</v>
      </c>
      <c r="AE226" s="426">
        <f t="shared" ref="AE226:AG226" si="356" ca="1">AE225-AD225</f>
        <v>1e-12</v>
      </c>
      <c r="AF226" s="426">
        <f ca="1">AF225-AE225</f>
        <v>1e-12</v>
      </c>
      <c r="AG226" s="426">
        <f ca="1">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57" ca="1">G226-G221</f>
        <v>-4598</v>
      </c>
      <c r="H228" s="388">
        <f ca="1">H226-H221</f>
        <v>-2913</v>
      </c>
      <c r="I228" s="388">
        <f ca="1">I226-I221</f>
        <v>-2867</v>
      </c>
      <c r="J228" s="389"/>
      <c r="K228" s="388">
        <f t="shared" ref="K228:AG228" si="358" ca="1">K226-K221</f>
        <v>-1796</v>
      </c>
      <c r="L228" s="388">
        <f ca="1">L226-L221</f>
        <v>-4936</v>
      </c>
      <c r="M228" s="388">
        <f ca="1">M226-M221</f>
        <v>-10101</v>
      </c>
      <c r="N228" s="388">
        <f ca="1">N226-N221</f>
        <v>-445</v>
      </c>
      <c r="O228" s="389">
        <f ca="1">O226-O221</f>
        <v>-17278</v>
      </c>
      <c r="P228" s="388">
        <f ca="1">P226-P221</f>
        <v>-10351</v>
      </c>
      <c r="Q228" s="388">
        <f ca="1">Q226-Q221</f>
        <v>-3693</v>
      </c>
      <c r="R228" s="388">
        <f ca="1">R226-R221</f>
        <v>-5904</v>
      </c>
      <c r="S228" s="388">
        <f ca="1">S226-S221</f>
        <v>-544</v>
      </c>
      <c r="T228" s="389">
        <f ca="1">T226-T221</f>
        <v>-20492</v>
      </c>
      <c r="U228" s="388">
        <f ca="1">U226-U221</f>
        <v>-52579</v>
      </c>
      <c r="V228" s="388">
        <f ca="1">V226-V221</f>
        <v>26</v>
      </c>
      <c r="W228" s="388">
        <f ca="1">W226-W221</f>
        <v>-23</v>
      </c>
      <c r="X228" s="390">
        <f ca="1">X226-X221</f>
        <v>-112.52000000000044</v>
      </c>
      <c r="Y228" s="389">
        <f ca="1">Y226-Y221</f>
        <v>-233.52000000000044</v>
      </c>
      <c r="Z228" s="390">
        <f ca="1">Z226-Z221</f>
        <v>-114.77040000000034</v>
      </c>
      <c r="AA228" s="390">
        <f ca="1">AA226-AA221</f>
        <v>-117.06580800000029</v>
      </c>
      <c r="AB228" s="390">
        <f ca="1">AB226-AB221</f>
        <v>-119.40712416000042</v>
      </c>
      <c r="AC228" s="390">
        <f ca="1">AC226-AC221</f>
        <v>-121.7952666432002</v>
      </c>
      <c r="AD228" s="389">
        <f ca="1">AD226-AD221</f>
        <v>-473.03859880320124</v>
      </c>
      <c r="AE228" s="389">
        <f ca="1">AE226-AE221</f>
        <v>-124.2311719760637</v>
      </c>
      <c r="AF228" s="389">
        <f ca="1">AF226-AF221</f>
        <v>-126.71579541558549</v>
      </c>
      <c r="AG228" s="407">
        <f ca="1">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59" ca="1">G219/F219-1</f>
        <v>0.04866106102049783</v>
      </c>
      <c r="H232" s="397">
        <f ca="1">H219/G219-1</f>
        <v>0.029674116055902644</v>
      </c>
      <c r="I232" s="397">
        <f ca="1">I219/H219-1</f>
        <v>0.05266532188706985</v>
      </c>
      <c r="J232" s="398"/>
      <c r="K232" s="397">
        <f ca="1">K219/I219-1</f>
        <v>0.03260595077169892</v>
      </c>
      <c r="L232" s="397">
        <f t="shared" ref="L232:N232" si="360" ca="1">L219/K219-1</f>
        <v>0.04202031245504512</v>
      </c>
      <c r="M232" s="397">
        <f ca="1">M219/L219-1</f>
        <v>0.09781183129702486</v>
      </c>
      <c r="N232" s="397">
        <f ca="1">N219/M219-1</f>
        <v>0.05160965794768613</v>
      </c>
      <c r="O232" s="398">
        <f ca="1">O219/J219-1</f>
        <v>0.24220502384170883</v>
      </c>
      <c r="P232" s="397">
        <f ca="1">P219/N219-1</f>
        <v>0.14903616186740654</v>
      </c>
      <c r="Q232" s="397">
        <f t="shared" ref="Q232:S232" si="361" ca="1">Q219/P219-1</f>
        <v>0.043543871699605496</v>
      </c>
      <c r="R232" s="397">
        <f ca="1">R219/Q219-1</f>
        <v>0.05180959599485391</v>
      </c>
      <c r="S232" s="397">
        <f ca="1">S219/R219-1</f>
        <v>0.025714448258206346</v>
      </c>
      <c r="T232" s="398">
        <f ca="1">T219/O219-1</f>
        <v>0.2936238400459199</v>
      </c>
      <c r="U232" s="397">
        <f ca="1">U219/S219-1</f>
        <v>0.3137883858085748</v>
      </c>
      <c r="V232" s="397">
        <f t="shared" ref="V232:W232" si="362" ca="1">V219/U219-1</f>
        <v>-0.0065727699530516714</v>
      </c>
      <c r="W232" s="397">
        <f ca="1">W219/V219-1</f>
        <v>0.06351606805293009</v>
      </c>
      <c r="X232" s="422">
        <f ca="1">Drivers!X128</f>
        <v>0.02</v>
      </c>
      <c r="Y232" s="398">
        <f ca="1">Y219/T219-1</f>
        <v>4.165184518451846</v>
      </c>
      <c r="Z232" s="422">
        <f ca="1">Drivers!Z128</f>
        <v>0.02</v>
      </c>
      <c r="AA232" s="422">
        <f ca="1">Drivers!AA128</f>
        <v>0.02</v>
      </c>
      <c r="AB232" s="422">
        <f ca="1">Drivers!AB128</f>
        <v>0.02</v>
      </c>
      <c r="AC232" s="422">
        <f ca="1">Drivers!AC128</f>
        <v>0.02</v>
      </c>
      <c r="AD232" s="398">
        <f ca="1">AD219/Y219-1</f>
        <v>0.0824321600000002</v>
      </c>
      <c r="AE232" s="423">
        <f ca="1">Drivers!AE128</f>
        <v>0.02</v>
      </c>
      <c r="AF232" s="423">
        <f ca="1">Drivers!AF128</f>
        <v>0.02</v>
      </c>
      <c r="AG232" s="423">
        <f ca="1">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 ca="1">F$25</f>
        <v>1e-12</v>
      </c>
      <c r="G234" s="63">
        <f t="shared" ref="G234:AG234" si="363" ca="1">G$63</f>
        <v>1e-12</v>
      </c>
      <c r="H234" s="63">
        <f ca="1">H$63</f>
        <v>1e-12</v>
      </c>
      <c r="I234" s="63">
        <f ca="1">I$63</f>
        <v>1e-12</v>
      </c>
      <c r="J234" s="63">
        <f ca="1">J$63</f>
        <v>2023</v>
      </c>
      <c r="K234" s="63">
        <f ca="1">K$63</f>
        <v>1e-12</v>
      </c>
      <c r="L234" s="63">
        <f ca="1">L$63</f>
        <v>1e-12</v>
      </c>
      <c r="M234" s="63">
        <f ca="1">M$63</f>
        <v>1e-12</v>
      </c>
      <c r="N234" s="63">
        <f ca="1">N$63</f>
        <v>1e-12</v>
      </c>
      <c r="O234" s="63">
        <f ca="1">O$63</f>
        <v>2024</v>
      </c>
      <c r="P234" s="63">
        <f ca="1">P$63</f>
        <v>1e-12</v>
      </c>
      <c r="Q234" s="63">
        <f ca="1">Q$63</f>
        <v>1e-12</v>
      </c>
      <c r="R234" s="63">
        <f ca="1">R$63</f>
        <v>1e-12</v>
      </c>
      <c r="S234" s="63">
        <f ca="1">S$63</f>
        <v>1e-12</v>
      </c>
      <c r="T234" s="63">
        <f ca="1">T$63</f>
        <v>2025</v>
      </c>
      <c r="U234" s="63">
        <f ca="1">U$63</f>
        <v>1e-12</v>
      </c>
      <c r="V234" s="63" t="str">
        <f ca="1">V$63</f>
        <v>2Q26</v>
      </c>
      <c r="W234" s="63" t="str">
        <f ca="1">W$63</f>
        <v>3Q26e</v>
      </c>
      <c r="X234" s="63" t="str">
        <f ca="1">X$63</f>
        <v>4Q26e</v>
      </c>
      <c r="Y234" s="63" t="str">
        <f ca="1">Y$63</f>
        <v>2026e</v>
      </c>
      <c r="Z234" s="63" t="str">
        <f ca="1">Z$63</f>
        <v>1Q27e</v>
      </c>
      <c r="AA234" s="63" t="str">
        <f ca="1">AA$63</f>
        <v>2Q27e</v>
      </c>
      <c r="AB234" s="63" t="str">
        <f ca="1">AB$63</f>
        <v>3Q27e</v>
      </c>
      <c r="AC234" s="63" t="str">
        <f ca="1">AC$63</f>
        <v>4Q27e</v>
      </c>
      <c r="AD234" s="63" t="str">
        <f ca="1">AD$63</f>
        <v>2027e</v>
      </c>
      <c r="AE234" s="63" t="str">
        <f ca="1">AE$63</f>
        <v>2028e</v>
      </c>
      <c r="AF234" s="63" t="str">
        <f ca="1">AF$63</f>
        <v>2029e</v>
      </c>
      <c r="AG234" s="64" t="str">
        <f ca="1">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64" ca="1">F53</f>
        <v>18.243636363636362</v>
      </c>
      <c r="G237" s="370">
        <f ca="1">G53</f>
        <v>22.592865928659286</v>
      </c>
      <c r="H237" s="370">
        <f ca="1">H53</f>
        <v>24.42803970223325</v>
      </c>
      <c r="I237" s="370">
        <f ca="1">I53</f>
        <v>25.82646691635456</v>
      </c>
      <c r="J237" s="127">
        <f ca="1">J53</f>
        <v>92.12858926342072</v>
      </c>
      <c r="K237" s="370">
        <f ca="1">K53</f>
        <v>28.68121212121212</v>
      </c>
      <c r="L237" s="370">
        <f ca="1">L53</f>
        <v>29.051660516605168</v>
      </c>
      <c r="M237" s="370">
        <f ca="1">M53</f>
        <v>32.63151364764268</v>
      </c>
      <c r="N237" s="370">
        <f ca="1">N53</f>
        <v>33.12858926342072</v>
      </c>
      <c r="O237" s="127">
        <f ca="1">O53</f>
        <v>124.99126092384519</v>
      </c>
      <c r="P237" s="370">
        <f ca="1">P53</f>
        <v>45.74834437086093</v>
      </c>
      <c r="Q237" s="370">
        <f ca="1">Q53</f>
        <v>37.494680851063826</v>
      </c>
      <c r="R237" s="370">
        <f ca="1">R53</f>
        <v>46.514627659574465</v>
      </c>
      <c r="S237" s="370">
        <f ca="1">S53</f>
        <v>46.06283422459893</v>
      </c>
      <c r="T237" s="127">
        <f ca="1">T53</f>
        <v>176.69786096256684</v>
      </c>
      <c r="U237" s="370">
        <f ca="1">U53</f>
        <v>87.15598885793872</v>
      </c>
      <c r="V237" s="370">
        <f ca="1">V53</f>
        <v>4.280851063829787</v>
      </c>
      <c r="W237" s="370">
        <f ca="1">W53</f>
        <v>2.747826086956522</v>
      </c>
      <c r="X237" s="371">
        <f ca="1">X53</f>
        <v>-2.834320072259252</v>
      </c>
      <c r="Y237" s="127">
        <f ca="1">Y53</f>
        <v>-103.21458888203429</v>
      </c>
      <c r="Z237" s="371">
        <f ca="1">Z53</f>
        <v>-3.102479417071294</v>
      </c>
      <c r="AA237" s="371">
        <f ca="1">AA53</f>
        <v>-3.3369028955834916</v>
      </c>
      <c r="AB237" s="371">
        <f ca="1">AB53</f>
        <v>-3.6701637267511953</v>
      </c>
      <c r="AC237" s="371">
        <f ca="1">AC53</f>
        <v>-3.17157999103777</v>
      </c>
      <c r="AD237" s="127">
        <f ca="1">AD53</f>
        <v>-13.280257541733093</v>
      </c>
      <c r="AE237" s="127">
        <f ca="1">AE53</f>
        <v>-13.191836665880945</v>
      </c>
      <c r="AF237" s="127">
        <f ca="1">AF53</f>
        <v>-13.945821421400778</v>
      </c>
      <c r="AG237" s="127">
        <f ca="1">AG53</f>
        <v>-14.661517316592418</v>
      </c>
      <c r="AH237" s="16"/>
      <c r="AI237" s="16"/>
      <c r="AJ237" s="16"/>
      <c r="AK237" s="16"/>
    </row>
    <row r="238" ht="13.5" customHeight="1" spans="1:37" x14ac:dyDescent="0.25">
      <c r="A238" s="264"/>
      <c r="B238" s="16"/>
      <c r="C238" s="139" t="s">
        <v>398</v>
      </c>
      <c r="D238" s="16"/>
      <c r="E238" s="16"/>
      <c r="F238" s="428">
        <f ca="1">F239/SUM(F237,B238:D238)</f>
        <v>4.712876220849114</v>
      </c>
      <c r="G238" s="428">
        <f ca="1">G239/SUM(F237:G237,C237:D237)</f>
        <v>2.2479888052831423</v>
      </c>
      <c r="H238" s="428">
        <f ca="1">H239/SUM(F237:H237,D237)</f>
        <v>1.4658802019635713</v>
      </c>
      <c r="I238" s="429">
        <f ca="1">I239/SUM(F237:I237)</f>
        <v>1.2215256075257457</v>
      </c>
      <c r="J238" s="430">
        <f ca="1">J239/J237</f>
        <v>1.0204270314123127</v>
      </c>
      <c r="K238" s="429">
        <f ca="1">K239/SUM(K237,G237:I237)</f>
        <v>1.0080904834261515</v>
      </c>
      <c r="L238" s="429">
        <f ca="1">L239/SUM(K237:L237,H237:I237)</f>
        <v>0.9500184253607121</v>
      </c>
      <c r="M238" s="429">
        <f ca="1">M239/SUM(K237:M237,I237)</f>
        <v>0.9330338577658966</v>
      </c>
      <c r="N238" s="429">
        <f ca="1">N239/SUM(K237:N237)</f>
        <v>0.8532469116698278</v>
      </c>
      <c r="O238" s="430">
        <f ca="1">O239/O237</f>
        <v>0.8328992756771759</v>
      </c>
      <c r="P238" s="429">
        <f ca="1">P239/SUM(P237,L237:N237)</f>
        <v>0.7027598480614812</v>
      </c>
      <c r="Q238" s="429">
        <f ca="1">Q239/SUM(P237:Q237,M237:N237)</f>
        <v>0.662939102270638</v>
      </c>
      <c r="R238" s="429">
        <f ca="1">R239/SUM(P237:R237,N237)</f>
        <v>1.0390184442348527</v>
      </c>
      <c r="S238" s="429">
        <f ca="1">S239/SUM(P237:S237)</f>
        <v>1.19166239224841</v>
      </c>
      <c r="T238" s="430">
        <f ca="1">T239/T237</f>
        <v>0.9525906660642228</v>
      </c>
      <c r="U238" s="429">
        <f ca="1">U239/SUM(U237,Q237:S237)</f>
        <v>0.838749560951081</v>
      </c>
      <c r="V238" s="429">
        <f ca="1">V239/SUM(U237:V237,R237:S237)</f>
        <v>19.599003929404308</v>
      </c>
      <c r="W238" s="429">
        <f ca="1">W239/SUM(U237:W237,S237)</f>
        <v>17.837991361091575</v>
      </c>
      <c r="X238" s="431">
        <f ca="1">X239/SUM(U237:X237)</f>
        <v>-2.312960179209461</v>
      </c>
      <c r="Y238" s="430">
        <f ca="1">Y239/Y237</f>
        <v>-1.880739422667899</v>
      </c>
      <c r="Z238" s="431">
        <f ca="1">Z239/SUM(Z237,V237:X237)</f>
        <v>-6.133974335688139</v>
      </c>
      <c r="AA238" s="431">
        <f ca="1">AA239/SUM(Z237:AA237,W237:X237)</f>
        <v>-35.731599765840066</v>
      </c>
      <c r="AB238" s="431">
        <f ca="1">AB239/SUM(Z237:AB237,X237)</f>
        <v>-18.01471044187132</v>
      </c>
      <c r="AC238" s="431">
        <f ca="1">AC239/SUM(Z237:AC237)</f>
        <v>-17.557246235408922</v>
      </c>
      <c r="AD238" s="430">
        <f ca="1">AD239/AD237</f>
        <v>-17.558394426255205</v>
      </c>
      <c r="AE238" s="430">
        <f ca="1">AE239/AE237</f>
        <v>-17.676083012996305</v>
      </c>
      <c r="AF238" s="430">
        <f ca="1">AF239/AF237</f>
        <v>-16.720420615896458</v>
      </c>
      <c r="AG238" s="430">
        <f ca="1">AG239/AG237</f>
        <v>-15.904220208921387</v>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 ca="1">F239*(F240/(SUM(F240:I240)))+G239*(G240/(SUM(F240:I240)))+H239*(H240/(SUM(F240:I240)))+I239*(I240/(SUM(F240:I240)))</f>
        <v>94.01050285027668</v>
      </c>
      <c r="K239" s="432">
        <v>102.35</v>
      </c>
      <c r="L239" s="432">
        <v>102.59</v>
      </c>
      <c r="M239" s="432">
        <v>108.41</v>
      </c>
      <c r="N239" s="433">
        <v>105.37</v>
      </c>
      <c r="O239" s="127">
        <f ca="1">K239*(K240/(SUM(K240:N240)))+L239*(L240/(SUM(K240:N240)))+M239*(M240/(SUM(K240:N240)))+N239*(N240/(SUM(K240:N240)))</f>
        <v>104.10513068944756</v>
      </c>
      <c r="P239" s="432">
        <v>98.78</v>
      </c>
      <c r="Q239" s="432">
        <v>98.78</v>
      </c>
      <c r="R239" s="433">
        <v>169.24180990067623</v>
      </c>
      <c r="S239" s="432">
        <v>209.51866227113362</v>
      </c>
      <c r="T239" s="127">
        <f ca="1">P239*(P240/(SUM(P240:S240)))+Q239*(Q240/(SUM(P240:S240)))+R239*(R240/(SUM(P240:S240)))+S239*(S240/(SUM(P240:S240)))</f>
        <v>168.32073306645498</v>
      </c>
      <c r="U239" s="432">
        <v>182.2</v>
      </c>
      <c r="V239" s="432">
        <f ca="1">V241/V240</f>
        <v>190.91666054089455</v>
      </c>
      <c r="W239" s="433">
        <f ca="1">193.16*3-SUM(U239:V239)</f>
        <v>206.36333945910548</v>
      </c>
      <c r="X239" s="434">
        <f ca="1">Share_Price</f>
        <v>233.18</v>
      </c>
      <c r="Y239" s="127">
        <f ca="1">U239*(U240/(SUM(U240:X240)))+V239*(V240/(SUM(U240:X240)))+W239*(W240/(SUM(U240:X240)))+X239*(X240/(SUM(U240:X240)))</f>
        <v>194.11974630490172</v>
      </c>
      <c r="Z239" s="435">
        <f ca="1">X239</f>
        <v>233.18</v>
      </c>
      <c r="AA239" s="435">
        <f t="shared" ref="AA239:AC239" si="365" ca="1">Z239</f>
        <v>233.18</v>
      </c>
      <c r="AB239" s="435">
        <f ca="1">AA239</f>
        <v>233.18</v>
      </c>
      <c r="AC239" s="435">
        <f ca="1">AB239</f>
        <v>233.18</v>
      </c>
      <c r="AD239" s="127">
        <f ca="1">AVERAGE(Z239:AC239)</f>
        <v>233.18</v>
      </c>
      <c r="AE239" s="436">
        <f ca="1">AC239</f>
        <v>233.18</v>
      </c>
      <c r="AF239" s="436">
        <f t="shared" ref="AF239:AG239" si="366" ca="1">AE239</f>
        <v>233.18</v>
      </c>
      <c r="AG239" s="436">
        <f ca="1">AF239</f>
        <v>233.18</v>
      </c>
      <c r="AH239" s="16"/>
      <c r="AI239" s="16"/>
      <c r="AJ239" s="16"/>
      <c r="AK239" s="16"/>
    </row>
    <row r="240" ht="13.5" customHeight="1" spans="1:37" x14ac:dyDescent="0.25">
      <c r="A240" s="264"/>
      <c r="B240" s="16"/>
      <c r="C240" s="139" t="s">
        <v>400</v>
      </c>
      <c r="D240" s="16"/>
      <c r="E240" s="16"/>
      <c r="F240" s="384">
        <f t="shared" ref="F240:I240" si="367" ca="1">F241/F239</f>
        <v>8.467085368690393</v>
      </c>
      <c r="G240" s="384">
        <f ca="1">G241/G239</f>
        <v>12.178649237472767</v>
      </c>
      <c r="H240" s="384">
        <f ca="1">H241/H239</f>
        <v>6.815093550747361</v>
      </c>
      <c r="I240" s="384">
        <f ca="1">I241/I239</f>
        <v>4.844072975644826</v>
      </c>
      <c r="J240" s="162">
        <f t="shared" ref="J240:J241" si="368" ca="1">SUM(F240:I240)</f>
        <v>32.304901132555344</v>
      </c>
      <c r="K240" s="384">
        <f t="shared" ref="K240:N240" si="369" ca="1">K241/K239</f>
        <v>8.070346849047388</v>
      </c>
      <c r="L240" s="384">
        <f ca="1">L241/L239</f>
        <v>18.949215323130908</v>
      </c>
      <c r="M240" s="384">
        <f ca="1">M241/M239</f>
        <v>8.108108108108109</v>
      </c>
      <c r="N240" s="437">
        <f ca="1">N241/N239</f>
        <v>6.301603872069848</v>
      </c>
      <c r="O240" s="162">
        <f t="shared" ref="O240:O241" si="370" ca="1">SUM(K240:N240)</f>
        <v>41.42927415235626</v>
      </c>
      <c r="P240" s="384">
        <f t="shared" ref="P240:S240" si="371" ca="1">P241/P239</f>
        <v>9.77930755213606</v>
      </c>
      <c r="Q240" s="384">
        <f ca="1">Q241/Q239</f>
        <v>1e-12</v>
      </c>
      <c r="R240" s="437">
        <f ca="1">R241/R239</f>
        <v>3.320692447863939</v>
      </c>
      <c r="S240" s="384">
        <f ca="1">S241/S239</f>
        <v>16.4329036978314</v>
      </c>
      <c r="T240" s="162">
        <f t="shared" ref="T240:T241" si="372" ca="1">SUM(P240:S240)</f>
        <v>29.5329036978314</v>
      </c>
      <c r="U240" s="384">
        <f ca="1">U241/U239</f>
        <v>16.67398463227223</v>
      </c>
      <c r="V240" s="384">
        <f ca="1">33.1-U240</f>
        <v>16.42601536772777</v>
      </c>
      <c r="W240" s="437">
        <f t="shared" ref="W240:X240" si="373" ca="1">W241/W239</f>
        <v>13.689447008390864</v>
      </c>
      <c r="X240" s="359">
        <f ca="1">X241/X239</f>
        <v>2.1442662320953767</v>
      </c>
      <c r="Y240" s="162">
        <f t="shared" ref="Y240:Y241" si="374" ca="1">SUM(U240:X240)</f>
        <v>48.93371324048624</v>
      </c>
      <c r="Z240" s="359">
        <f t="shared" ref="Z240:AC240" si="375" ca="1">Z241/Z239</f>
        <v>2.1442662320953767</v>
      </c>
      <c r="AA240" s="359">
        <f ca="1">AA241/AA239</f>
        <v>2.1442662320953767</v>
      </c>
      <c r="AB240" s="359">
        <f ca="1">AB241/AB239</f>
        <v>2.1442662320953767</v>
      </c>
      <c r="AC240" s="359">
        <f ca="1">AC241/AC239</f>
        <v>2.1442662320953767</v>
      </c>
      <c r="AD240" s="162">
        <f t="shared" ref="AD240:AD241" si="376" ca="1">SUM(Z240:AC240)</f>
        <v>8.577064928381507</v>
      </c>
      <c r="AE240" s="162">
        <f t="shared" ref="AE240:AG240" si="377" ca="1">AE241/AE239</f>
        <v>12.865597392572262</v>
      </c>
      <c r="AF240" s="162">
        <f ca="1">AF241/AF239</f>
        <v>12.865597392572262</v>
      </c>
      <c r="AG240" s="162">
        <f ca="1">AG241/AG239</f>
        <v>12.865597392572262</v>
      </c>
      <c r="AH240" s="16"/>
      <c r="AI240" s="16"/>
      <c r="AJ240" s="16"/>
      <c r="AK240" s="16"/>
    </row>
    <row r="241" ht="13.5" customHeight="1" spans="1:37" x14ac:dyDescent="0.25">
      <c r="A241" s="264"/>
      <c r="B241" s="16"/>
      <c r="C241" s="139" t="s">
        <v>401</v>
      </c>
      <c r="D241" s="16"/>
      <c r="E241" s="16"/>
      <c r="F241" s="358">
        <f ca="1">728</f>
        <v>728</v>
      </c>
      <c r="G241" s="358">
        <v>1118</v>
      </c>
      <c r="H241" s="358">
        <f ca="1">2498-SUM(F241:G241)</f>
        <v>652</v>
      </c>
      <c r="I241" s="358">
        <v>539</v>
      </c>
      <c r="J241" s="162">
        <f ca="1">SUM(F241:I241)</f>
        <v>3037</v>
      </c>
      <c r="K241" s="358">
        <v>826</v>
      </c>
      <c r="L241" s="358">
        <v>1944</v>
      </c>
      <c r="M241" s="358">
        <v>879</v>
      </c>
      <c r="N241" s="438">
        <v>664</v>
      </c>
      <c r="O241" s="162">
        <f ca="1">SUM(K241:N241)</f>
        <v>4313</v>
      </c>
      <c r="P241" s="358">
        <v>966</v>
      </c>
      <c r="Q241" s="358">
        <v>0</v>
      </c>
      <c r="R241" s="438">
        <v>562</v>
      </c>
      <c r="S241" s="358">
        <f ca="1">4971-SUM(P241:R241)</f>
        <v>3443</v>
      </c>
      <c r="T241" s="162">
        <f ca="1">SUM(P241:S241)</f>
        <v>4971</v>
      </c>
      <c r="U241" s="358">
        <v>3038</v>
      </c>
      <c r="V241" s="358">
        <f ca="1">6174-U241</f>
        <v>3136</v>
      </c>
      <c r="W241" s="438">
        <f ca="1">8999-SUM(U241:V241)</f>
        <v>2825</v>
      </c>
      <c r="X241" s="359">
        <f ca="1">X272</f>
        <v>500</v>
      </c>
      <c r="Y241" s="162">
        <f ca="1">SUM(U241:X241)</f>
        <v>9499</v>
      </c>
      <c r="Z241" s="359">
        <f t="shared" ref="Z241:AC241" si="378" ca="1">Z272</f>
        <v>500</v>
      </c>
      <c r="AA241" s="359">
        <f ca="1">AA272</f>
        <v>500</v>
      </c>
      <c r="AB241" s="359">
        <f ca="1">AB272</f>
        <v>500</v>
      </c>
      <c r="AC241" s="359">
        <f ca="1">AC272</f>
        <v>500</v>
      </c>
      <c r="AD241" s="162">
        <f ca="1">SUM(Z241:AC241)</f>
        <v>2000</v>
      </c>
      <c r="AE241" s="162">
        <f t="shared" ref="AE241:AG241" si="379" ca="1">AE272</f>
        <v>3000</v>
      </c>
      <c r="AF241" s="162">
        <f ca="1">AF272</f>
        <v>3000</v>
      </c>
      <c r="AG241" s="162">
        <f ca="1">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 ca="1">W247</f>
        <v>343</v>
      </c>
      <c r="Y244" s="282"/>
      <c r="Z244" s="281">
        <f t="shared" ref="Z244:AC244" si="380" ca="1">Y247</f>
        <v>394.3</v>
      </c>
      <c r="AA244" s="281">
        <f ca="1">Z247</f>
        <v>454.834</v>
      </c>
      <c r="AB244" s="281">
        <f ca="1">AA247</f>
        <v>523.84276</v>
      </c>
      <c r="AC244" s="281">
        <f ca="1">AB247</f>
        <v>584.5704688</v>
      </c>
      <c r="AD244" s="282">
        <f ca="1">Y247</f>
        <v>394.3</v>
      </c>
      <c r="AE244" s="282">
        <f t="shared" ref="AE244:AG244" si="381" ca="1">AD247</f>
        <v>642.26179216</v>
      </c>
      <c r="AF244" s="282">
        <f ca="1">AE247</f>
        <v>895.1828201632</v>
      </c>
      <c r="AG244" s="282">
        <f ca="1">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82" ca="1">SUM(F245:I245)</f>
        <v>1e-12</v>
      </c>
      <c r="K245" s="413">
        <v>0</v>
      </c>
      <c r="L245" s="413">
        <v>0</v>
      </c>
      <c r="M245" s="413">
        <v>0</v>
      </c>
      <c r="N245" s="443">
        <v>0</v>
      </c>
      <c r="O245" s="329">
        <f t="shared" ref="O245:O246" si="383" ca="1">SUM(K245:N245)</f>
        <v>1e-12</v>
      </c>
      <c r="P245" s="413">
        <v>0</v>
      </c>
      <c r="Q245" s="413">
        <v>0</v>
      </c>
      <c r="R245" s="443">
        <v>0</v>
      </c>
      <c r="S245" s="413">
        <v>0</v>
      </c>
      <c r="T245" s="329">
        <f t="shared" ref="T245:T246" si="384" ca="1">SUM(P245:S245)</f>
        <v>1e-12</v>
      </c>
      <c r="U245" s="413">
        <v>0</v>
      </c>
      <c r="V245" s="413">
        <v>0</v>
      </c>
      <c r="W245" s="443">
        <v>0</v>
      </c>
      <c r="X245" s="330">
        <f ca="1">X271*X239</f>
        <v>1e-12</v>
      </c>
      <c r="Y245" s="329">
        <f t="shared" ref="Y245:Y246" si="385" ca="1">SUM(U245:X245)</f>
        <v>1e-12</v>
      </c>
      <c r="Z245" s="330">
        <f t="shared" ref="Z245:AC245" si="386" ca="1">Z271*Z239</f>
        <v>1e-12</v>
      </c>
      <c r="AA245" s="330">
        <f ca="1">AA271*AA239</f>
        <v>1e-12</v>
      </c>
      <c r="AB245" s="330">
        <f ca="1">AB271*AB239</f>
        <v>1e-12</v>
      </c>
      <c r="AC245" s="330">
        <f ca="1">AC271*AC239</f>
        <v>1e-12</v>
      </c>
      <c r="AD245" s="329">
        <f t="shared" ref="AD245:AD246" si="387" ca="1">SUM(Z245:AC245)</f>
        <v>1e-12</v>
      </c>
      <c r="AE245" s="329">
        <f t="shared" ref="AE245:AG245" si="388" ca="1">AE271*AE239</f>
        <v>1e-12</v>
      </c>
      <c r="AF245" s="329">
        <f ca="1">AF271*AF239</f>
        <v>1e-12</v>
      </c>
      <c r="AG245" s="329">
        <f ca="1">AG271*AG239</f>
        <v>1e-12</v>
      </c>
      <c r="AH245" s="16"/>
      <c r="AI245" s="16"/>
      <c r="AJ245" s="16"/>
      <c r="AK245" s="16"/>
    </row>
    <row r="246" ht="13.5" customHeight="1" spans="1:37" x14ac:dyDescent="0.25">
      <c r="A246" s="264"/>
      <c r="B246" s="16"/>
      <c r="C246" s="139" t="s">
        <v>405</v>
      </c>
      <c r="D246" s="16"/>
      <c r="E246" s="16"/>
      <c r="F246" s="354">
        <v>24</v>
      </c>
      <c r="G246" s="354">
        <f ca="1">62-F246</f>
        <v>38</v>
      </c>
      <c r="H246" s="354">
        <f ca="1">79-SUM(F246:G246)</f>
        <v>17</v>
      </c>
      <c r="I246" s="354">
        <v>-5</v>
      </c>
      <c r="J246" s="355">
        <f ca="1">SUM(F246:I246)</f>
        <v>74</v>
      </c>
      <c r="K246" s="354">
        <v>42</v>
      </c>
      <c r="L246" s="354">
        <f ca="1">51-K246</f>
        <v>9</v>
      </c>
      <c r="M246" s="354">
        <v>24</v>
      </c>
      <c r="N246" s="367">
        <f ca="1">98-SUM(K246:M246)</f>
        <v>23</v>
      </c>
      <c r="O246" s="355">
        <f ca="1">SUM(K246:N246)</f>
        <v>98</v>
      </c>
      <c r="P246" s="354">
        <v>27</v>
      </c>
      <c r="Q246" s="354">
        <v>37</v>
      </c>
      <c r="R246" s="367">
        <v>43</v>
      </c>
      <c r="S246" s="354">
        <f ca="1">98-SUM(P246:R246)</f>
        <v>-9</v>
      </c>
      <c r="T246" s="355">
        <f ca="1">SUM(P246:S246)</f>
        <v>98</v>
      </c>
      <c r="U246" s="354">
        <v>54</v>
      </c>
      <c r="V246" s="354">
        <f ca="1">115-U246</f>
        <v>61</v>
      </c>
      <c r="W246" s="367">
        <f ca="1">169-SUM(U246:V246)</f>
        <v>54</v>
      </c>
      <c r="X246" s="356">
        <f ca="1">X249*X28</f>
        <v>51.3</v>
      </c>
      <c r="Y246" s="355">
        <f ca="1">SUM(U246:X246)</f>
        <v>220.3</v>
      </c>
      <c r="Z246" s="356">
        <f t="shared" ref="Z246:AC246" si="389" ca="1">Z249*Z28</f>
        <v>60.534</v>
      </c>
      <c r="AA246" s="356">
        <f ca="1">AA249*AA28</f>
        <v>69.00876</v>
      </c>
      <c r="AB246" s="356">
        <f ca="1">AB249*AB28</f>
        <v>60.7277088</v>
      </c>
      <c r="AC246" s="356">
        <f ca="1">AC249*AC28</f>
        <v>57.69132336</v>
      </c>
      <c r="AD246" s="355">
        <f ca="1">SUM(Z246:AC246)</f>
        <v>247.96179216000002</v>
      </c>
      <c r="AE246" s="355">
        <f t="shared" ref="AE246:AG246" si="390" ca="1">AE249*AE28</f>
        <v>252.92102800319995</v>
      </c>
      <c r="AF246" s="355">
        <f ca="1">AF249*AF28</f>
        <v>257.979448563264</v>
      </c>
      <c r="AG246" s="355">
        <f ca="1">AG249*AG28</f>
        <v>263.1390375345292</v>
      </c>
      <c r="AH246" s="16"/>
      <c r="AI246" s="16"/>
      <c r="AJ246" s="16"/>
      <c r="AK246" s="16"/>
    </row>
    <row r="247" ht="13.5" customHeight="1" spans="1:37" x14ac:dyDescent="0.25">
      <c r="A247" s="264"/>
      <c r="B247" s="16"/>
      <c r="C247" s="139" t="s">
        <v>406</v>
      </c>
      <c r="D247" s="16"/>
      <c r="E247" s="16"/>
      <c r="F247" s="353">
        <f t="shared" ref="F247:W247" si="391" ca="1">F147</f>
        <v>70269</v>
      </c>
      <c r="G247" s="353">
        <f ca="1">G147</f>
        <v>72248</v>
      </c>
      <c r="H247" s="353">
        <f ca="1">H147</f>
        <v>74591</v>
      </c>
      <c r="I247" s="353">
        <f ca="1">I147</f>
        <v>76534</v>
      </c>
      <c r="J247" s="282">
        <f ca="1">J147</f>
        <v>76534</v>
      </c>
      <c r="K247" s="353">
        <f ca="1">K147</f>
        <v>77913</v>
      </c>
      <c r="L247" s="353">
        <f ca="1">L147</f>
        <v>79732</v>
      </c>
      <c r="M247" s="353">
        <f ca="1">M147</f>
        <v>82030</v>
      </c>
      <c r="N247" s="444">
        <f ca="1">N147</f>
        <v>84800</v>
      </c>
      <c r="O247" s="282">
        <f ca="1">O147</f>
        <v>84800</v>
      </c>
      <c r="P247" s="353">
        <f ca="1">P147</f>
        <v>86725</v>
      </c>
      <c r="Q247" s="353">
        <f ca="1">Q147</f>
        <v>89283</v>
      </c>
      <c r="R247" s="444">
        <f ca="1">R147</f>
        <v>91695</v>
      </c>
      <c r="S247" s="353">
        <f ca="1">S147</f>
        <v>93126</v>
      </c>
      <c r="T247" s="282">
        <f ca="1">T147</f>
        <v>93126</v>
      </c>
      <c r="U247" s="353">
        <f ca="1">U147</f>
        <v>96902</v>
      </c>
      <c r="V247" s="353">
        <f ca="1">V147</f>
        <v>350</v>
      </c>
      <c r="W247" s="444">
        <f ca="1">W147</f>
        <v>343</v>
      </c>
      <c r="X247" s="281">
        <f ca="1">SUM(X244:X246)</f>
        <v>394.3</v>
      </c>
      <c r="Y247" s="282">
        <f ca="1">X247</f>
        <v>394.3</v>
      </c>
      <c r="Z247" s="281">
        <f t="shared" ref="Z247:AG247" si="392" ca="1">SUM(Z244:Z246)</f>
        <v>454.834</v>
      </c>
      <c r="AA247" s="281">
        <f ca="1">SUM(AA244:AA246)</f>
        <v>523.84276</v>
      </c>
      <c r="AB247" s="281">
        <f ca="1">SUM(AB244:AB246)</f>
        <v>584.5704688</v>
      </c>
      <c r="AC247" s="281">
        <f ca="1">SUM(AC244:AC246)</f>
        <v>642.2617921599999</v>
      </c>
      <c r="AD247" s="282">
        <f ca="1">SUM(AD244:AD246)</f>
        <v>642.26179216</v>
      </c>
      <c r="AE247" s="282">
        <f ca="1">SUM(AE244:AE246)</f>
        <v>895.1828201632</v>
      </c>
      <c r="AF247" s="282">
        <f ca="1">SUM(AF244:AF246)</f>
        <v>1153.162268726464</v>
      </c>
      <c r="AG247" s="282">
        <f ca="1">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393" ca="1">F246/F28</f>
        <v>0.0003439035923596085</v>
      </c>
      <c r="G249" s="445">
        <f ca="1">G246/G28</f>
        <v>0.0005093560666988365</v>
      </c>
      <c r="H249" s="445">
        <f ca="1">H246/H28</f>
        <v>0.00022166299401509917</v>
      </c>
      <c r="I249" s="445">
        <f ca="1">I246/I28</f>
        <v>-0.000057930714865021436</v>
      </c>
      <c r="J249" s="446">
        <f ca="1">J246/J28</f>
        <v>0.0002407333910225964</v>
      </c>
      <c r="K249" s="445">
        <f ca="1">K246/K28</f>
        <v>0.000521486484808602</v>
      </c>
      <c r="L249" s="445">
        <f ca="1">L246/L28</f>
        <v>0.00010620471548936773</v>
      </c>
      <c r="M249" s="445">
        <f ca="1">M246/M28</f>
        <v>0.00027189921602392713</v>
      </c>
      <c r="N249" s="447">
        <f ca="1">N246/N28</f>
        <v>0.0002384185593299402</v>
      </c>
      <c r="O249" s="446">
        <f ca="1">O246/O28</f>
        <v>0.00027998560074053334</v>
      </c>
      <c r="P249" s="445">
        <f ca="1">P246/P28</f>
        <v>0.0002992220227408737</v>
      </c>
      <c r="Q249" s="445">
        <f ca="1">Q246/Q28</f>
        <v>0.0003837059775169038</v>
      </c>
      <c r="R249" s="447">
        <f ca="1">R246/R28</f>
        <v>0.00042014343501455844</v>
      </c>
      <c r="S249" s="445">
        <f ca="1">S246/S28</f>
        <v>-0.0000790659673721108</v>
      </c>
      <c r="T249" s="446">
        <f ca="1">T246/T28</f>
        <v>0.00024327457507627154</v>
      </c>
      <c r="U249" s="445">
        <f ca="1">U246/U28</f>
        <v>0.0004913736623716969</v>
      </c>
      <c r="V249" s="445">
        <f ca="1">V246/V28</f>
        <v>0.002212549873050417</v>
      </c>
      <c r="W249" s="447">
        <f ca="1">W246/W28</f>
        <v>0.0023562265468190942</v>
      </c>
      <c r="X249" s="448">
        <f ca="1">W249</f>
        <v>0.0023562265468190942</v>
      </c>
      <c r="Y249" s="446">
        <f ca="1">Y246/Y28</f>
        <v>0.0022786017266898423</v>
      </c>
      <c r="Z249" s="448">
        <f ca="1">X249</f>
        <v>0.0023562265468190942</v>
      </c>
      <c r="AA249" s="448">
        <f t="shared" ref="AA249:AC249" si="394" ca="1">Z249</f>
        <v>0.0023562265468190942</v>
      </c>
      <c r="AB249" s="448">
        <f ca="1">AA249</f>
        <v>0.0023562265468190942</v>
      </c>
      <c r="AC249" s="448">
        <f ca="1">AB249</f>
        <v>0.0023562265468190942</v>
      </c>
      <c r="AD249" s="446">
        <f ca="1">AD246/AD28</f>
        <v>0.0023562265468190947</v>
      </c>
      <c r="AE249" s="449">
        <f ca="1">AC249</f>
        <v>0.0023562265468190942</v>
      </c>
      <c r="AF249" s="449">
        <f t="shared" ref="AF249:AG249" si="395" ca="1">AE249</f>
        <v>0.0023562265468190942</v>
      </c>
      <c r="AG249" s="449">
        <f ca="1">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396" ca="1">E256</f>
        <v>1e-12</v>
      </c>
      <c r="G252" s="353">
        <f ca="1">F256</f>
        <v>196625</v>
      </c>
      <c r="H252" s="353">
        <f ca="1">G256</f>
        <v>200884</v>
      </c>
      <c r="I252" s="353">
        <f ca="1">H256</f>
        <v>205647</v>
      </c>
      <c r="J252" s="282">
        <f ca="1">F252</f>
        <v>1e-12</v>
      </c>
      <c r="K252" s="353">
        <f t="shared" ref="K252:N252" si="397" ca="1">J256</f>
        <v>211247</v>
      </c>
      <c r="L252" s="353">
        <f ca="1">K256</f>
        <v>219770</v>
      </c>
      <c r="M252" s="353">
        <f ca="1">L256</f>
        <v>226033</v>
      </c>
      <c r="N252" s="444">
        <f ca="1">M256</f>
        <v>235317</v>
      </c>
      <c r="O252" s="282">
        <f ca="1">K252</f>
        <v>211247</v>
      </c>
      <c r="P252" s="353">
        <f t="shared" ref="P252:S252" si="398" ca="1">O256</f>
        <v>245084</v>
      </c>
      <c r="Q252" s="353">
        <f ca="1">P256</f>
        <v>262628</v>
      </c>
      <c r="R252" s="444">
        <f ca="1">Q256</f>
        <v>275760</v>
      </c>
      <c r="S252" s="353">
        <f ca="1">R256</f>
        <v>297226</v>
      </c>
      <c r="T252" s="282">
        <f ca="1">P252</f>
        <v>245084</v>
      </c>
      <c r="U252" s="353">
        <f t="shared" ref="U252:X252" si="399" ca="1">T256</f>
        <v>324055</v>
      </c>
      <c r="V252" s="353">
        <f ca="1">U256</f>
        <v>98</v>
      </c>
      <c r="W252" s="444">
        <f ca="1">V256</f>
        <v>-460</v>
      </c>
      <c r="X252" s="281">
        <f ca="1">W256</f>
        <v>-1913</v>
      </c>
      <c r="Y252" s="282">
        <f ca="1">T256</f>
        <v>1117</v>
      </c>
      <c r="Z252" s="281">
        <f ca="1">Y256</f>
        <v>-6735.976412999997</v>
      </c>
      <c r="AA252" s="281">
        <f ca="1">Z256</f>
        <v>-11739.584386407445</v>
      </c>
      <c r="AB252" s="281">
        <f ca="1">AA256</f>
        <v>-12047.125311775832</v>
      </c>
      <c r="AC252" s="281">
        <f ca="1">AB256</f>
        <v>-15139.793477334846</v>
      </c>
      <c r="AD252" s="282">
        <f ca="1">Y256</f>
        <v>-6735.976412999997</v>
      </c>
      <c r="AE252" s="282">
        <f ca="1">AD256</f>
        <v>-20599.893377537916</v>
      </c>
      <c r="AF252" s="282">
        <f ca="1">AE256</f>
        <v>-34763.552769706606</v>
      </c>
      <c r="AG252" s="282">
        <f ca="1">AF256</f>
        <v>-49793.05109533298</v>
      </c>
      <c r="AH252" s="16"/>
      <c r="AI252" s="16"/>
      <c r="AJ252" s="16"/>
      <c r="AK252" s="16"/>
    </row>
    <row r="253" ht="13.5" customHeight="1" spans="1:37" x14ac:dyDescent="0.25">
      <c r="A253" s="264"/>
      <c r="B253" s="16"/>
      <c r="C253" s="139" t="s">
        <v>300</v>
      </c>
      <c r="D253" s="16"/>
      <c r="E253" s="16"/>
      <c r="F253" s="384">
        <f t="shared" ref="F253:I253" si="400" ca="1">F45</f>
        <v>15051</v>
      </c>
      <c r="G253" s="384">
        <f ca="1">G45</f>
        <v>18368</v>
      </c>
      <c r="H253" s="384">
        <f ca="1">H45</f>
        <v>19689</v>
      </c>
      <c r="I253" s="384">
        <f ca="1">I45</f>
        <v>20687</v>
      </c>
      <c r="J253" s="162">
        <f t="shared" ref="J253:J255" si="401" ca="1">SUM(F253:I253)</f>
        <v>73795</v>
      </c>
      <c r="K253" s="384">
        <f t="shared" ref="K253:N253" si="402" ca="1">K45</f>
        <v>23662</v>
      </c>
      <c r="L253" s="384">
        <f ca="1">L45</f>
        <v>23619</v>
      </c>
      <c r="M253" s="384">
        <f ca="1">M45</f>
        <v>26301</v>
      </c>
      <c r="N253" s="437">
        <f ca="1">N45</f>
        <v>26536</v>
      </c>
      <c r="O253" s="162">
        <f t="shared" ref="O253:O255" si="403" ca="1">SUM(K253:N253)</f>
        <v>100118</v>
      </c>
      <c r="P253" s="384">
        <f t="shared" ref="P253:S253" si="404" ca="1">P45</f>
        <v>34540</v>
      </c>
      <c r="Q253" s="384">
        <f ca="1">Q45</f>
        <v>28196</v>
      </c>
      <c r="R253" s="437">
        <f ca="1">R45</f>
        <v>34979</v>
      </c>
      <c r="S253" s="384">
        <f ca="1">S45</f>
        <v>34455</v>
      </c>
      <c r="T253" s="162">
        <f t="shared" ref="T253:T255" si="405" ca="1">SUM(P253:S253)</f>
        <v>132170</v>
      </c>
      <c r="U253" s="384">
        <f t="shared" ref="U253:X253" si="406" ca="1">U45</f>
        <v>62578</v>
      </c>
      <c r="V253" s="384">
        <f ca="1">V45</f>
        <v>3018</v>
      </c>
      <c r="W253" s="437">
        <f ca="1">W45</f>
        <v>1896</v>
      </c>
      <c r="X253" s="359">
        <f ca="1">X45</f>
        <v>-1906.5764130000002</v>
      </c>
      <c r="Y253" s="162">
        <f ca="1">SUM(U253:X253)</f>
        <v>-71880.576413</v>
      </c>
      <c r="Z253" s="359">
        <f ca="1">Z45</f>
        <v>-2080.307973407448</v>
      </c>
      <c r="AA253" s="359">
        <f ca="1">AA45</f>
        <v>-2230.3409253683863</v>
      </c>
      <c r="AB253" s="359">
        <f ca="1">AB45</f>
        <v>-2445.218165559014</v>
      </c>
      <c r="AC253" s="359">
        <f ca="1">AC45</f>
        <v>-2106.239900203071</v>
      </c>
      <c r="AD253" s="162">
        <f ca="1">SUM(Z253:AC253)</f>
        <v>-8862.10696453792</v>
      </c>
      <c r="AE253" s="162">
        <f ca="1">AE45</f>
        <v>-8661.66839216869</v>
      </c>
      <c r="AF253" s="162">
        <f ca="1">AF45</f>
        <v>-8977.308225626371</v>
      </c>
      <c r="AG253" s="162">
        <f ca="1">AG45</f>
        <v>-9249.392148663952</v>
      </c>
      <c r="AH253" s="16"/>
      <c r="AI253" s="16"/>
      <c r="AJ253" s="16"/>
      <c r="AK253" s="16"/>
    </row>
    <row r="254" ht="13.5" customHeight="1" spans="1:37" x14ac:dyDescent="0.25">
      <c r="A254" s="264"/>
      <c r="B254" s="16"/>
      <c r="C254" s="139" t="s">
        <v>408</v>
      </c>
      <c r="D254" s="16"/>
      <c r="E254" s="16"/>
      <c r="F254" s="438">
        <v>-340</v>
      </c>
      <c r="G254" s="438">
        <v>-338</v>
      </c>
      <c r="H254" s="358">
        <v>0</v>
      </c>
      <c r="I254" s="358">
        <v>0</v>
      </c>
      <c r="J254" s="162">
        <f ca="1">SUM(F254:I254)</f>
        <v>-678</v>
      </c>
      <c r="K254" s="358">
        <v>0</v>
      </c>
      <c r="L254" s="358">
        <v>-2466</v>
      </c>
      <c r="M254" s="358">
        <v>-2455</v>
      </c>
      <c r="N254" s="438">
        <v>-2442</v>
      </c>
      <c r="O254" s="162">
        <f ca="1">SUM(K254:N254)</f>
        <v>-7363</v>
      </c>
      <c r="P254" s="358">
        <v>-2434</v>
      </c>
      <c r="Q254" s="358">
        <v>-2543</v>
      </c>
      <c r="R254" s="438">
        <v>-2536</v>
      </c>
      <c r="S254" s="358">
        <v>-2536</v>
      </c>
      <c r="T254" s="162">
        <f ca="1">SUM(P254:S254)</f>
        <v>-10049</v>
      </c>
      <c r="U254" s="358">
        <v>-2542</v>
      </c>
      <c r="V254" s="358">
        <f ca="1">-870-U254</f>
        <v>-430</v>
      </c>
      <c r="W254" s="438">
        <f ca="1">-1433-SUM(U254:V254)</f>
        <v>-563</v>
      </c>
      <c r="X254" s="359">
        <f ca="1">-X267</f>
        <v>-519.8</v>
      </c>
      <c r="Y254" s="162">
        <f ca="1">SUM(U254:X254)</f>
        <v>-1952.8</v>
      </c>
      <c r="Z254" s="359">
        <f t="shared" ref="Z254:AC254" si="407" ca="1">-Z267</f>
        <v>-505.99999999999994</v>
      </c>
      <c r="AA254" s="359">
        <f ca="1">-AA267</f>
        <v>-494.49999999999994</v>
      </c>
      <c r="AB254" s="359">
        <f ca="1">-AB267</f>
        <v>-647.4499999999999</v>
      </c>
      <c r="AC254" s="359">
        <f ca="1">-AC267</f>
        <v>-597.7699999999999</v>
      </c>
      <c r="AD254" s="162">
        <f ca="1">SUM(Z254:AC254)</f>
        <v>-2245.72</v>
      </c>
      <c r="AE254" s="162">
        <f t="shared" ref="AE254:AG254" si="408" ca="1">-AE267</f>
        <v>-2470.292</v>
      </c>
      <c r="AF254" s="162">
        <f ca="1">-AF267</f>
        <v>-2717.3212000000003</v>
      </c>
      <c r="AG254" s="162">
        <f ca="1">-AG267</f>
        <v>-2989.0533200000004</v>
      </c>
      <c r="AH254" s="16"/>
      <c r="AI254" s="16"/>
      <c r="AJ254" s="16"/>
      <c r="AK254" s="16"/>
    </row>
    <row r="255" ht="13.5" customHeight="1" spans="1:37" x14ac:dyDescent="0.25">
      <c r="A255" s="264"/>
      <c r="B255" s="16"/>
      <c r="C255" s="139" t="s">
        <v>409</v>
      </c>
      <c r="D255" s="16"/>
      <c r="E255" s="16"/>
      <c r="F255" s="372">
        <f t="shared" ref="F255:I255" si="409" ca="1">F256-SUM(F252:F254)</f>
        <v>181914</v>
      </c>
      <c r="G255" s="372">
        <f ca="1">G256-SUM(G252:G254)</f>
        <v>-13771</v>
      </c>
      <c r="H255" s="372">
        <f ca="1">H256-SUM(H252:H254)</f>
        <v>-14926</v>
      </c>
      <c r="I255" s="372">
        <f ca="1">I256-SUM(I252:I254)</f>
        <v>-15087</v>
      </c>
      <c r="J255" s="355">
        <f ca="1">SUM(F255:I255)</f>
        <v>138130</v>
      </c>
      <c r="K255" s="372">
        <f t="shared" ref="K255:N255" si="410" ca="1">K256-SUM(K252:K254)</f>
        <v>-15139</v>
      </c>
      <c r="L255" s="372">
        <f ca="1">L256-SUM(L252:L254)</f>
        <v>-14890</v>
      </c>
      <c r="M255" s="372">
        <f ca="1">M256-SUM(M252:M254)</f>
        <v>-14562</v>
      </c>
      <c r="N255" s="450">
        <f ca="1">N256-SUM(N252:N254)</f>
        <v>-14327</v>
      </c>
      <c r="O255" s="355">
        <f ca="1">SUM(K255:N255)</f>
        <v>-58918</v>
      </c>
      <c r="P255" s="372">
        <f t="shared" ref="P255:S255" si="411" ca="1">P256-SUM(P252:P254)</f>
        <v>-14562</v>
      </c>
      <c r="Q255" s="372">
        <f ca="1">Q256-SUM(Q252:Q254)</f>
        <v>-12521</v>
      </c>
      <c r="R255" s="450">
        <f ca="1">R256-SUM(R252:R254)</f>
        <v>-10977</v>
      </c>
      <c r="S255" s="372">
        <f ca="1">S256-SUM(S252:S254)</f>
        <v>-5090</v>
      </c>
      <c r="T255" s="355">
        <f ca="1">SUM(P255:S255)</f>
        <v>-43150</v>
      </c>
      <c r="U255" s="372">
        <f t="shared" ref="U255:W255" si="412" ca="1">U256-SUM(U252:U254)</f>
        <v>-67</v>
      </c>
      <c r="V255" s="372">
        <f ca="1">V256-SUM(V252:V254)</f>
        <v>-3146</v>
      </c>
      <c r="W255" s="450">
        <f ca="1">W256-SUM(W252:W254)</f>
        <v>-2786</v>
      </c>
      <c r="X255" s="368">
        <v>0</v>
      </c>
      <c r="Y255" s="355">
        <f ca="1">SUM(U255:X255)</f>
        <v>-8832</v>
      </c>
      <c r="Z255" s="368">
        <v>0</v>
      </c>
      <c r="AA255" s="368">
        <v>0</v>
      </c>
      <c r="AB255" s="368">
        <v>0</v>
      </c>
      <c r="AC255" s="368">
        <v>0</v>
      </c>
      <c r="AD255" s="355">
        <f ca="1">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13" ca="1">F148</f>
        <v>196625</v>
      </c>
      <c r="G256" s="353">
        <f ca="1">G148</f>
        <v>200884</v>
      </c>
      <c r="H256" s="353">
        <f ca="1">H148</f>
        <v>205647</v>
      </c>
      <c r="I256" s="353">
        <f ca="1">I148</f>
        <v>211247</v>
      </c>
      <c r="J256" s="282">
        <f ca="1">J148</f>
        <v>211247</v>
      </c>
      <c r="K256" s="353">
        <f ca="1">K148</f>
        <v>219770</v>
      </c>
      <c r="L256" s="353">
        <f ca="1">L148</f>
        <v>226033</v>
      </c>
      <c r="M256" s="353">
        <f ca="1">M148</f>
        <v>235317</v>
      </c>
      <c r="N256" s="444">
        <f ca="1">N148</f>
        <v>245084</v>
      </c>
      <c r="O256" s="282">
        <f ca="1">O148</f>
        <v>245084</v>
      </c>
      <c r="P256" s="353">
        <f ca="1">P148</f>
        <v>262628</v>
      </c>
      <c r="Q256" s="353">
        <f ca="1">Q148</f>
        <v>275760</v>
      </c>
      <c r="R256" s="444">
        <f ca="1">R148</f>
        <v>297226</v>
      </c>
      <c r="S256" s="353">
        <f ca="1">S148</f>
        <v>324055</v>
      </c>
      <c r="T256" s="282">
        <f ca="1">T148</f>
        <v>324055</v>
      </c>
      <c r="U256" s="353">
        <f ca="1">U148</f>
        <v>384024</v>
      </c>
      <c r="V256" s="353">
        <f ca="1">V148</f>
        <v>-460</v>
      </c>
      <c r="W256" s="444">
        <f ca="1">W148</f>
        <v>-1913</v>
      </c>
      <c r="X256" s="281">
        <f ca="1">SUM(X252:X255)</f>
        <v>-6735.976413</v>
      </c>
      <c r="Y256" s="282">
        <f ca="1">SUM(Y252:Y255)</f>
        <v>-6735.976412999997</v>
      </c>
      <c r="Z256" s="281">
        <f ca="1">SUM(Z252:Z255)</f>
        <v>-11739.584386407445</v>
      </c>
      <c r="AA256" s="281">
        <f ca="1">SUM(AA252:AA255)</f>
        <v>-12047.125311775832</v>
      </c>
      <c r="AB256" s="281">
        <f ca="1">SUM(AB252:AB255)</f>
        <v>-15139.793477334846</v>
      </c>
      <c r="AC256" s="281">
        <f ca="1">SUM(AC252:AC255)</f>
        <v>-20599.89337753792</v>
      </c>
      <c r="AD256" s="282">
        <f ca="1">SUM(AD252:AD255)</f>
        <v>-20599.893377537916</v>
      </c>
      <c r="AE256" s="282">
        <f ca="1">SUM(AE252:AE255)</f>
        <v>-34763.552769706606</v>
      </c>
      <c r="AF256" s="282">
        <f ca="1">SUM(AF252:AF255)</f>
        <v>-49793.05109533298</v>
      </c>
      <c r="AG256" s="282">
        <f ca="1">SUM(AG252:AG255)</f>
        <v>-65699.85235399693</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14" ca="1">E261</f>
        <v>1e-12</v>
      </c>
      <c r="G259" s="353">
        <f ca="1">F261</f>
        <v>-6000</v>
      </c>
      <c r="H259" s="353">
        <f ca="1">G261</f>
        <v>-5991</v>
      </c>
      <c r="I259" s="353">
        <f ca="1">H261</f>
        <v>-7036</v>
      </c>
      <c r="J259" s="282">
        <f ca="1">F259</f>
        <v>1e-12</v>
      </c>
      <c r="K259" s="353">
        <f t="shared" ref="K259:N259" si="415" ca="1">J261</f>
        <v>-4402</v>
      </c>
      <c r="L259" s="353">
        <f ca="1">K261</f>
        <v>-4839</v>
      </c>
      <c r="M259" s="353">
        <f ca="1">L261</f>
        <v>-5012</v>
      </c>
      <c r="N259" s="444">
        <f ca="1">M261</f>
        <v>-3228</v>
      </c>
      <c r="O259" s="282">
        <f ca="1">K259</f>
        <v>-4402</v>
      </c>
      <c r="P259" s="353">
        <f t="shared" ref="P259:S259" si="416" ca="1">O261</f>
        <v>-4800</v>
      </c>
      <c r="Q259" s="353">
        <f ca="1">P261</f>
        <v>-4086</v>
      </c>
      <c r="R259" s="353">
        <f ca="1">Q261</f>
        <v>-2127</v>
      </c>
      <c r="S259" s="353">
        <f ca="1">R261</f>
        <v>-2054</v>
      </c>
      <c r="T259" s="282">
        <f ca="1">P259</f>
        <v>-4800</v>
      </c>
      <c r="U259" s="353">
        <f t="shared" ref="U259:X259" si="417" ca="1">T261</f>
        <v>-1916</v>
      </c>
      <c r="V259" s="353">
        <f ca="1">U261</f>
        <v>-11</v>
      </c>
      <c r="W259" s="353">
        <f ca="1">V261</f>
        <v>-65</v>
      </c>
      <c r="X259" s="281">
        <f ca="1">W261</f>
        <v>-6</v>
      </c>
      <c r="Y259" s="282">
        <f ca="1">T261</f>
        <v>-136</v>
      </c>
      <c r="Z259" s="281">
        <f t="shared" ref="Z259:AC259" si="418" ca="1">Y261</f>
        <v>-6</v>
      </c>
      <c r="AA259" s="281">
        <f ca="1">Z261</f>
        <v>-6</v>
      </c>
      <c r="AB259" s="281">
        <f ca="1">AA261</f>
        <v>-6</v>
      </c>
      <c r="AC259" s="281">
        <f ca="1">AB261</f>
        <v>-6</v>
      </c>
      <c r="AD259" s="282">
        <f ca="1">Y261</f>
        <v>-6</v>
      </c>
      <c r="AE259" s="282">
        <f t="shared" ref="AE259:AG259" si="419" ca="1">AD261</f>
        <v>-6</v>
      </c>
      <c r="AF259" s="282">
        <f ca="1">AE261</f>
        <v>-6</v>
      </c>
      <c r="AG259" s="282">
        <f ca="1">AF261</f>
        <v>-6</v>
      </c>
      <c r="AH259" s="16"/>
      <c r="AI259" s="16"/>
      <c r="AJ259" s="16"/>
      <c r="AK259" s="16"/>
    </row>
    <row r="260" ht="13.5" customHeight="1" spans="1:37" x14ac:dyDescent="0.25">
      <c r="A260" s="264"/>
      <c r="B260" s="16"/>
      <c r="C260" s="139" t="s">
        <v>411</v>
      </c>
      <c r="D260" s="16"/>
      <c r="E260" s="16"/>
      <c r="F260" s="372">
        <f t="shared" ref="F260:I260" si="420" ca="1">F261-F259</f>
        <v>-6000</v>
      </c>
      <c r="G260" s="372">
        <f ca="1">G261-G259</f>
        <v>9</v>
      </c>
      <c r="H260" s="372">
        <f ca="1">H261-H259</f>
        <v>-1045</v>
      </c>
      <c r="I260" s="372">
        <f ca="1">I261-I259</f>
        <v>2634</v>
      </c>
      <c r="J260" s="355">
        <f ca="1">SUM(F260:I260)</f>
        <v>-4402</v>
      </c>
      <c r="K260" s="372">
        <f t="shared" ref="K260:N260" si="421" ca="1">K261-K259</f>
        <v>-437</v>
      </c>
      <c r="L260" s="372">
        <f ca="1">L261-L259</f>
        <v>-173</v>
      </c>
      <c r="M260" s="372">
        <f ca="1">M261-M259</f>
        <v>1784</v>
      </c>
      <c r="N260" s="450">
        <f ca="1">N261-N259</f>
        <v>-1572</v>
      </c>
      <c r="O260" s="355">
        <f ca="1">SUM(K260:N260)</f>
        <v>-398</v>
      </c>
      <c r="P260" s="372">
        <f t="shared" ref="P260:S260" si="422" ca="1">P261-P259</f>
        <v>714</v>
      </c>
      <c r="Q260" s="372">
        <f ca="1">Q261-Q259</f>
        <v>1959</v>
      </c>
      <c r="R260" s="372">
        <f ca="1">R261-R259</f>
        <v>73</v>
      </c>
      <c r="S260" s="372">
        <f ca="1">S261-S259</f>
        <v>138</v>
      </c>
      <c r="T260" s="355">
        <f ca="1">SUM(P260:S260)</f>
        <v>2884</v>
      </c>
      <c r="U260" s="372">
        <f t="shared" ref="U260:W260" si="423" ca="1">U261-U259</f>
        <v>-264</v>
      </c>
      <c r="V260" s="372">
        <f ca="1">V261-V259</f>
        <v>-54</v>
      </c>
      <c r="W260" s="372">
        <f ca="1">W261-W259</f>
        <v>59</v>
      </c>
      <c r="X260" s="385">
        <f ca="1">Drivers!X108</f>
        <v>1e-12</v>
      </c>
      <c r="Y260" s="355">
        <f ca="1">SUM(U260:X260)</f>
        <v>130</v>
      </c>
      <c r="Z260" s="385">
        <f ca="1">Drivers!Z108</f>
        <v>1e-12</v>
      </c>
      <c r="AA260" s="385">
        <f ca="1">Drivers!AA108</f>
        <v>1e-12</v>
      </c>
      <c r="AB260" s="385">
        <f ca="1">Drivers!AB108</f>
        <v>1e-12</v>
      </c>
      <c r="AC260" s="385">
        <f ca="1">Drivers!AC108</f>
        <v>1e-12</v>
      </c>
      <c r="AD260" s="355">
        <f ca="1">SUM(Z260:AC260)</f>
        <v>1e-12</v>
      </c>
      <c r="AE260" s="391">
        <f ca="1">Drivers!AE108</f>
        <v>1e-12</v>
      </c>
      <c r="AF260" s="391">
        <f ca="1">Drivers!AF108</f>
        <v>1e-12</v>
      </c>
      <c r="AG260" s="391">
        <f ca="1">Drivers!AG108</f>
        <v>1e-12</v>
      </c>
      <c r="AH260" s="16"/>
      <c r="AI260" s="16"/>
      <c r="AJ260" s="16"/>
      <c r="AK260" s="16"/>
    </row>
    <row r="261" ht="13.5" customHeight="1" spans="1:37" x14ac:dyDescent="0.25">
      <c r="A261" s="264"/>
      <c r="B261" s="16"/>
      <c r="C261" s="139" t="s">
        <v>406</v>
      </c>
      <c r="D261" s="16"/>
      <c r="E261" s="16"/>
      <c r="F261" s="353">
        <f t="shared" ref="F261:I261" si="424" ca="1">F150</f>
        <v>-6000</v>
      </c>
      <c r="G261" s="353">
        <f ca="1">G150</f>
        <v>-5991</v>
      </c>
      <c r="H261" s="353">
        <f ca="1">H150</f>
        <v>-7036</v>
      </c>
      <c r="I261" s="353">
        <f ca="1">I150</f>
        <v>-4402</v>
      </c>
      <c r="J261" s="282">
        <f ca="1">SUM(J259:J260)</f>
        <v>-4402</v>
      </c>
      <c r="K261" s="353">
        <f t="shared" ref="K261:N261" si="425" ca="1">K150</f>
        <v>-4839</v>
      </c>
      <c r="L261" s="353">
        <f ca="1">L150</f>
        <v>-5012</v>
      </c>
      <c r="M261" s="353">
        <f ca="1">M150</f>
        <v>-3228</v>
      </c>
      <c r="N261" s="353">
        <f ca="1">N150</f>
        <v>-4800</v>
      </c>
      <c r="O261" s="282">
        <f ca="1">SUM(O259:O260)</f>
        <v>-4800</v>
      </c>
      <c r="P261" s="353">
        <f t="shared" ref="P261:S261" si="426" ca="1">P150</f>
        <v>-4086</v>
      </c>
      <c r="Q261" s="353">
        <f ca="1">Q150</f>
        <v>-2127</v>
      </c>
      <c r="R261" s="353">
        <f ca="1">R150</f>
        <v>-2054</v>
      </c>
      <c r="S261" s="353">
        <f ca="1">S150</f>
        <v>-1916</v>
      </c>
      <c r="T261" s="282">
        <f ca="1">SUM(T259:T260)</f>
        <v>-1916</v>
      </c>
      <c r="U261" s="353">
        <f t="shared" ref="U261:W261" si="427" ca="1">U150</f>
        <v>-2180</v>
      </c>
      <c r="V261" s="353">
        <f ca="1">V150</f>
        <v>-65</v>
      </c>
      <c r="W261" s="353">
        <f ca="1">W150</f>
        <v>-6</v>
      </c>
      <c r="X261" s="281">
        <f t="shared" ref="X261:AG261" si="428" ca="1">SUM(X259:X260)</f>
        <v>-6</v>
      </c>
      <c r="Y261" s="282">
        <f ca="1">SUM(Y259:Y260)</f>
        <v>-6</v>
      </c>
      <c r="Z261" s="281">
        <f ca="1">SUM(Z259:Z260)</f>
        <v>-6</v>
      </c>
      <c r="AA261" s="281">
        <f ca="1">SUM(AA259:AA260)</f>
        <v>-6</v>
      </c>
      <c r="AB261" s="281">
        <f ca="1">SUM(AB259:AB260)</f>
        <v>-6</v>
      </c>
      <c r="AC261" s="281">
        <f ca="1">SUM(AC259:AC260)</f>
        <v>-6</v>
      </c>
      <c r="AD261" s="282">
        <f ca="1">SUM(AD259:AD260)</f>
        <v>-6</v>
      </c>
      <c r="AE261" s="282">
        <f ca="1">SUM(AE259:AE260)</f>
        <v>-6</v>
      </c>
      <c r="AF261" s="282">
        <f ca="1">SUM(AF259:AF260)</f>
        <v>-6</v>
      </c>
      <c r="AG261" s="282">
        <f ca="1">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29" ca="1">F267/F266</f>
        <v>0.4121212121212121</v>
      </c>
      <c r="G264" s="370">
        <f ca="1">G267/G266</f>
        <v>0.4157441574415744</v>
      </c>
      <c r="H264" s="370">
        <f ca="1">H267/H266</f>
        <v>1e-12</v>
      </c>
      <c r="I264" s="370">
        <f ca="1">I267/I266</f>
        <v>1e-12</v>
      </c>
      <c r="J264" s="127">
        <f ca="1">J267/J266</f>
        <v>0.846441947565543</v>
      </c>
      <c r="K264" s="370">
        <f ca="1">K267/K266</f>
        <v>1e-12</v>
      </c>
      <c r="L264" s="370">
        <f ca="1">L267/L266</f>
        <v>3.0332103321033212</v>
      </c>
      <c r="M264" s="370">
        <f ca="1">M267/M266</f>
        <v>3.0459057071960296</v>
      </c>
      <c r="N264" s="370">
        <f ca="1">N267/N266</f>
        <v>3.048689138576779</v>
      </c>
      <c r="O264" s="127">
        <f ca="1">O267/O266</f>
        <v>9.192259675405742</v>
      </c>
      <c r="P264" s="370">
        <f ca="1">P267/P266</f>
        <v>3.223841059602649</v>
      </c>
      <c r="Q264" s="370">
        <f ca="1">Q267/Q266</f>
        <v>3.3816489361702127</v>
      </c>
      <c r="R264" s="370">
        <f ca="1">R267/R266</f>
        <v>3.372340425531915</v>
      </c>
      <c r="S264" s="370">
        <f ca="1">S267/S266</f>
        <v>3.390374331550802</v>
      </c>
      <c r="T264" s="127">
        <f ca="1">T267/T266</f>
        <v>13.434491978609625</v>
      </c>
      <c r="U264" s="370">
        <f ca="1">U267/U266</f>
        <v>3.5403899721448466</v>
      </c>
      <c r="V264" s="370">
        <f ca="1">V267/V266</f>
        <v>0.6099290780141844</v>
      </c>
      <c r="W264" s="370">
        <f ca="1">W267/W266</f>
        <v>0.8159420289855073</v>
      </c>
      <c r="X264" s="451">
        <f ca="1">X267/X266</f>
        <v>0.7727356551328315</v>
      </c>
      <c r="Y264" s="452">
        <f ca="1">Y267/Y266</f>
        <v>2.8040600010044407</v>
      </c>
      <c r="Z264" s="451">
        <f ca="1">Z267/Z266</f>
        <v>0.7546260482128161</v>
      </c>
      <c r="AA264" s="451">
        <f ca="1">AA267/AA266</f>
        <v>0.7398413682399202</v>
      </c>
      <c r="AB264" s="451">
        <f ca="1">AB267/AB266</f>
        <v>0.9717936576599148</v>
      </c>
      <c r="AC264" s="451">
        <f ca="1">AC267/AC266</f>
        <v>0.9001231868505855</v>
      </c>
      <c r="AD264" s="452">
        <f ca="1">AD267/AD266</f>
        <v>3.3653103134459723</v>
      </c>
      <c r="AE264" s="452">
        <f ca="1">AE267/AE266</f>
        <v>3.76228771474281</v>
      </c>
      <c r="AF264" s="452">
        <f ca="1">AF267/AF266</f>
        <v>4.221229264648804</v>
      </c>
      <c r="AG264" s="452">
        <f ca="1">AG267/AG266</f>
        <v>4.738047247540297</v>
      </c>
      <c r="AH264" s="16"/>
      <c r="AI264" s="16"/>
      <c r="AJ264" s="16"/>
      <c r="AK264" s="16"/>
    </row>
    <row r="265" ht="13.5" customHeight="1" spans="1:37" x14ac:dyDescent="0.25">
      <c r="A265" s="264"/>
      <c r="B265" s="16"/>
      <c r="C265" s="139" t="s">
        <v>50</v>
      </c>
      <c r="D265" s="16"/>
      <c r="E265" s="16"/>
      <c r="F265" s="397">
        <f t="shared" ref="F265:I265" si="430" ca="1">4*F264/F239</f>
        <v>0.019172887281749807</v>
      </c>
      <c r="G265" s="397">
        <f ca="1">4*G264/G239</f>
        <v>0.01811521383187688</v>
      </c>
      <c r="H265" s="397">
        <f ca="1">4*H264/H239</f>
        <v>1e-12</v>
      </c>
      <c r="I265" s="397">
        <f ca="1">4*I264/I239</f>
        <v>1e-12</v>
      </c>
      <c r="J265" s="398">
        <f ca="1">J264/J239</f>
        <v>0.009003695564883918</v>
      </c>
      <c r="K265" s="397">
        <f t="shared" ref="K265:N265" si="431" ca="1">4*K264/K239</f>
        <v>1e-12</v>
      </c>
      <c r="L265" s="397">
        <f ca="1">4*L264/L239</f>
        <v>0.11826534095343878</v>
      </c>
      <c r="M265" s="397">
        <f ca="1">4*M264/M239</f>
        <v>0.11238467695585387</v>
      </c>
      <c r="N265" s="397">
        <f ca="1">4*N264/N239</f>
        <v>0.11573271855658267</v>
      </c>
      <c r="O265" s="398">
        <f ca="1">O264/O239</f>
        <v>0.08829785443358076</v>
      </c>
      <c r="P265" s="397">
        <f t="shared" ref="P265:S265" si="432" ca="1">4*P264/P239</f>
        <v>0.13054630733357558</v>
      </c>
      <c r="Q265" s="397">
        <f ca="1">4*Q264/Q239</f>
        <v>0.13693658376878773</v>
      </c>
      <c r="R265" s="397">
        <f ca="1">4*R264/R239</f>
        <v>0.0797046646454811</v>
      </c>
      <c r="S265" s="397">
        <f ca="1">4*S264/S239</f>
        <v>0.06472691825730333</v>
      </c>
      <c r="T265" s="398">
        <f ca="1">T264/T239</f>
        <v>0.07981483762493793</v>
      </c>
      <c r="U265" s="397">
        <f t="shared" ref="U265:W265" si="433" ca="1">4*U264/U239</f>
        <v>0.07772535613929411</v>
      </c>
      <c r="V265" s="397">
        <f ca="1">4*V264/V239</f>
        <v>0.012778959704955387</v>
      </c>
      <c r="W265" s="397">
        <f ca="1">4*W264/W239</f>
        <v>0.015815639175527117</v>
      </c>
      <c r="X265" s="399">
        <f ca="1">X264*4/X239</f>
        <v>0.013255607773099433</v>
      </c>
      <c r="Y265" s="398">
        <f ca="1">Y264/Y239</f>
        <v>0.014445001368382868</v>
      </c>
      <c r="Z265" s="399">
        <f t="shared" ref="Z265:AC265" si="434" ca="1">Z264*4/Z239</f>
        <v>0.012944953224338555</v>
      </c>
      <c r="AA265" s="399">
        <f ca="1">AA264*4/AA239</f>
        <v>0.012691334904192815</v>
      </c>
      <c r="AB265" s="399">
        <f ca="1">AB264*4/AB239</f>
        <v>0.01667027459747688</v>
      </c>
      <c r="AC265" s="399">
        <f ca="1">AC264*4/AC239</f>
        <v>0.015440830034318303</v>
      </c>
      <c r="AD265" s="398">
        <f t="shared" ref="AD265:AG265" si="435" ca="1">AD264/AD239</f>
        <v>0.014432242531289014</v>
      </c>
      <c r="AE265" s="398">
        <f ca="1">AE264/AE239</f>
        <v>0.016134693004300583</v>
      </c>
      <c r="AF265" s="398">
        <f ca="1">AF264/AF239</f>
        <v>0.01810287874023846</v>
      </c>
      <c r="AG265" s="398">
        <f ca="1">AG264/AG239</f>
        <v>0.020319269437946208</v>
      </c>
      <c r="AH265" s="16"/>
      <c r="AI265" s="16"/>
      <c r="AJ265" s="16"/>
      <c r="AK265" s="16"/>
    </row>
    <row r="266" ht="13.5" customHeight="1" spans="1:37" x14ac:dyDescent="0.25">
      <c r="A266" s="264"/>
      <c r="B266" s="16"/>
      <c r="C266" s="139" t="s">
        <v>414</v>
      </c>
      <c r="D266" s="16"/>
      <c r="E266" s="16"/>
      <c r="F266" s="384">
        <f t="shared" ref="F266:AG266" si="436" ca="1">F282</f>
        <v>825</v>
      </c>
      <c r="G266" s="384">
        <f ca="1">G282</f>
        <v>813</v>
      </c>
      <c r="H266" s="384">
        <f ca="1">H282</f>
        <v>806</v>
      </c>
      <c r="I266" s="384">
        <f ca="1">I282</f>
        <v>801</v>
      </c>
      <c r="J266" s="162">
        <f ca="1">J282</f>
        <v>801</v>
      </c>
      <c r="K266" s="384">
        <f ca="1">K282</f>
        <v>825</v>
      </c>
      <c r="L266" s="384">
        <f ca="1">L282</f>
        <v>813</v>
      </c>
      <c r="M266" s="384">
        <f ca="1">M282</f>
        <v>806</v>
      </c>
      <c r="N266" s="384">
        <f ca="1">N282</f>
        <v>801</v>
      </c>
      <c r="O266" s="162">
        <f ca="1">O282</f>
        <v>801</v>
      </c>
      <c r="P266" s="384">
        <f ca="1">P282</f>
        <v>755</v>
      </c>
      <c r="Q266" s="384">
        <f ca="1">Q282</f>
        <v>752</v>
      </c>
      <c r="R266" s="384">
        <f ca="1">R282</f>
        <v>752</v>
      </c>
      <c r="S266" s="384">
        <f ca="1">S282</f>
        <v>748</v>
      </c>
      <c r="T266" s="162">
        <f ca="1">T282</f>
        <v>748</v>
      </c>
      <c r="U266" s="384">
        <f ca="1">U282</f>
        <v>718</v>
      </c>
      <c r="V266" s="384">
        <f ca="1">V282</f>
        <v>705</v>
      </c>
      <c r="W266" s="384">
        <f ca="1">W282</f>
        <v>690</v>
      </c>
      <c r="X266" s="359">
        <f ca="1">X282</f>
        <v>672.6750558839524</v>
      </c>
      <c r="Y266" s="162">
        <f ca="1">Y282</f>
        <v>696.418763970988</v>
      </c>
      <c r="Z266" s="359">
        <f ca="1">Z282</f>
        <v>670.530789651857</v>
      </c>
      <c r="AA266" s="359">
        <f ca="1">AA282</f>
        <v>668.3865234197617</v>
      </c>
      <c r="AB266" s="359">
        <f ca="1">AB282</f>
        <v>666.2422571876664</v>
      </c>
      <c r="AC266" s="359">
        <f ca="1">AC282</f>
        <v>664.097990955571</v>
      </c>
      <c r="AD266" s="162">
        <f ca="1">AD282</f>
        <v>667.314390303714</v>
      </c>
      <c r="AE266" s="162">
        <f ca="1">AE282</f>
        <v>656.593059143237</v>
      </c>
      <c r="AF266" s="162">
        <f ca="1">AF282</f>
        <v>643.7274617506648</v>
      </c>
      <c r="AG266" s="162">
        <f ca="1">AG282</f>
        <v>630.8618643580926</v>
      </c>
      <c r="AH266" s="16"/>
      <c r="AI266" s="16"/>
      <c r="AJ266" s="16"/>
      <c r="AK266" s="16"/>
    </row>
    <row r="267" ht="13.5" customHeight="1" spans="1:37" x14ac:dyDescent="0.25">
      <c r="A267" s="264"/>
      <c r="B267" s="16"/>
      <c r="C267" s="139" t="s">
        <v>415</v>
      </c>
      <c r="D267" s="16"/>
      <c r="E267" s="16"/>
      <c r="F267" s="353">
        <f t="shared" ref="F267:I267" si="437" ca="1">-F254</f>
        <v>340</v>
      </c>
      <c r="G267" s="353">
        <f ca="1">-G254</f>
        <v>338</v>
      </c>
      <c r="H267" s="353">
        <f ca="1">-H254</f>
        <v>1e-12</v>
      </c>
      <c r="I267" s="353">
        <f ca="1">-I254</f>
        <v>1e-12</v>
      </c>
      <c r="J267" s="282">
        <f ca="1">SUM(F267:I267)</f>
        <v>678</v>
      </c>
      <c r="K267" s="353">
        <f t="shared" ref="K267:N267" si="438" ca="1">-K254</f>
        <v>1e-12</v>
      </c>
      <c r="L267" s="353">
        <f ca="1">-L254</f>
        <v>2466</v>
      </c>
      <c r="M267" s="353">
        <f ca="1">-M254</f>
        <v>2455</v>
      </c>
      <c r="N267" s="353">
        <f ca="1">-N254</f>
        <v>2442</v>
      </c>
      <c r="O267" s="282">
        <f ca="1">SUM(K267:N267)</f>
        <v>7363</v>
      </c>
      <c r="P267" s="353">
        <f t="shared" ref="P267:S267" si="439" ca="1">-P254</f>
        <v>2434</v>
      </c>
      <c r="Q267" s="353">
        <f ca="1">-Q254</f>
        <v>2543</v>
      </c>
      <c r="R267" s="353">
        <f ca="1">-R254</f>
        <v>2536</v>
      </c>
      <c r="S267" s="353">
        <f ca="1">-S254</f>
        <v>2536</v>
      </c>
      <c r="T267" s="282">
        <f ca="1">SUM(P267:S267)</f>
        <v>10049</v>
      </c>
      <c r="U267" s="353">
        <f t="shared" ref="U267:W267" si="440" ca="1">-U254</f>
        <v>2542</v>
      </c>
      <c r="V267" s="353">
        <f ca="1">-V254</f>
        <v>430</v>
      </c>
      <c r="W267" s="353">
        <f ca="1">-W254</f>
        <v>563</v>
      </c>
      <c r="X267" s="281">
        <f ca="1">S267*(1+X273)</f>
        <v>519.8</v>
      </c>
      <c r="Y267" s="282">
        <f ca="1">SUM(U267:X267)</f>
        <v>1952.8</v>
      </c>
      <c r="Z267" s="281">
        <f t="shared" ref="Z267:AC267" si="441" ca="1">U267*(1+Z273)</f>
        <v>505.99999999999994</v>
      </c>
      <c r="AA267" s="281">
        <f ca="1">V267*(1+AA273)</f>
        <v>494.49999999999994</v>
      </c>
      <c r="AB267" s="281">
        <f ca="1">W267*(1+AB273)</f>
        <v>647.4499999999999</v>
      </c>
      <c r="AC267" s="281">
        <f ca="1">X267*(1+AC273)</f>
        <v>597.7699999999999</v>
      </c>
      <c r="AD267" s="282">
        <f ca="1">SUM(Z267:AC267)</f>
        <v>2245.72</v>
      </c>
      <c r="AE267" s="282">
        <f t="shared" ref="AE267:AG267" si="442" ca="1">AD267*(1+AE273)</f>
        <v>2470.292</v>
      </c>
      <c r="AF267" s="282">
        <f ca="1">AE267*(1+AF273)</f>
        <v>2717.3212000000003</v>
      </c>
      <c r="AG267" s="282">
        <f ca="1">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 ca="1">SUM(F271:I271)</f>
        <v>1e-12</v>
      </c>
      <c r="K271" s="413">
        <v>0</v>
      </c>
      <c r="L271" s="413">
        <v>0</v>
      </c>
      <c r="M271" s="413">
        <v>0</v>
      </c>
      <c r="N271" s="413">
        <v>0</v>
      </c>
      <c r="O271" s="329">
        <f ca="1">SUM(K271:N271)</f>
        <v>1e-12</v>
      </c>
      <c r="P271" s="413">
        <v>0</v>
      </c>
      <c r="Q271" s="413">
        <v>0</v>
      </c>
      <c r="R271" s="413">
        <v>0</v>
      </c>
      <c r="S271" s="413">
        <v>0</v>
      </c>
      <c r="T271" s="329">
        <f ca="1">SUM(P271:S271)</f>
        <v>1e-12</v>
      </c>
      <c r="U271" s="413">
        <v>0</v>
      </c>
      <c r="V271" s="413">
        <v>0</v>
      </c>
      <c r="W271" s="413">
        <v>0</v>
      </c>
      <c r="X271" s="417">
        <v>0</v>
      </c>
      <c r="Y271" s="329">
        <f t="shared" ref="Y271:Y272" si="443" ca="1">SUM(U271:X271)</f>
        <v>1e-12</v>
      </c>
      <c r="Z271" s="417">
        <v>0</v>
      </c>
      <c r="AA271" s="417">
        <v>0</v>
      </c>
      <c r="AB271" s="417">
        <v>0</v>
      </c>
      <c r="AC271" s="417">
        <v>0</v>
      </c>
      <c r="AD271" s="329">
        <f t="shared" ref="AD271:AD272" si="444" ca="1">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45" ca="1">F241</f>
        <v>728</v>
      </c>
      <c r="G272" s="384">
        <f ca="1">G241</f>
        <v>1118</v>
      </c>
      <c r="H272" s="384">
        <f ca="1">H241</f>
        <v>652</v>
      </c>
      <c r="I272" s="384">
        <f ca="1">I241</f>
        <v>539</v>
      </c>
      <c r="J272" s="162">
        <f ca="1">J241</f>
        <v>3037</v>
      </c>
      <c r="K272" s="384">
        <f ca="1">K241</f>
        <v>826</v>
      </c>
      <c r="L272" s="384">
        <f ca="1">L241</f>
        <v>1944</v>
      </c>
      <c r="M272" s="384">
        <f ca="1">M241</f>
        <v>879</v>
      </c>
      <c r="N272" s="384">
        <f ca="1">N241</f>
        <v>664</v>
      </c>
      <c r="O272" s="162">
        <f ca="1">O241</f>
        <v>4313</v>
      </c>
      <c r="P272" s="384">
        <f ca="1">P241</f>
        <v>966</v>
      </c>
      <c r="Q272" s="384">
        <f ca="1">Q241</f>
        <v>1e-12</v>
      </c>
      <c r="R272" s="384">
        <f ca="1">R241</f>
        <v>562</v>
      </c>
      <c r="S272" s="384">
        <f ca="1">S241</f>
        <v>3443</v>
      </c>
      <c r="T272" s="162">
        <f ca="1">T241</f>
        <v>4971</v>
      </c>
      <c r="U272" s="384">
        <f ca="1">U241</f>
        <v>3038</v>
      </c>
      <c r="V272" s="384">
        <f ca="1">V241</f>
        <v>3136</v>
      </c>
      <c r="W272" s="384">
        <f ca="1">W241</f>
        <v>2825</v>
      </c>
      <c r="X272" s="361">
        <f ca="1">Drivers!X165</f>
        <v>500</v>
      </c>
      <c r="Y272" s="162">
        <f ca="1">SUM(U272:X272)</f>
        <v>9499</v>
      </c>
      <c r="Z272" s="361">
        <f ca="1">Drivers!Z165</f>
        <v>500</v>
      </c>
      <c r="AA272" s="361">
        <f ca="1">Drivers!AA165</f>
        <v>500</v>
      </c>
      <c r="AB272" s="361">
        <f ca="1">Drivers!AB165</f>
        <v>500</v>
      </c>
      <c r="AC272" s="361">
        <f ca="1">Drivers!AC165</f>
        <v>500</v>
      </c>
      <c r="AD272" s="162">
        <f ca="1">SUM(Z272:AC272)</f>
        <v>2000</v>
      </c>
      <c r="AE272" s="362">
        <f ca="1">Drivers!AE165</f>
        <v>3000</v>
      </c>
      <c r="AF272" s="362">
        <f ca="1">Drivers!AF165</f>
        <v>3000</v>
      </c>
      <c r="AG272" s="362">
        <f ca="1">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46" ca="1">K267/F267-1</f>
        <v>-1</v>
      </c>
      <c r="L273" s="397">
        <f ca="1">L267/G267-1</f>
        <v>6.295857988165681</v>
      </c>
      <c r="M273" s="397">
        <f ca="1">M267/H267-1</f>
        <v>0.09743589743589753</v>
      </c>
      <c r="N273" s="397">
        <f ca="1">N267/I267-1</f>
        <v>0.09302325581395343</v>
      </c>
      <c r="O273" s="398">
        <f ca="1">O267/J267-1</f>
        <v>9.859882005899705</v>
      </c>
      <c r="P273" s="397">
        <f ca="1">P267/K267-1</f>
        <v>0.09090909090909083</v>
      </c>
      <c r="Q273" s="397">
        <f ca="1">Q267/L267-1</f>
        <v>0.031224655312246608</v>
      </c>
      <c r="R273" s="397">
        <f ca="1">R267/M267-1</f>
        <v>0.03299389002036657</v>
      </c>
      <c r="S273" s="397">
        <f ca="1">S267/N267-1</f>
        <v>0.03849303849303842</v>
      </c>
      <c r="T273" s="398">
        <f ca="1">T267/O267-1</f>
        <v>0.3647969577617818</v>
      </c>
      <c r="U273" s="397">
        <f ca="1">U267/P267-1</f>
        <v>0.044371405094494554</v>
      </c>
      <c r="V273" s="397">
        <f ca="1">V267/Q267-1</f>
        <v>0.033653846153846256</v>
      </c>
      <c r="W273" s="397">
        <f ca="1">W267/R267-1</f>
        <v>0.3533653846153846</v>
      </c>
      <c r="X273" s="422">
        <f ca="1">Drivers!X101</f>
        <v>0.15</v>
      </c>
      <c r="Y273" s="398">
        <f ca="1">Y267/T267-1</f>
        <v>0.14600938967136146</v>
      </c>
      <c r="Z273" s="422">
        <f ca="1">Drivers!Z101</f>
        <v>0.15</v>
      </c>
      <c r="AA273" s="422">
        <f ca="1">Drivers!AA101</f>
        <v>0.15</v>
      </c>
      <c r="AB273" s="422">
        <f ca="1">Drivers!AB101</f>
        <v>0.15</v>
      </c>
      <c r="AC273" s="422">
        <f ca="1">Drivers!AC101</f>
        <v>0.15</v>
      </c>
      <c r="AD273" s="398">
        <f ca="1">AD267/Y267-1</f>
        <v>0.1499999999999999</v>
      </c>
      <c r="AE273" s="423">
        <f ca="1">Drivers!AE101</f>
        <v>0.1</v>
      </c>
      <c r="AF273" s="423">
        <f ca="1">Drivers!AF101</f>
        <v>0.1</v>
      </c>
      <c r="AG273" s="423">
        <f ca="1">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 ca="1">F$25</f>
        <v>1e-12</v>
      </c>
      <c r="G275" s="63">
        <f t="shared" ref="G275:AG275" si="447" ca="1">G$63</f>
        <v>1e-12</v>
      </c>
      <c r="H275" s="63">
        <f ca="1">H$63</f>
        <v>1e-12</v>
      </c>
      <c r="I275" s="63">
        <f ca="1">I$63</f>
        <v>1e-12</v>
      </c>
      <c r="J275" s="63">
        <f ca="1">J$63</f>
        <v>2023</v>
      </c>
      <c r="K275" s="63">
        <f ca="1">K$63</f>
        <v>1e-12</v>
      </c>
      <c r="L275" s="63">
        <f ca="1">L$63</f>
        <v>1e-12</v>
      </c>
      <c r="M275" s="63">
        <f ca="1">M$63</f>
        <v>1e-12</v>
      </c>
      <c r="N275" s="63">
        <f ca="1">N$63</f>
        <v>1e-12</v>
      </c>
      <c r="O275" s="63">
        <f ca="1">O$63</f>
        <v>2024</v>
      </c>
      <c r="P275" s="63">
        <f ca="1">P$63</f>
        <v>1e-12</v>
      </c>
      <c r="Q275" s="63">
        <f ca="1">Q$63</f>
        <v>1e-12</v>
      </c>
      <c r="R275" s="63">
        <f ca="1">R$63</f>
        <v>1e-12</v>
      </c>
      <c r="S275" s="63">
        <f ca="1">S$63</f>
        <v>1e-12</v>
      </c>
      <c r="T275" s="63">
        <f ca="1">T$63</f>
        <v>2025</v>
      </c>
      <c r="U275" s="63">
        <f ca="1">U$63</f>
        <v>1e-12</v>
      </c>
      <c r="V275" s="63" t="str">
        <f ca="1">V$63</f>
        <v>2Q26</v>
      </c>
      <c r="W275" s="63" t="str">
        <f ca="1">W$63</f>
        <v>3Q26e</v>
      </c>
      <c r="X275" s="63" t="str">
        <f ca="1">X$63</f>
        <v>4Q26e</v>
      </c>
      <c r="Y275" s="63" t="str">
        <f ca="1">Y$63</f>
        <v>2026e</v>
      </c>
      <c r="Z275" s="63" t="str">
        <f ca="1">Z$63</f>
        <v>1Q27e</v>
      </c>
      <c r="AA275" s="63" t="str">
        <f ca="1">AA$63</f>
        <v>2Q27e</v>
      </c>
      <c r="AB275" s="63" t="str">
        <f ca="1">AB$63</f>
        <v>3Q27e</v>
      </c>
      <c r="AC275" s="63" t="str">
        <f ca="1">AC$63</f>
        <v>4Q27e</v>
      </c>
      <c r="AD275" s="63" t="str">
        <f ca="1">AD$63</f>
        <v>2027e</v>
      </c>
      <c r="AE275" s="63" t="str">
        <f ca="1">AE$63</f>
        <v>2028e</v>
      </c>
      <c r="AF275" s="63" t="str">
        <f ca="1">AF$63</f>
        <v>2029e</v>
      </c>
      <c r="AG275" s="64" t="str">
        <f ca="1">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 ca="1">W280</f>
        <v>673.747189</v>
      </c>
      <c r="Y277" s="16"/>
      <c r="Z277" s="360">
        <f t="shared" ref="Z277:AC277" si="448" ca="1">Y280</f>
        <v>671.6029227679047</v>
      </c>
      <c r="AA277" s="360">
        <f ca="1">Z280</f>
        <v>669.4586565358094</v>
      </c>
      <c r="AB277" s="360">
        <f ca="1">AA280</f>
        <v>667.314390303714</v>
      </c>
      <c r="AC277" s="360">
        <f ca="1">AB280</f>
        <v>665.1701240716187</v>
      </c>
      <c r="AD277" s="162">
        <f ca="1">Y280</f>
        <v>671.6029227679047</v>
      </c>
      <c r="AE277" s="453">
        <f t="shared" ref="AE277:AG277" si="449" ca="1">AD280</f>
        <v>663.0258578395232</v>
      </c>
      <c r="AF277" s="453">
        <f ca="1">AE280</f>
        <v>650.1602604469509</v>
      </c>
      <c r="AG277" s="453">
        <f ca="1">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 ca="1">X271</f>
        <v>1e-12</v>
      </c>
      <c r="Y278" s="453">
        <f t="shared" ref="Y278:Y279" si="450" ca="1">SUM(U278:X278)</f>
        <v>1e-12</v>
      </c>
      <c r="Z278" s="360">
        <f t="shared" ref="Z278:AC278" si="451" ca="1">Z271</f>
        <v>1e-12</v>
      </c>
      <c r="AA278" s="360">
        <f ca="1">AA271</f>
        <v>1e-12</v>
      </c>
      <c r="AB278" s="360">
        <f ca="1">AB271</f>
        <v>1e-12</v>
      </c>
      <c r="AC278" s="360">
        <f ca="1">AC271</f>
        <v>1e-12</v>
      </c>
      <c r="AD278" s="453">
        <f t="shared" ref="AD278:AD279" si="452" ca="1">SUM(Z278:AC278)</f>
        <v>1e-12</v>
      </c>
      <c r="AE278" s="453">
        <f t="shared" ref="AE278:AG278" si="453" ca="1">AE271</f>
        <v>1e-12</v>
      </c>
      <c r="AF278" s="453">
        <f ca="1">AF271</f>
        <v>1e-12</v>
      </c>
      <c r="AG278" s="453">
        <f ca="1">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 ca="1">-X240</f>
        <v>-2.1442662320953767</v>
      </c>
      <c r="Y279" s="459">
        <f ca="1">SUM(U279:X279)</f>
        <v>-2.1442662320953767</v>
      </c>
      <c r="Z279" s="458">
        <f t="shared" ref="Z279:AC279" si="454" ca="1">-Z240</f>
        <v>-2.1442662320953767</v>
      </c>
      <c r="AA279" s="458">
        <f ca="1">-AA240</f>
        <v>-2.1442662320953767</v>
      </c>
      <c r="AB279" s="458">
        <f ca="1">-AB240</f>
        <v>-2.1442662320953767</v>
      </c>
      <c r="AC279" s="458">
        <f ca="1">-AC240</f>
        <v>-2.1442662320953767</v>
      </c>
      <c r="AD279" s="459">
        <f ca="1">SUM(Z279:AC279)</f>
        <v>-8.577064928381507</v>
      </c>
      <c r="AE279" s="459">
        <f t="shared" ref="AE279:AG279" si="455" ca="1">-AE240</f>
        <v>-12.865597392572262</v>
      </c>
      <c r="AF279" s="459">
        <f ca="1">-AF240</f>
        <v>-12.865597392572262</v>
      </c>
      <c r="AG279" s="459">
        <f ca="1">-AG240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 ca="1">J280</f>
        <v>612.478643</v>
      </c>
      <c r="J280" s="366">
        <v>612.478643</v>
      </c>
      <c r="K280" s="358">
        <v>816.153978</v>
      </c>
      <c r="L280" s="358">
        <v>808.275229</v>
      </c>
      <c r="M280" s="358">
        <v>802.957007</v>
      </c>
      <c r="N280" s="358">
        <f ca="1">O280</f>
        <v>795.922717</v>
      </c>
      <c r="O280" s="366">
        <v>795.922717</v>
      </c>
      <c r="P280" s="358">
        <v>755.002775</v>
      </c>
      <c r="Q280" s="358">
        <v>755.736046</v>
      </c>
      <c r="R280" s="358">
        <v>732.722859</v>
      </c>
      <c r="S280" s="358">
        <v>754.948648</v>
      </c>
      <c r="T280" s="366">
        <f ca="1">S280</f>
        <v>754.948648</v>
      </c>
      <c r="U280" s="358">
        <v>706.890137</v>
      </c>
      <c r="V280" s="358">
        <v>692.43269</v>
      </c>
      <c r="W280" s="358">
        <v>673.747189</v>
      </c>
      <c r="X280" s="359">
        <f ca="1">SUM(X277:X279)</f>
        <v>671.6029227679047</v>
      </c>
      <c r="Y280" s="162">
        <f ca="1">X280</f>
        <v>671.6029227679047</v>
      </c>
      <c r="Z280" s="359">
        <f t="shared" ref="Z280:AG280" si="456" ca="1">SUM(Z277:Z279)</f>
        <v>669.4586565358094</v>
      </c>
      <c r="AA280" s="359">
        <f ca="1">SUM(AA277:AA279)</f>
        <v>667.314390303714</v>
      </c>
      <c r="AB280" s="359">
        <f ca="1">SUM(AB277:AB279)</f>
        <v>665.1701240716187</v>
      </c>
      <c r="AC280" s="359">
        <f ca="1">SUM(AC277:AC279)</f>
        <v>663.0258578395234</v>
      </c>
      <c r="AD280" s="162">
        <f ca="1">SUM(AD277:AD279)</f>
        <v>663.0258578395232</v>
      </c>
      <c r="AE280" s="162">
        <f ca="1">SUM(AE277:AE279)</f>
        <v>650.1602604469509</v>
      </c>
      <c r="AF280" s="162">
        <f ca="1">SUM(AF277:AF279)</f>
        <v>637.2946630543787</v>
      </c>
      <c r="AG280" s="162">
        <f ca="1">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 ca="1">I282</f>
        <v>801</v>
      </c>
      <c r="K282" s="358">
        <v>825</v>
      </c>
      <c r="L282" s="358">
        <v>813</v>
      </c>
      <c r="M282" s="358">
        <v>806</v>
      </c>
      <c r="N282" s="358">
        <v>801</v>
      </c>
      <c r="O282" s="366">
        <f ca="1">N282</f>
        <v>801</v>
      </c>
      <c r="P282" s="358">
        <v>755</v>
      </c>
      <c r="Q282" s="358">
        <v>752</v>
      </c>
      <c r="R282" s="358">
        <v>752</v>
      </c>
      <c r="S282" s="358">
        <v>748</v>
      </c>
      <c r="T282" s="366">
        <f ca="1">S282</f>
        <v>748</v>
      </c>
      <c r="U282" s="358">
        <v>718</v>
      </c>
      <c r="V282" s="358">
        <v>705</v>
      </c>
      <c r="W282" s="358">
        <v>690</v>
      </c>
      <c r="X282" s="359">
        <f ca="1">AVERAGE(X280,X277)</f>
        <v>672.6750558839524</v>
      </c>
      <c r="Y282" s="162">
        <f ca="1">AVERAGE(U282:X282)</f>
        <v>696.418763970988</v>
      </c>
      <c r="Z282" s="359">
        <f t="shared" ref="Z282:AC282" si="457" ca="1">AVERAGE(Z280,Z277)</f>
        <v>670.530789651857</v>
      </c>
      <c r="AA282" s="359">
        <f ca="1">AVERAGE(AA280,AA277)</f>
        <v>668.3865234197617</v>
      </c>
      <c r="AB282" s="359">
        <f ca="1">AVERAGE(AB280,AB277)</f>
        <v>666.2422571876664</v>
      </c>
      <c r="AC282" s="359">
        <f ca="1">AVERAGE(AC280,AC277)</f>
        <v>664.097990955571</v>
      </c>
      <c r="AD282" s="162">
        <f ca="1">AVERAGE(Z282:AC282)</f>
        <v>667.314390303714</v>
      </c>
      <c r="AE282" s="162">
        <f t="shared" ref="AE282:AG282" si="458" ca="1">AVERAGE(AE280,AE277)</f>
        <v>656.593059143237</v>
      </c>
      <c r="AF282" s="162">
        <f ca="1">AVERAGE(AF280,AF277)</f>
        <v>643.7274617506648</v>
      </c>
      <c r="AG282" s="162">
        <f ca="1">AVERAGE(AG280,AG277)</f>
        <v>630.8618643580926</v>
      </c>
      <c r="AH282" s="16"/>
      <c r="AI282" s="16"/>
      <c r="AJ282" s="16"/>
      <c r="AK282" s="16"/>
    </row>
    <row r="283" ht="13.5" customHeight="1" spans="1:37" x14ac:dyDescent="0.25">
      <c r="A283" s="264"/>
      <c r="B283" s="16"/>
      <c r="C283" s="139" t="s">
        <v>425</v>
      </c>
      <c r="D283" s="16"/>
      <c r="E283" s="16"/>
      <c r="F283" s="372">
        <f t="shared" ref="F283:W283" si="459" ca="1">F284-F282</f>
        <v>1</v>
      </c>
      <c r="G283" s="372">
        <f ca="1">G284-G282</f>
        <v>1</v>
      </c>
      <c r="H283" s="372">
        <f ca="1">H284-H282</f>
        <v>1</v>
      </c>
      <c r="I283" s="372">
        <f ca="1">I284-I282</f>
        <v>1e-12</v>
      </c>
      <c r="J283" s="355">
        <f ca="1">J284-J282</f>
        <v>1e-12</v>
      </c>
      <c r="K283" s="372">
        <f ca="1">K284-K282</f>
        <v>1</v>
      </c>
      <c r="L283" s="372">
        <f ca="1">L284-L282</f>
        <v>1</v>
      </c>
      <c r="M283" s="372">
        <f ca="1">M284-M282</f>
        <v>1</v>
      </c>
      <c r="N283" s="372">
        <f ca="1">N284-N282</f>
        <v>1e-12</v>
      </c>
      <c r="O283" s="355">
        <f ca="1">O284-O282</f>
        <v>1e-12</v>
      </c>
      <c r="P283" s="372">
        <f ca="1">P284-P282</f>
        <v>1</v>
      </c>
      <c r="Q283" s="372">
        <f ca="1">Q284-Q282</f>
        <v>1</v>
      </c>
      <c r="R283" s="372">
        <f ca="1">R284-R282</f>
        <v>2</v>
      </c>
      <c r="S283" s="372">
        <f ca="1">S284-S282</f>
        <v>2</v>
      </c>
      <c r="T283" s="355">
        <f ca="1">T284-T282</f>
        <v>2</v>
      </c>
      <c r="U283" s="372">
        <f ca="1">U284-U282</f>
        <v>2</v>
      </c>
      <c r="V283" s="372">
        <f ca="1">V284-V282</f>
        <v>2</v>
      </c>
      <c r="W283" s="372">
        <f ca="1">W284-W282</f>
        <v>2</v>
      </c>
      <c r="X283" s="368">
        <f ca="1">W283</f>
        <v>2</v>
      </c>
      <c r="Y283" s="355">
        <f ca="1">Y284-Y282</f>
        <v>2</v>
      </c>
      <c r="Z283" s="368">
        <f ca="1">X283</f>
        <v>2</v>
      </c>
      <c r="AA283" s="368">
        <f t="shared" ref="AA283:AC283" si="460" ca="1">Z283</f>
        <v>2</v>
      </c>
      <c r="AB283" s="368">
        <f ca="1">AA283</f>
        <v>2</v>
      </c>
      <c r="AC283" s="368">
        <f ca="1">AB283</f>
        <v>2</v>
      </c>
      <c r="AD283" s="355">
        <f ca="1">AD284-AD282</f>
        <v>2</v>
      </c>
      <c r="AE283" s="369">
        <f ca="1">AC283</f>
        <v>2</v>
      </c>
      <c r="AF283" s="369">
        <f t="shared" ref="AF283:AG283" si="461" ca="1">AE283</f>
        <v>2</v>
      </c>
      <c r="AG283" s="369">
        <f ca="1">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 ca="1">I284</f>
        <v>801</v>
      </c>
      <c r="K284" s="358">
        <v>826</v>
      </c>
      <c r="L284" s="358">
        <v>814</v>
      </c>
      <c r="M284" s="358">
        <v>807</v>
      </c>
      <c r="N284" s="358">
        <v>801</v>
      </c>
      <c r="O284" s="366">
        <f ca="1">N284</f>
        <v>801</v>
      </c>
      <c r="P284" s="358">
        <v>756</v>
      </c>
      <c r="Q284" s="358">
        <v>753</v>
      </c>
      <c r="R284" s="358">
        <v>754</v>
      </c>
      <c r="S284" s="358">
        <v>750</v>
      </c>
      <c r="T284" s="366">
        <f ca="1">S284</f>
        <v>750</v>
      </c>
      <c r="U284" s="358">
        <v>720</v>
      </c>
      <c r="V284" s="358">
        <v>707</v>
      </c>
      <c r="W284" s="358">
        <v>692</v>
      </c>
      <c r="X284" s="359">
        <f ca="1">SUM(X282:X283)</f>
        <v>674.6750558839524</v>
      </c>
      <c r="Y284" s="162">
        <f ca="1">AVERAGE(U284:X284)</f>
        <v>698.418763970988</v>
      </c>
      <c r="Z284" s="359">
        <f t="shared" ref="Z284:AC284" si="462" ca="1">SUM(Z282:Z283)</f>
        <v>672.530789651857</v>
      </c>
      <c r="AA284" s="359">
        <f ca="1">SUM(AA282:AA283)</f>
        <v>670.3865234197617</v>
      </c>
      <c r="AB284" s="359">
        <f ca="1">SUM(AB282:AB283)</f>
        <v>668.2422571876664</v>
      </c>
      <c r="AC284" s="359">
        <f ca="1">SUM(AC282:AC283)</f>
        <v>666.097990955571</v>
      </c>
      <c r="AD284" s="162">
        <f ca="1">AVERAGE(Z284:AC284)</f>
        <v>669.314390303714</v>
      </c>
      <c r="AE284" s="162">
        <f t="shared" ref="AE284:AG284" si="463" ca="1">SUM(AE282:AE283)</f>
        <v>658.593059143237</v>
      </c>
      <c r="AF284" s="162">
        <f ca="1">SUM(AF282:AF283)</f>
        <v>645.7274617506648</v>
      </c>
      <c r="AG284" s="162">
        <f ca="1">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 ca="1">F$25</f>
        <v>1e-12</v>
      </c>
      <c r="G286" s="63">
        <f t="shared" ref="G286:AG286" si="464" ca="1">G$63</f>
        <v>1e-12</v>
      </c>
      <c r="H286" s="63">
        <f ca="1">H$63</f>
        <v>1e-12</v>
      </c>
      <c r="I286" s="63">
        <f ca="1">I$63</f>
        <v>1e-12</v>
      </c>
      <c r="J286" s="63">
        <f ca="1">J$63</f>
        <v>2023</v>
      </c>
      <c r="K286" s="63">
        <f ca="1">K$63</f>
        <v>1e-12</v>
      </c>
      <c r="L286" s="63">
        <f ca="1">L$63</f>
        <v>1e-12</v>
      </c>
      <c r="M286" s="63">
        <f ca="1">M$63</f>
        <v>1e-12</v>
      </c>
      <c r="N286" s="63">
        <f ca="1">N$63</f>
        <v>1e-12</v>
      </c>
      <c r="O286" s="63">
        <f ca="1">O$63</f>
        <v>2024</v>
      </c>
      <c r="P286" s="63">
        <f ca="1">P$63</f>
        <v>1e-12</v>
      </c>
      <c r="Q286" s="63">
        <f ca="1">Q$63</f>
        <v>1e-12</v>
      </c>
      <c r="R286" s="63">
        <f ca="1">R$63</f>
        <v>1e-12</v>
      </c>
      <c r="S286" s="63">
        <f ca="1">S$63</f>
        <v>1e-12</v>
      </c>
      <c r="T286" s="63">
        <f ca="1">T$63</f>
        <v>2025</v>
      </c>
      <c r="U286" s="63">
        <f ca="1">U$63</f>
        <v>1e-12</v>
      </c>
      <c r="V286" s="63" t="str">
        <f ca="1">V$63</f>
        <v>2Q26</v>
      </c>
      <c r="W286" s="63" t="str">
        <f ca="1">W$63</f>
        <v>3Q26e</v>
      </c>
      <c r="X286" s="63" t="str">
        <f ca="1">X$63</f>
        <v>4Q26e</v>
      </c>
      <c r="Y286" s="63" t="str">
        <f ca="1">Y$63</f>
        <v>2026e</v>
      </c>
      <c r="Z286" s="63" t="str">
        <f ca="1">Z$63</f>
        <v>1Q27e</v>
      </c>
      <c r="AA286" s="63" t="str">
        <f ca="1">AA$63</f>
        <v>2Q27e</v>
      </c>
      <c r="AB286" s="63" t="str">
        <f ca="1">AB$63</f>
        <v>3Q27e</v>
      </c>
      <c r="AC286" s="63" t="str">
        <f ca="1">AC$63</f>
        <v>4Q27e</v>
      </c>
      <c r="AD286" s="63" t="str">
        <f ca="1">AD$63</f>
        <v>2027e</v>
      </c>
      <c r="AE286" s="63" t="str">
        <f ca="1">AE$63</f>
        <v>2028e</v>
      </c>
      <c r="AF286" s="63" t="str">
        <f ca="1">AF$63</f>
        <v>2029e</v>
      </c>
      <c r="AG286" s="64" t="str">
        <f ca="1">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 ca="1">X87</f>
        <v>-100.87655647826267</v>
      </c>
      <c r="Y288" s="16"/>
      <c r="Z288" s="281">
        <f ca="1">Z87</f>
        <v>-5638.06444407534</v>
      </c>
      <c r="AA288" s="281">
        <f ca="1">AA87</f>
        <v>-1223.1807724127486</v>
      </c>
      <c r="AB288" s="281">
        <f ca="1">AB87</f>
        <v>-1225.836508192473</v>
      </c>
      <c r="AC288" s="281">
        <f ca="1">AC87</f>
        <v>-3144.0363720429077</v>
      </c>
      <c r="AD288" s="16"/>
      <c r="AE288" s="282">
        <f ca="1">AE87</f>
        <v>-8324.414775275025</v>
      </c>
      <c r="AF288" s="282">
        <f ca="1">AF87</f>
        <v>-9513.627378981737</v>
      </c>
      <c r="AG288" s="282">
        <f ca="1">AG87</f>
        <v>-9891.705764734785</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 ca="1">-X241</f>
        <v>-500</v>
      </c>
      <c r="Y289" s="16"/>
      <c r="Z289" s="359">
        <f t="shared" ref="Z289:AC289" si="465" ca="1">-Z241</f>
        <v>-500</v>
      </c>
      <c r="AA289" s="359">
        <f ca="1">-AA241</f>
        <v>-500</v>
      </c>
      <c r="AB289" s="359">
        <f ca="1">-AB241</f>
        <v>-500</v>
      </c>
      <c r="AC289" s="359">
        <f ca="1">-AC241</f>
        <v>-500</v>
      </c>
      <c r="AD289" s="16"/>
      <c r="AE289" s="162">
        <f t="shared" ref="AE289:AG289" si="466" ca="1">-AE241</f>
        <v>-3000</v>
      </c>
      <c r="AF289" s="162">
        <f ca="1">-AF241</f>
        <v>-3000</v>
      </c>
      <c r="AG289" s="162">
        <f ca="1">-AG241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 ca="1">-X267</f>
        <v>-519.8</v>
      </c>
      <c r="Y290" s="16"/>
      <c r="Z290" s="359">
        <f t="shared" ref="Z290:AC290" si="467" ca="1">-Z267</f>
        <v>-505.99999999999994</v>
      </c>
      <c r="AA290" s="359">
        <f ca="1">-AA267</f>
        <v>-494.49999999999994</v>
      </c>
      <c r="AB290" s="359">
        <f ca="1">-AB267</f>
        <v>-647.4499999999999</v>
      </c>
      <c r="AC290" s="359">
        <f ca="1">-AC267</f>
        <v>-597.7699999999999</v>
      </c>
      <c r="AD290" s="16"/>
      <c r="AE290" s="162">
        <f t="shared" ref="AE290:AG290" si="468" ca="1">-AE267</f>
        <v>-2470.292</v>
      </c>
      <c r="AF290" s="162">
        <f ca="1">-AF267</f>
        <v>-2717.3212000000003</v>
      </c>
      <c r="AG290" s="162">
        <f ca="1">-AG267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 ca="1">X245</f>
        <v>1e-12</v>
      </c>
      <c r="Y291" s="16"/>
      <c r="Z291" s="330">
        <f t="shared" ref="Z291:AC291" si="469" ca="1">Z245</f>
        <v>1e-12</v>
      </c>
      <c r="AA291" s="330">
        <f ca="1">AA245</f>
        <v>1e-12</v>
      </c>
      <c r="AB291" s="330">
        <f ca="1">AB245</f>
        <v>1e-12</v>
      </c>
      <c r="AC291" s="330">
        <f ca="1">AC245</f>
        <v>1e-12</v>
      </c>
      <c r="AD291" s="16"/>
      <c r="AE291" s="329">
        <f t="shared" ref="AE291:AG291" si="470" ca="1">AE245</f>
        <v>1e-12</v>
      </c>
      <c r="AF291" s="329">
        <f ca="1">AF245</f>
        <v>1e-12</v>
      </c>
      <c r="AG291" s="329">
        <f ca="1">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 ca="1">X102</f>
        <v>6673</v>
      </c>
      <c r="Y292" s="16"/>
      <c r="Z292" s="359">
        <f ca="1">Z102</f>
        <v>2655.723443521738</v>
      </c>
      <c r="AA292" s="359">
        <f ca="1">AA102</f>
        <v>-5622.023411617396</v>
      </c>
      <c r="AB292" s="359">
        <f ca="1">AB102</f>
        <v>-1204.8939954106927</v>
      </c>
      <c r="AC292" s="359">
        <f ca="1">AC102</f>
        <v>-1209.7441444306637</v>
      </c>
      <c r="AD292" s="16"/>
      <c r="AE292" s="162">
        <f ca="1">AE102</f>
        <v>-3128.748626469189</v>
      </c>
      <c r="AF292" s="162">
        <f ca="1">AF102</f>
        <v>-8257.392698103586</v>
      </c>
      <c r="AG292" s="162">
        <f ca="1">AG102</f>
        <v>-9445.26486026687</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 ca="1">X299*X28</f>
        <v>-13.594095303342307</v>
      </c>
      <c r="Y293" s="16"/>
      <c r="Z293" s="359">
        <f t="shared" ref="Z293:AC293" si="471" ca="1">Z299*Z28</f>
        <v>-16.04103245794392</v>
      </c>
      <c r="AA293" s="359">
        <f ca="1">AA299*AA28</f>
        <v>-18.286777002056073</v>
      </c>
      <c r="AB293" s="359">
        <f ca="1">AB299*AB28</f>
        <v>-16.092363761809345</v>
      </c>
      <c r="AC293" s="359">
        <f ca="1">AC299*AC28</f>
        <v>-15.287745573718876</v>
      </c>
      <c r="AD293" s="16"/>
      <c r="AE293" s="162">
        <f t="shared" ref="AE293:AG293" si="472" ca="1">AE299*AE28</f>
        <v>-67.02207717143877</v>
      </c>
      <c r="AF293" s="162">
        <f ca="1">AF299*AF28</f>
        <v>-68.36251871486755</v>
      </c>
      <c r="AG293" s="162">
        <f ca="1">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 ca="1">SUM(X288:X293)</f>
        <v>3243.005904696658</v>
      </c>
      <c r="Y294" s="16"/>
      <c r="Z294" s="281">
        <f ca="1">SUM(Z288:Z293)</f>
        <v>-783.6175889362058</v>
      </c>
      <c r="AA294" s="281">
        <f ca="1">SUM(AA288:AA293)</f>
        <v>-4217.510188619452</v>
      </c>
      <c r="AB294" s="281">
        <f ca="1">SUM(AB288:AB293)</f>
        <v>-2368.436359172502</v>
      </c>
      <c r="AC294" s="281">
        <f ca="1">SUM(AC288:AC293)</f>
        <v>-5078.891890004382</v>
      </c>
      <c r="AD294" s="16"/>
      <c r="AE294" s="282">
        <f ca="1">SUM(AE288:AE293)</f>
        <v>-11697.761703640628</v>
      </c>
      <c r="AF294" s="282">
        <f ca="1">SUM(AF288:AF293)</f>
        <v>-17377.945316818452</v>
      </c>
      <c r="AG294" s="282">
        <f ca="1">SUM(AG288:AG293)</f>
        <v>-19172.403739356036</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 ca="1">Drivers!X152</f>
        <v>1e-12</v>
      </c>
      <c r="Y295" s="461"/>
      <c r="Z295" s="460">
        <f ca="1">Drivers!Z152</f>
        <v>1e-12</v>
      </c>
      <c r="AA295" s="460">
        <f ca="1">Drivers!AA152</f>
        <v>1e-12</v>
      </c>
      <c r="AB295" s="460">
        <f ca="1">Drivers!AB152</f>
        <v>1e-12</v>
      </c>
      <c r="AC295" s="460">
        <f ca="1">Drivers!AC152</f>
        <v>1e-12</v>
      </c>
      <c r="AD295" s="16"/>
      <c r="AE295" s="462">
        <f ca="1">Drivers!AE152</f>
        <v>1e-12</v>
      </c>
      <c r="AF295" s="462">
        <f ca="1">Drivers!AF152</f>
        <v>1e-12</v>
      </c>
      <c r="AG295" s="462">
        <f ca="1">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 ca="1">Drivers!X157</f>
        <v>-500</v>
      </c>
      <c r="Y296" s="461"/>
      <c r="Z296" s="460">
        <f ca="1">Drivers!Z157</f>
        <v>-500</v>
      </c>
      <c r="AA296" s="460">
        <f ca="1">Drivers!AA157</f>
        <v>-500</v>
      </c>
      <c r="AB296" s="460">
        <f ca="1">Drivers!AB157</f>
        <v>-500</v>
      </c>
      <c r="AC296" s="460">
        <f ca="1">Drivers!AC157</f>
        <v>-500</v>
      </c>
      <c r="AD296" s="16"/>
      <c r="AE296" s="462">
        <f ca="1">Drivers!AE157</f>
        <v>-1400</v>
      </c>
      <c r="AF296" s="462">
        <f ca="1">Drivers!AF157</f>
        <v>-1300</v>
      </c>
      <c r="AG296" s="462">
        <f ca="1">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 ca="1">SUM(X294:X296)</f>
        <v>2743.005904696658</v>
      </c>
      <c r="Y297" s="16"/>
      <c r="Z297" s="281">
        <f ca="1">SUM(Z294:Z296)</f>
        <v>-1283.6175889362057</v>
      </c>
      <c r="AA297" s="281">
        <f ca="1">SUM(AA294:AA296)</f>
        <v>-4717.510188619452</v>
      </c>
      <c r="AB297" s="281">
        <f ca="1">SUM(AB294:AB296)</f>
        <v>-2868.436359172502</v>
      </c>
      <c r="AC297" s="281">
        <f ca="1">SUM(AC294:AC296)</f>
        <v>-5578.891890004382</v>
      </c>
      <c r="AD297" s="16"/>
      <c r="AE297" s="282">
        <f ca="1">SUM(AE294:AE296)</f>
        <v>-13097.761703640628</v>
      </c>
      <c r="AF297" s="282">
        <f ca="1">SUM(AF294:AF296)</f>
        <v>-18677.945316818452</v>
      </c>
      <c r="AG297" s="282">
        <f ca="1">SUM(AG294:AG296)</f>
        <v>-20372.403739356036</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73" ca="1">F178/F28</f>
        <v>1e-12</v>
      </c>
      <c r="G299" s="463">
        <f ca="1">G178/G28</f>
        <v>0.020843386413597127</v>
      </c>
      <c r="H299" s="463">
        <f ca="1">H178/H28</f>
        <v>0.031971627136766066</v>
      </c>
      <c r="I299" s="463">
        <f ca="1">I178/I28</f>
        <v>0.026613370408990845</v>
      </c>
      <c r="J299" s="464">
        <f ca="1">J178/J28</f>
        <v>1e-12</v>
      </c>
      <c r="K299" s="463">
        <f ca="1">K178/K28</f>
        <v>0.02628540210332882</v>
      </c>
      <c r="L299" s="463">
        <f ca="1">L178/L28</f>
        <v>-0.031165183734157796</v>
      </c>
      <c r="M299" s="463">
        <f ca="1">M178/M28</f>
        <v>-0.012008882041056781</v>
      </c>
      <c r="N299" s="463">
        <f ca="1">N178/N28</f>
        <v>-0.023821123884356633</v>
      </c>
      <c r="O299" s="464">
        <f ca="1">O178/O28</f>
        <v>-0.011090858184436229</v>
      </c>
      <c r="P299" s="463">
        <f ca="1">P178/P28</f>
        <v>0.020502249706319125</v>
      </c>
      <c r="Q299" s="463">
        <f ca="1">Q178/Q28</f>
        <v>-0.04353507280043141</v>
      </c>
      <c r="R299" s="463">
        <f ca="1">R178/R28</f>
        <v>0.0009673069782893323</v>
      </c>
      <c r="S299" s="463">
        <f ca="1">S178/S28</f>
        <v>-0.035878378971966725</v>
      </c>
      <c r="T299" s="464">
        <f ca="1">T178/T28</f>
        <v>-0.01572099881589824</v>
      </c>
      <c r="U299" s="463">
        <f ca="1">U178/U28</f>
        <v>0.04130268617602097</v>
      </c>
      <c r="V299" s="463">
        <f ca="1">V178/V28</f>
        <v>-0.032390279289082335</v>
      </c>
      <c r="W299" s="463">
        <f ca="1">W178/W28</f>
        <v>-0.0017453529976437735</v>
      </c>
      <c r="X299" s="465">
        <f ca="1">AVERAGE($F$299:$V$299)</f>
        <v>-0.0006243814470511484</v>
      </c>
      <c r="Y299" s="16"/>
      <c r="Z299" s="465">
        <f t="shared" ref="Z299:AC299" si="474" ca="1">AVERAGE($F$299:$V$299)</f>
        <v>-0.0006243814470511484</v>
      </c>
      <c r="AA299" s="465">
        <f ca="1">AVERAGE($F$299:$V$299)</f>
        <v>-0.0006243814470511484</v>
      </c>
      <c r="AB299" s="465">
        <f ca="1">AVERAGE($F$299:$V$299)</f>
        <v>-0.0006243814470511484</v>
      </c>
      <c r="AC299" s="465">
        <f ca="1">AVERAGE($F$299:$V$299)</f>
        <v>-0.0006243814470511484</v>
      </c>
      <c r="AD299" s="16"/>
      <c r="AE299" s="464">
        <f t="shared" ref="AE299:AG299" si="475" ca="1">AVERAGE($F$299:$V$299)</f>
        <v>-0.0006243814470511484</v>
      </c>
      <c r="AF299" s="464">
        <f ca="1">AVERAGE($F$299:$V$299)</f>
        <v>-0.0006243814470511484</v>
      </c>
      <c r="AG299" s="464">
        <f ca="1">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76" ca="1">E304</f>
        <v>1e-12</v>
      </c>
      <c r="G302" s="353">
        <f ca="1">F304</f>
        <v>1e-12</v>
      </c>
      <c r="H302" s="353">
        <f ca="1">G304</f>
        <v>1e-12</v>
      </c>
      <c r="I302" s="353">
        <f ca="1">H304</f>
        <v>1e-12</v>
      </c>
      <c r="J302" s="282">
        <f ca="1">F302</f>
        <v>1e-12</v>
      </c>
      <c r="K302" s="353">
        <f t="shared" ref="K302:N302" si="477" ca="1">J304</f>
        <v>1e-12</v>
      </c>
      <c r="L302" s="353">
        <f ca="1">K304</f>
        <v>1e-12</v>
      </c>
      <c r="M302" s="353">
        <f ca="1">L304</f>
        <v>1e-12</v>
      </c>
      <c r="N302" s="353">
        <f ca="1">M304</f>
        <v>1e-12</v>
      </c>
      <c r="O302" s="282">
        <f ca="1">K302</f>
        <v>1e-12</v>
      </c>
      <c r="P302" s="353">
        <f t="shared" ref="P302:S302" si="478" ca="1">O304</f>
        <v>1e-12</v>
      </c>
      <c r="Q302" s="353">
        <f ca="1">P304</f>
        <v>1e-12</v>
      </c>
      <c r="R302" s="353">
        <f ca="1">Q304</f>
        <v>1e-12</v>
      </c>
      <c r="S302" s="353">
        <f ca="1">R304</f>
        <v>1e-12</v>
      </c>
      <c r="T302" s="282">
        <f ca="1">P302</f>
        <v>1e-12</v>
      </c>
      <c r="U302" s="353">
        <f t="shared" ref="U302:X302" si="479" ca="1">T304</f>
        <v>1e-12</v>
      </c>
      <c r="V302" s="353">
        <f ca="1">U304</f>
        <v>1e-12</v>
      </c>
      <c r="W302" s="353">
        <f ca="1">V304</f>
        <v>1e-12</v>
      </c>
      <c r="X302" s="281">
        <f ca="1">W304</f>
        <v>1e-12</v>
      </c>
      <c r="Y302" s="16"/>
      <c r="Z302" s="281">
        <f ca="1">X304</f>
        <v>1e-12</v>
      </c>
      <c r="AA302" s="281">
        <f ca="1">Z304</f>
        <v>1283.6175889362057</v>
      </c>
      <c r="AB302" s="281">
        <f ca="1">AA304</f>
        <v>6001.127777555657</v>
      </c>
      <c r="AC302" s="281">
        <f ca="1">AB304</f>
        <v>8869.564136728159</v>
      </c>
      <c r="AD302" s="16"/>
      <c r="AE302" s="282">
        <f ca="1">AC304</f>
        <v>14448.45602673254</v>
      </c>
      <c r="AF302" s="282">
        <f ca="1">AE304</f>
        <v>27546.217730373166</v>
      </c>
      <c r="AG302" s="282">
        <f ca="1">AF304</f>
        <v>46224.163047191614</v>
      </c>
      <c r="AH302" s="16"/>
      <c r="AI302" s="16"/>
      <c r="AJ302" s="16"/>
      <c r="AK302" s="16"/>
    </row>
    <row r="303" ht="13.5" customHeight="1" spans="1:37" x14ac:dyDescent="0.25">
      <c r="A303" s="264"/>
      <c r="B303" s="16"/>
      <c r="C303" s="139" t="s">
        <v>435</v>
      </c>
      <c r="D303" s="16"/>
      <c r="E303" s="16"/>
      <c r="F303" s="384">
        <f t="shared" ref="F303:I303" si="480" ca="1">F304-F302</f>
        <v>1e-12</v>
      </c>
      <c r="G303" s="384">
        <f ca="1">G304-G302</f>
        <v>1e-12</v>
      </c>
      <c r="H303" s="384">
        <f ca="1">H304-H302</f>
        <v>1e-12</v>
      </c>
      <c r="I303" s="384">
        <f ca="1">I304-I302</f>
        <v>1e-12</v>
      </c>
      <c r="J303" s="162">
        <f ca="1">IF(J305&gt;J302,J305-J302,0)</f>
        <v>1e-12</v>
      </c>
      <c r="K303" s="384">
        <f t="shared" ref="K303:N303" si="481" ca="1">K304-K302</f>
        <v>1e-12</v>
      </c>
      <c r="L303" s="384">
        <f ca="1">L304-L302</f>
        <v>1e-12</v>
      </c>
      <c r="M303" s="384">
        <f ca="1">M304-M302</f>
        <v>1e-12</v>
      </c>
      <c r="N303" s="384">
        <f ca="1">N304-N302</f>
        <v>1e-12</v>
      </c>
      <c r="O303" s="162">
        <f ca="1">IF(O305&gt;O302,O305-O302,0)</f>
        <v>1e-12</v>
      </c>
      <c r="P303" s="384">
        <f t="shared" ref="P303:S303" si="482" ca="1">P304-P302</f>
        <v>1e-12</v>
      </c>
      <c r="Q303" s="384">
        <f ca="1">Q304-Q302</f>
        <v>1e-12</v>
      </c>
      <c r="R303" s="384">
        <f ca="1">R304-R302</f>
        <v>1e-12</v>
      </c>
      <c r="S303" s="384">
        <f ca="1">S304-S302</f>
        <v>1e-12</v>
      </c>
      <c r="T303" s="162">
        <f ca="1">IF(T305&gt;T302,T305-T302,0)</f>
        <v>1e-12</v>
      </c>
      <c r="U303" s="384">
        <f t="shared" ref="U303:W303" si="483" ca="1">U304-U302</f>
        <v>1e-12</v>
      </c>
      <c r="V303" s="384">
        <f ca="1">V304-V302</f>
        <v>1e-12</v>
      </c>
      <c r="W303" s="384">
        <f ca="1">W304-W302</f>
        <v>1e-12</v>
      </c>
      <c r="X303" s="330">
        <f ca="1">IF(X297&lt;0,-X297,IF(X297&gt;X302,-X302,-X297))</f>
      </c>
      <c r="Y303" s="16"/>
      <c r="Z303" s="330">
        <f ca="1">IF(Z297&lt;0,-Z297,IF(Z297&gt;Z302,-Z302,-Z297))</f>
        <v>1283.6175889362057</v>
      </c>
      <c r="AA303" s="330">
        <f ca="1">IF(AA297&lt;0,-AA297,IF(AA297&gt;AA302,-AA302,-AA297))</f>
        <v>4717.510188619452</v>
      </c>
      <c r="AB303" s="330">
        <f ca="1">IF(AB297&lt;0,-AB297,IF(AB297&gt;AB302,-AB302,-AB297))</f>
        <v>2868.436359172502</v>
      </c>
      <c r="AC303" s="330">
        <f ca="1">IF(AC297&lt;0,-AC297,IF(AC297&gt;AC302,-AC302,-AC297))</f>
        <v>5578.891890004382</v>
      </c>
      <c r="AD303" s="16"/>
      <c r="AE303" s="329">
        <f ca="1">IF(AE297&lt;0,-AE297,IF(AE297&gt;AE302,-AE302,-AE297))</f>
        <v>13097.761703640628</v>
      </c>
      <c r="AF303" s="329">
        <f ca="1">IF(AF297&lt;0,-AF297,IF(AF297&gt;AF302,-AF302,-AF297))</f>
        <v>18677.945316818452</v>
      </c>
      <c r="AG303" s="329">
        <f ca="1">IF(AG297&lt;0,-AG297,IF(AG297&gt;AG302,-AG302,-AG297))</f>
        <v>20372.403739356036</v>
      </c>
      <c r="AH303" s="16"/>
      <c r="AI303" s="16"/>
      <c r="AJ303" s="16"/>
      <c r="AK303" s="16"/>
    </row>
    <row r="304" ht="13.5" customHeight="1" spans="1:37" x14ac:dyDescent="0.25">
      <c r="A304" s="264"/>
      <c r="B304" s="16"/>
      <c r="C304" s="16" t="s">
        <v>406</v>
      </c>
      <c r="D304" s="16"/>
      <c r="E304" s="16"/>
      <c r="F304" s="353">
        <f t="shared" ref="F304:W304" si="484" ca="1">F139</f>
        <v>1e-12</v>
      </c>
      <c r="G304" s="353">
        <f ca="1">G139</f>
        <v>1e-12</v>
      </c>
      <c r="H304" s="353">
        <f ca="1">H139</f>
        <v>1e-12</v>
      </c>
      <c r="I304" s="353">
        <f ca="1">I139</f>
        <v>1e-12</v>
      </c>
      <c r="J304" s="282">
        <f ca="1">J139</f>
        <v>1e-12</v>
      </c>
      <c r="K304" s="353">
        <f ca="1">K139</f>
        <v>1e-12</v>
      </c>
      <c r="L304" s="353">
        <f ca="1">L139</f>
        <v>1e-12</v>
      </c>
      <c r="M304" s="353">
        <f ca="1">M139</f>
        <v>1e-12</v>
      </c>
      <c r="N304" s="353">
        <f ca="1">N139</f>
        <v>1e-12</v>
      </c>
      <c r="O304" s="282">
        <f ca="1">O139</f>
        <v>1e-12</v>
      </c>
      <c r="P304" s="353">
        <f ca="1">P139</f>
        <v>1e-12</v>
      </c>
      <c r="Q304" s="353">
        <f ca="1">Q139</f>
        <v>1e-12</v>
      </c>
      <c r="R304" s="353">
        <f ca="1">R139</f>
        <v>1e-12</v>
      </c>
      <c r="S304" s="353">
        <f ca="1">S139</f>
        <v>1e-12</v>
      </c>
      <c r="T304" s="282">
        <f ca="1">T139</f>
        <v>1e-12</v>
      </c>
      <c r="U304" s="353">
        <f ca="1">U139</f>
        <v>1e-12</v>
      </c>
      <c r="V304" s="353">
        <f ca="1">V139</f>
        <v>1e-12</v>
      </c>
      <c r="W304" s="353">
        <f ca="1">W139</f>
        <v>1e-12</v>
      </c>
      <c r="X304" s="281">
        <f ca="1">SUM(X302:X303)</f>
        <v>1e-12</v>
      </c>
      <c r="Y304" s="16"/>
      <c r="Z304" s="281">
        <f ca="1">SUM(Z302:Z303)</f>
        <v>1283.6175889362057</v>
      </c>
      <c r="AA304" s="281">
        <f ca="1">SUM(AA302:AA303)</f>
        <v>6001.127777555657</v>
      </c>
      <c r="AB304" s="281">
        <f ca="1">SUM(AB302:AB303)</f>
        <v>8869.564136728159</v>
      </c>
      <c r="AC304" s="281">
        <f ca="1">SUM(AC302:AC303)</f>
        <v>14448.45602673254</v>
      </c>
      <c r="AD304" s="16"/>
      <c r="AE304" s="282">
        <f ca="1">SUM(AE302:AE303)</f>
        <v>27546.217730373166</v>
      </c>
      <c r="AF304" s="282">
        <f ca="1">SUM(AF302:AF303)</f>
        <v>46224.163047191614</v>
      </c>
      <c r="AG304" s="282">
        <f ca="1">SUM(AG302:AG303)</f>
        <v>66596.56678654766</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485" ca="1">E310</f>
        <v>1e-12</v>
      </c>
      <c r="G307" s="353">
        <f ca="1">F310</f>
        <v>15208</v>
      </c>
      <c r="H307" s="353">
        <f ca="1">G310</f>
        <v>15159</v>
      </c>
      <c r="I307" s="353">
        <f ca="1">H310</f>
        <v>15314</v>
      </c>
      <c r="J307" s="282">
        <f ca="1">F307</f>
        <v>1e-12</v>
      </c>
      <c r="K307" s="353">
        <f t="shared" ref="K307:N307" si="486" ca="1">J310</f>
        <v>14746</v>
      </c>
      <c r="L307" s="353">
        <f ca="1">K310</f>
        <v>13672</v>
      </c>
      <c r="M307" s="353">
        <f ca="1">L310</f>
        <v>14280</v>
      </c>
      <c r="N307" s="353">
        <f ca="1">M310</f>
        <v>14785</v>
      </c>
      <c r="O307" s="282">
        <f ca="1">K307</f>
        <v>14746</v>
      </c>
      <c r="P307" s="353">
        <f t="shared" ref="P307:S307" si="487" ca="1">O310</f>
        <v>11882</v>
      </c>
      <c r="Q307" s="353">
        <f ca="1">P310</f>
        <v>11886</v>
      </c>
      <c r="R307" s="353">
        <f ca="1">Q310</f>
        <v>24607</v>
      </c>
      <c r="S307" s="353">
        <f ca="1">R310</f>
        <v>23602</v>
      </c>
      <c r="T307" s="282">
        <f ca="1">P307</f>
        <v>11882</v>
      </c>
      <c r="U307" s="353">
        <f t="shared" ref="U307:X307" si="488" ca="1">T310</f>
        <v>48543</v>
      </c>
      <c r="V307" s="353">
        <f ca="1">U310</f>
        <v>23244</v>
      </c>
      <c r="W307" s="353">
        <f ca="1">V310</f>
        <v>23311</v>
      </c>
      <c r="X307" s="281">
        <f ca="1">W310</f>
        <v>25233</v>
      </c>
      <c r="Y307" s="16"/>
      <c r="Z307" s="281">
        <f ca="1">X310</f>
        <v>24733</v>
      </c>
      <c r="AA307" s="281">
        <f t="shared" ref="AA307:AC307" si="489" ca="1">Z310</f>
        <v>24233</v>
      </c>
      <c r="AB307" s="281">
        <f ca="1">AA310</f>
        <v>23733</v>
      </c>
      <c r="AC307" s="281">
        <f ca="1">AB310</f>
        <v>23233</v>
      </c>
      <c r="AD307" s="16"/>
      <c r="AE307" s="282">
        <f ca="1">AC310</f>
        <v>22733</v>
      </c>
      <c r="AF307" s="282">
        <f t="shared" ref="AF307:AG307" si="490" ca="1">AE310</f>
        <v>21333</v>
      </c>
      <c r="AG307" s="282">
        <f ca="1">AF310</f>
        <v>20033</v>
      </c>
      <c r="AH307" s="16"/>
      <c r="AI307" s="16"/>
      <c r="AJ307" s="16"/>
      <c r="AK307" s="16"/>
    </row>
    <row r="308" ht="13.5" customHeight="1" spans="1:37" x14ac:dyDescent="0.25">
      <c r="A308" s="264"/>
      <c r="B308" s="16"/>
      <c r="C308" s="139" t="s">
        <v>310</v>
      </c>
      <c r="D308" s="16"/>
      <c r="E308" s="16"/>
      <c r="F308" s="384">
        <f t="shared" ref="F308:W308" si="491" ca="1">IF(F310&gt;F307,F310-F307,0)</f>
        <v>15844</v>
      </c>
      <c r="G308" s="384">
        <f ca="1">IF(G310&gt;G307,G310-G307,0)</f>
        <v>1e-12</v>
      </c>
      <c r="H308" s="384">
        <f ca="1">IF(H310&gt;H307,H310-H307,0)</f>
        <v>1e-12</v>
      </c>
      <c r="I308" s="384">
        <f ca="1">IF(I310&gt;I307,I310-I307,0)</f>
        <v>1e-12</v>
      </c>
      <c r="J308" s="162">
        <f ca="1">IF(J310&gt;J307,J310-J307,0)</f>
        <v>15501</v>
      </c>
      <c r="K308" s="384">
        <f ca="1">IF(K310&gt;K307,K310-K307,0)</f>
        <v>2049</v>
      </c>
      <c r="L308" s="384">
        <f ca="1">IF(L310&gt;L307,L310-L307,0)</f>
        <v>1e-12</v>
      </c>
      <c r="M308" s="384">
        <f ca="1">IF(M310&gt;M307,M310-M307,0)</f>
        <v>1e-12</v>
      </c>
      <c r="N308" s="384">
        <f ca="1">IF(N310&gt;N307,N310-N307,0)</f>
        <v>156</v>
      </c>
      <c r="O308" s="162">
        <f ca="1">IF(O310&gt;O307,O310-O307,0)</f>
        <v>1864</v>
      </c>
      <c r="P308" s="384">
        <f ca="1">IF(P310&gt;P307,P310-P307,0)</f>
        <v>3439</v>
      </c>
      <c r="Q308" s="384">
        <f ca="1">IF(Q310&gt;Q307,Q310-Q307,0)</f>
        <v>2</v>
      </c>
      <c r="R308" s="384">
        <f ca="1">IF(R310&gt;R307,R310-R307,0)</f>
        <v>988</v>
      </c>
      <c r="S308" s="384">
        <f ca="1">IF(S310&gt;S307,S310-S307,0)</f>
        <v>4417</v>
      </c>
      <c r="T308" s="162">
        <f ca="1">IF(T310&gt;T307,T310-T307,0)</f>
        <v>8846</v>
      </c>
      <c r="U308" s="384">
        <f ca="1">IF(U310&gt;U307,U310-U307,0)</f>
        <v>1e-12</v>
      </c>
      <c r="V308" s="384">
        <f ca="1">IF(V310&gt;V307,V310-V307,0)</f>
        <v>67</v>
      </c>
      <c r="W308" s="384">
        <f ca="1">IF(W310&gt;W307,W310-W307,0)</f>
        <v>1922</v>
      </c>
      <c r="X308" s="330">
        <f t="shared" ref="X308:X309" si="492" ca="1">X295</f>
        <v>1e-12</v>
      </c>
      <c r="Y308" s="16"/>
      <c r="Z308" s="330">
        <f t="shared" ref="Z308:AC308" si="493" ca="1">Z295</f>
        <v>1e-12</v>
      </c>
      <c r="AA308" s="330">
        <f ca="1">AA295</f>
        <v>1e-12</v>
      </c>
      <c r="AB308" s="330">
        <f ca="1">AB295</f>
        <v>1e-12</v>
      </c>
      <c r="AC308" s="330">
        <f ca="1">AC295</f>
        <v>1e-12</v>
      </c>
      <c r="AD308" s="16"/>
      <c r="AE308" s="329">
        <f t="shared" ref="AE308:AG308" si="494" ca="1">AE295</f>
        <v>1e-12</v>
      </c>
      <c r="AF308" s="329">
        <f ca="1">AF295</f>
        <v>1e-12</v>
      </c>
      <c r="AG308" s="329">
        <f ca="1">AG295</f>
        <v>1e-12</v>
      </c>
      <c r="AH308" s="16"/>
      <c r="AI308" s="16"/>
      <c r="AJ308" s="16"/>
      <c r="AK308" s="16"/>
    </row>
    <row r="309" ht="13.5" customHeight="1" spans="1:37" x14ac:dyDescent="0.25">
      <c r="A309" s="264"/>
      <c r="B309" s="16"/>
      <c r="C309" s="139" t="s">
        <v>437</v>
      </c>
      <c r="D309" s="16"/>
      <c r="E309" s="16"/>
      <c r="F309" s="384">
        <f t="shared" ref="F309:W309" si="495" ca="1">IF(F307&gt;F310,F310-F307,0)</f>
        <v>1e-12</v>
      </c>
      <c r="G309" s="384">
        <f ca="1">IF(G307&gt;G310,G310-G307,0)</f>
        <v>-13</v>
      </c>
      <c r="H309" s="384">
        <f ca="1">IF(H307&gt;H310,H310-H307,0)</f>
        <v>-254</v>
      </c>
      <c r="I309" s="384">
        <f ca="1">IF(I307&gt;I310,I310-I307,0)</f>
        <v>-76</v>
      </c>
      <c r="J309" s="162">
        <f ca="1">IF(J307&gt;J310,J310-J307,0)</f>
        <v>1e-12</v>
      </c>
      <c r="K309" s="384">
        <f ca="1">IF(K307&gt;K310,K310-K307,0)</f>
        <v>1e-12</v>
      </c>
      <c r="L309" s="384">
        <f ca="1">IF(L307&gt;L310,L310-L307,0)</f>
        <v>-3</v>
      </c>
      <c r="M309" s="384">
        <f ca="1">IF(M307&gt;M310,M310-M307,0)</f>
        <v>-338</v>
      </c>
      <c r="N309" s="384">
        <f ca="1">IF(N307&gt;N310,N310-N307,0)</f>
        <v>1e-12</v>
      </c>
      <c r="O309" s="162">
        <f ca="1">IF(O307&gt;O310,O310-O307,0)</f>
        <v>1e-12</v>
      </c>
      <c r="P309" s="384">
        <f ca="1">IF(P307&gt;P310,P310-P307,0)</f>
        <v>1e-12</v>
      </c>
      <c r="Q309" s="384">
        <f ca="1">IF(Q307&gt;Q310,Q310-Q307,0)</f>
        <v>1e-12</v>
      </c>
      <c r="R309" s="384">
        <f ca="1">IF(R307&gt;R310,R310-R307,0)</f>
        <v>1e-12</v>
      </c>
      <c r="S309" s="384">
        <f ca="1">IF(S307&gt;S310,S310-S307,0)</f>
        <v>1e-12</v>
      </c>
      <c r="T309" s="162">
        <f ca="1">IF(T307&gt;T310,T310-T307,0)</f>
        <v>1e-12</v>
      </c>
      <c r="U309" s="384">
        <f ca="1">IF(U307&gt;U310,U310-U307,0)</f>
        <v>-2967</v>
      </c>
      <c r="V309" s="384">
        <f ca="1">IF(V307&gt;V310,V310-V307,0)</f>
      </c>
      <c r="W309" s="384">
        <f ca="1">IF(W307&gt;W310,W310-W307,0)</f>
      </c>
      <c r="X309" s="330">
        <f ca="1">X296</f>
        <v>-500</v>
      </c>
      <c r="Y309" s="16"/>
      <c r="Z309" s="330">
        <f t="shared" ref="Z309:AC309" si="496" ca="1">Z296</f>
        <v>-500</v>
      </c>
      <c r="AA309" s="330">
        <f ca="1">AA296</f>
        <v>-500</v>
      </c>
      <c r="AB309" s="330">
        <f ca="1">AB296</f>
        <v>-500</v>
      </c>
      <c r="AC309" s="330">
        <f ca="1">AC296</f>
        <v>-500</v>
      </c>
      <c r="AD309" s="16"/>
      <c r="AE309" s="329">
        <f t="shared" ref="AE309:AG309" si="497" ca="1">AE296</f>
        <v>-1400</v>
      </c>
      <c r="AF309" s="329">
        <f ca="1">AF296</f>
        <v>-1300</v>
      </c>
      <c r="AG309" s="329">
        <f ca="1">AG296</f>
        <v>-1200</v>
      </c>
      <c r="AH309" s="16"/>
      <c r="AI309" s="16"/>
      <c r="AJ309" s="16"/>
      <c r="AK309" s="16"/>
    </row>
    <row r="310" ht="13.5" customHeight="1" spans="1:37" x14ac:dyDescent="0.25">
      <c r="A310" s="264"/>
      <c r="B310" s="16"/>
      <c r="C310" s="16" t="s">
        <v>406</v>
      </c>
      <c r="D310" s="16"/>
      <c r="E310" s="16"/>
      <c r="F310" s="353">
        <f t="shared" ref="F310:W310" si="498" ca="1">F140</f>
        <v>15208</v>
      </c>
      <c r="G310" s="353">
        <f ca="1">G140</f>
        <v>15159</v>
      </c>
      <c r="H310" s="353">
        <f ca="1">H140</f>
        <v>15314</v>
      </c>
      <c r="I310" s="353">
        <f ca="1">I140</f>
        <v>14746</v>
      </c>
      <c r="J310" s="282">
        <f ca="1">J140</f>
        <v>14746</v>
      </c>
      <c r="K310" s="353">
        <f ca="1">K140</f>
        <v>13672</v>
      </c>
      <c r="L310" s="353">
        <f ca="1">L140</f>
        <v>14280</v>
      </c>
      <c r="M310" s="353">
        <f ca="1">M140</f>
        <v>14785</v>
      </c>
      <c r="N310" s="353">
        <f ca="1">N140</f>
        <v>11882</v>
      </c>
      <c r="O310" s="282">
        <f ca="1">O140</f>
        <v>11882</v>
      </c>
      <c r="P310" s="353">
        <f ca="1">P140</f>
        <v>11886</v>
      </c>
      <c r="Q310" s="353">
        <f ca="1">Q140</f>
        <v>24607</v>
      </c>
      <c r="R310" s="353">
        <f ca="1">R140</f>
        <v>23602</v>
      </c>
      <c r="S310" s="353">
        <f ca="1">S140</f>
        <v>48543</v>
      </c>
      <c r="T310" s="282">
        <f ca="1">T140</f>
        <v>48543</v>
      </c>
      <c r="U310" s="353">
        <f ca="1">U140</f>
        <v>79499</v>
      </c>
      <c r="V310" s="353">
        <f ca="1">V140</f>
        <v>23311</v>
      </c>
      <c r="W310" s="353">
        <f ca="1">W140</f>
        <v>25233</v>
      </c>
      <c r="X310" s="281">
        <f ca="1">SUM(X307:X309)</f>
        <v>24733</v>
      </c>
      <c r="Y310" s="16"/>
      <c r="Z310" s="281">
        <f t="shared" ref="Z310:AC310" si="499" ca="1">SUM(Z307:Z309)</f>
        <v>24233</v>
      </c>
      <c r="AA310" s="281">
        <f ca="1">SUM(AA307:AA309)</f>
        <v>23733</v>
      </c>
      <c r="AB310" s="281">
        <f ca="1">SUM(AB307:AB309)</f>
        <v>23233</v>
      </c>
      <c r="AC310" s="281">
        <f ca="1">SUM(AC307:AC309)</f>
        <v>22733</v>
      </c>
      <c r="AD310" s="16"/>
      <c r="AE310" s="282">
        <f t="shared" ref="AE310:AG310" si="500" ca="1">SUM(AE307:AE309)</f>
        <v>21333</v>
      </c>
      <c r="AF310" s="282">
        <f ca="1">SUM(AF307:AF309)</f>
        <v>20033</v>
      </c>
      <c r="AG310" s="282">
        <f ca="1">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 ca="1">AVERAGE(X304,X302)</f>
        <v>1e-12</v>
      </c>
      <c r="Y313" s="16"/>
      <c r="Z313" s="281">
        <f ca="1">AVERAGE(Z304,Z302)</f>
        <v>641.8087944681029</v>
      </c>
      <c r="AA313" s="281">
        <f ca="1">AVERAGE(AA304,AA302)</f>
        <v>3642.3726832459315</v>
      </c>
      <c r="AB313" s="281">
        <f ca="1">AVERAGE(AB304,AB302)</f>
        <v>7435.345957141908</v>
      </c>
      <c r="AC313" s="281">
        <f ca="1">AVERAGE(AC304,AC302)</f>
        <v>11659.01008173035</v>
      </c>
      <c r="AD313" s="16"/>
      <c r="AE313" s="282">
        <f ca="1">AVERAGE(AE304,AE302)</f>
        <v>20997.33687855285</v>
      </c>
      <c r="AF313" s="282">
        <f ca="1">AVERAGE(AF304,AF302)</f>
        <v>36885.19038878239</v>
      </c>
      <c r="AG313" s="282">
        <f ca="1">AVERAGE(AG304,AG302)</f>
        <v>56410.364916869636</v>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 ca="1">5%/4</f>
        <v>0.0125</v>
      </c>
      <c r="Y314" s="16"/>
      <c r="Z314" s="466">
        <f t="shared" ref="Z314:AC314" si="501" ca="1">5%/4</f>
        <v>0.0125</v>
      </c>
      <c r="AA314" s="466">
        <f ca="1">5%/4</f>
        <v>0.0125</v>
      </c>
      <c r="AB314" s="466">
        <f ca="1">5%/4</f>
        <v>0.0125</v>
      </c>
      <c r="AC314" s="466">
        <f ca="1">5%/4</f>
        <v>0.0125</v>
      </c>
      <c r="AD314" s="16"/>
      <c r="AE314" s="467">
        <f t="shared" ref="AE314:AG314" si="502" ca="1">5%</f>
        <v>0.05</v>
      </c>
      <c r="AF314" s="467">
        <f ca="1">5%</f>
        <v>0.05</v>
      </c>
      <c r="AG314" s="467">
        <f ca="1">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 ca="1">-(X313*X314)</f>
        <v>1e-12</v>
      </c>
      <c r="Y315" s="16"/>
      <c r="Z315" s="281">
        <f ca="1">-(Z313*Z314)</f>
        <v>-8.022609930851287</v>
      </c>
      <c r="AA315" s="281">
        <f ca="1">-(AA313*AA314)</f>
        <v>-45.52965854057415</v>
      </c>
      <c r="AB315" s="281">
        <f ca="1">-(AB313*AB314)</f>
        <v>-92.94182446427385</v>
      </c>
      <c r="AC315" s="281">
        <f ca="1">-(AC313*AC314)</f>
        <v>-145.73762602162938</v>
      </c>
      <c r="AD315" s="16"/>
      <c r="AE315" s="282">
        <f ca="1">-(AE313*AE314)</f>
        <v>-1049.8668439276425</v>
      </c>
      <c r="AF315" s="282">
        <f ca="1">-(AF313*AF314)</f>
        <v>-1844.2595194391195</v>
      </c>
      <c r="AG315" s="282">
        <f ca="1">-(AG313*AG314)</f>
        <v>-2820.518245843482</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 ca="1">AVERAGE(X310,X307)</f>
        <v>24983</v>
      </c>
      <c r="Y318" s="16"/>
      <c r="Z318" s="281">
        <f t="shared" ref="Z318:AC318" si="503" ca="1">AVERAGE(Z310,Z307)</f>
        <v>24483</v>
      </c>
      <c r="AA318" s="281">
        <f ca="1">AVERAGE(AA310,AA307)</f>
        <v>23983</v>
      </c>
      <c r="AB318" s="281">
        <f ca="1">AVERAGE(AB310,AB307)</f>
        <v>23483</v>
      </c>
      <c r="AC318" s="281">
        <f ca="1">AVERAGE(AC310,AC307)</f>
        <v>22983</v>
      </c>
      <c r="AD318" s="16"/>
      <c r="AE318" s="282">
        <f t="shared" ref="AE318:AG318" si="504" ca="1">AVERAGE(AE310,AE307)</f>
        <v>22033</v>
      </c>
      <c r="AF318" s="282">
        <f ca="1">AVERAGE(AF310,AF307)</f>
        <v>20683</v>
      </c>
      <c r="AG318" s="282">
        <f ca="1">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 ca="1">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 ca="1">-(X318*X319)</f>
        <v>-217.976675</v>
      </c>
      <c r="Y320" s="16"/>
      <c r="Z320" s="281">
        <f t="shared" ref="Z320:AC320" si="505" ca="1">-(Z318*Z319)</f>
        <v>-213.614175</v>
      </c>
      <c r="AA320" s="281">
        <f ca="1">-(AA318*AA319)</f>
        <v>-209.251675</v>
      </c>
      <c r="AB320" s="281">
        <f ca="1">-(AB318*AB319)</f>
        <v>-204.889175</v>
      </c>
      <c r="AC320" s="281">
        <f ca="1">-(AC318*AC319)</f>
        <v>-200.526675</v>
      </c>
      <c r="AD320" s="16"/>
      <c r="AE320" s="282">
        <f t="shared" ref="AE320:AG320" si="506" ca="1">-(AE318*AE319)</f>
        <v>-768.9517</v>
      </c>
      <c r="AF320" s="282">
        <f ca="1">-(AF318*AF319)</f>
        <v>-721.8367000000001</v>
      </c>
      <c r="AG320" s="282">
        <f ca="1">-(AG318*AG319)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 ca="1">SUM(X315,X320)</f>
        <v>-217.976675</v>
      </c>
      <c r="Y322" s="100"/>
      <c r="Z322" s="390">
        <f ca="1">SUM(Z315,Z320)</f>
        <v>-221.63678493085126</v>
      </c>
      <c r="AA322" s="390">
        <f ca="1">SUM(AA315,AA320)</f>
        <v>-254.78133354057417</v>
      </c>
      <c r="AB322" s="390">
        <f ca="1">SUM(AB315,AB320)</f>
        <v>-297.8309994642739</v>
      </c>
      <c r="AC322" s="390">
        <f ca="1">SUM(AC315,AC320)</f>
        <v>-346.2643010216294</v>
      </c>
      <c r="AD322" s="100"/>
      <c r="AE322" s="389">
        <f ca="1">SUM(AE315,AE320)</f>
        <v>-1818.8185439276426</v>
      </c>
      <c r="AF322" s="389">
        <f ca="1">SUM(AF315,AF320)</f>
        <v>-2566.0962194391195</v>
      </c>
      <c r="AG322" s="407">
        <f ca="1">SUM(AG315,AG320)</f>
        <v>-3498.729945843482</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 ca="1">AVERAGE(X120,W120)</f>
        <v>4664.361721760869</v>
      </c>
      <c r="Y325" s="16"/>
      <c r="Z325" s="281">
        <f ca="1">AVERAGE(Z120,Y120)</f>
        <v>-1483.149984047829</v>
      </c>
      <c r="AA325" s="281">
        <f ca="1">AVERAGE(AA120,Z120)</f>
        <v>-3413.4587035140444</v>
      </c>
      <c r="AB325" s="281">
        <f ca="1">AVERAGE(AB120,AA120)</f>
        <v>-1207.3190699206782</v>
      </c>
      <c r="AC325" s="281">
        <f ca="1">AVERAGE(AC120,AB120)</f>
        <v>-2169.2463854499265</v>
      </c>
      <c r="AD325" s="16"/>
      <c r="AE325" s="282">
        <f ca="1">AVERAGE(AE120,AD120)</f>
        <v>-5693.070662286387</v>
      </c>
      <c r="AF325" s="282">
        <f ca="1">AVERAGE(AF120,AE120)</f>
        <v>-8851.328779185227</v>
      </c>
      <c r="AG325" s="282">
        <f ca="1">AVERAGE(AG120,AF120)</f>
        <v>-9633.620427956244</v>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 ca="1">W326</f>
        <v>1e-12</v>
      </c>
      <c r="Y326" s="16"/>
      <c r="Z326" s="466">
        <f ca="1">X326</f>
        <v>1e-12</v>
      </c>
      <c r="AA326" s="466">
        <f t="shared" ref="AA326:AC326" si="507" ca="1">Z326</f>
        <v>1e-12</v>
      </c>
      <c r="AB326" s="466">
        <f ca="1">AA326</f>
        <v>1e-12</v>
      </c>
      <c r="AC326" s="466">
        <f ca="1">AB326</f>
        <v>1e-12</v>
      </c>
      <c r="AD326" s="16"/>
      <c r="AE326" s="467">
        <f ca="1">AC326</f>
        <v>1e-12</v>
      </c>
      <c r="AF326" s="467">
        <f t="shared" ref="AF326:AG326" si="508" ca="1">AE326</f>
        <v>1e-12</v>
      </c>
      <c r="AG326" s="467">
        <f ca="1">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 ca="1">X325*X326</f>
        <v>1e-12</v>
      </c>
      <c r="Y327" s="16"/>
      <c r="Z327" s="281">
        <f ca="1">Z325*Z326</f>
        <v>1e-12</v>
      </c>
      <c r="AA327" s="281">
        <f ca="1">AA325*AA326</f>
        <v>1e-12</v>
      </c>
      <c r="AB327" s="281">
        <f ca="1">AB325*AB326</f>
        <v>1e-12</v>
      </c>
      <c r="AC327" s="281">
        <f ca="1">AC325*AC326</f>
        <v>1e-12</v>
      </c>
      <c r="AD327" s="16"/>
      <c r="AE327" s="282">
        <f ca="1">AE325*AE326</f>
        <v>1e-12</v>
      </c>
      <c r="AF327" s="282">
        <f ca="1">AF325*AF326</f>
        <v>1e-12</v>
      </c>
      <c r="AG327" s="282">
        <f ca="1">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 ca="1">X327</f>
        <v>1e-12</v>
      </c>
      <c r="Y329" s="100"/>
      <c r="Z329" s="390">
        <f ca="1">Z327</f>
        <v>1e-12</v>
      </c>
      <c r="AA329" s="390">
        <f ca="1">AA327</f>
        <v>1e-12</v>
      </c>
      <c r="AB329" s="390">
        <f ca="1">AB327</f>
        <v>1e-12</v>
      </c>
      <c r="AC329" s="390">
        <f ca="1">AC327</f>
        <v>1e-12</v>
      </c>
      <c r="AD329" s="100"/>
      <c r="AE329" s="389">
        <f ca="1">AE327</f>
        <v>1e-12</v>
      </c>
      <c r="AF329" s="389">
        <f ca="1">AF327</f>
        <v>1e-12</v>
      </c>
      <c r="AG329" s="407">
        <f ca="1">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 ca="1">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 ca="1">Model!F63</f>
        <v>1Q23</v>
      </c>
      <c r="G5" s="351" t="str">
        <f ca="1">Model!G63</f>
        <v>2Q23</v>
      </c>
      <c r="H5" s="351" t="str">
        <f ca="1">Model!H63</f>
        <v>3Q23</v>
      </c>
      <c r="I5" s="351" t="str">
        <f ca="1">Model!I63</f>
        <v>4Q23</v>
      </c>
      <c r="J5" s="351">
        <f ca="1">Model!J63</f>
        <v>2023</v>
      </c>
      <c r="K5" s="351" t="str">
        <f ca="1">Model!K63</f>
        <v>1Q24</v>
      </c>
      <c r="L5" s="351" t="str">
        <f ca="1">Model!L63</f>
        <v>2Q24</v>
      </c>
      <c r="M5" s="351" t="str">
        <f ca="1">Model!M63</f>
        <v>3Q24</v>
      </c>
      <c r="N5" s="351" t="str">
        <f ca="1">Model!N63</f>
        <v>4Q24</v>
      </c>
      <c r="O5" s="351">
        <f ca="1">Model!O63</f>
        <v>2024</v>
      </c>
      <c r="P5" s="351" t="str">
        <f ca="1">Model!P63</f>
        <v>1Q25</v>
      </c>
      <c r="Q5" s="351" t="str">
        <f ca="1">Model!Q63</f>
        <v>2Q25</v>
      </c>
      <c r="R5" s="351" t="str">
        <f ca="1">Model!R63</f>
        <v>3Q25</v>
      </c>
      <c r="S5" s="351" t="str">
        <f ca="1">Model!S63</f>
        <v>4Q25</v>
      </c>
      <c r="T5" s="351">
        <f ca="1">Model!T63</f>
        <v>2025</v>
      </c>
      <c r="U5" s="351" t="str">
        <f ca="1">Model!U63</f>
        <v>1Q26</v>
      </c>
      <c r="V5" s="351" t="str">
        <f ca="1">Model!V63</f>
        <v>2Q26</v>
      </c>
      <c r="W5" s="351" t="str">
        <f ca="1">Model!W63</f>
        <v>3Q26e</v>
      </c>
      <c r="X5" s="351" t="str">
        <f ca="1">Model!X63</f>
        <v>4Q26e</v>
      </c>
      <c r="Y5" s="351" t="str">
        <f ca="1">Model!Y63</f>
        <v>2026e</v>
      </c>
      <c r="Z5" s="351" t="str">
        <f ca="1">Model!Z63</f>
        <v>1Q27e</v>
      </c>
      <c r="AA5" s="351" t="str">
        <f ca="1">Model!AA63</f>
        <v>2Q27e</v>
      </c>
      <c r="AB5" s="351" t="str">
        <f ca="1">Model!AB63</f>
        <v>3Q27e</v>
      </c>
      <c r="AC5" s="351" t="str">
        <f ca="1">Model!AC63</f>
        <v>4Q27e</v>
      </c>
      <c r="AD5" s="351" t="str">
        <f ca="1">Model!AD63</f>
        <v>2027e</v>
      </c>
      <c r="AE5" s="351" t="str">
        <f ca="1">Model!AE63</f>
        <v>2028e</v>
      </c>
      <c r="AF5" s="351" t="str">
        <f ca="1">Model!AF63</f>
        <v>2029e</v>
      </c>
      <c r="AG5" s="351" t="str">
        <f ca="1">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ca="1">SUM(F8:F13)</f>
        <v>1e-12</v>
      </c>
      <c r="G7" s="317">
        <f ca="1">SUM(G8:G13)</f>
        <v>1e-12</v>
      </c>
      <c r="H7" s="317">
        <f ca="1">SUM(H8:H13)</f>
        <v>1e-12</v>
      </c>
      <c r="I7" s="317">
        <f ca="1">SUM(I8:I13)</f>
        <v>1e-12</v>
      </c>
      <c r="J7" s="287">
        <f ca="1">SUM(F7:I7)</f>
        <v>1e-12</v>
      </c>
      <c r="K7" s="317">
        <f ca="1">SUM(K8:K13)</f>
        <v>1e-12</v>
      </c>
      <c r="L7" s="317">
        <f ca="1">SUM(L8:L13)</f>
        <v>1e-12</v>
      </c>
      <c r="M7" s="317">
        <f ca="1">SUM(M8:M13)</f>
        <v>1e-12</v>
      </c>
      <c r="N7" s="317">
        <f ca="1">SUM(N8:N13)</f>
        <v>1e-12</v>
      </c>
      <c r="O7" s="287">
        <f ca="1">SUM(K7:N7)</f>
        <v>1e-12</v>
      </c>
      <c r="P7" s="317">
        <f ca="1">SUM(P8:P13)</f>
        <v>1e-12</v>
      </c>
      <c r="Q7" s="317">
        <f ca="1">SUM(Q8:Q13)</f>
        <v>1e-12</v>
      </c>
      <c r="R7" s="317">
        <f ca="1">SUM(R8:R13)</f>
        <v>1e-12</v>
      </c>
      <c r="S7" s="317">
        <f ca="1">SUM(S8:S13)</f>
        <v>1e-12</v>
      </c>
      <c r="T7" s="287">
        <f ca="1">SUM(P7:S7)</f>
        <v>1e-12</v>
      </c>
      <c r="U7" s="317">
        <f ca="1">SUM(U8:U13)</f>
        <v>1e-12</v>
      </c>
      <c r="V7" s="317">
        <f ca="1">SUM(V8:V13)</f>
        <v>27570</v>
      </c>
      <c r="W7" s="317">
        <f ca="1">SUM(W8:W13)</f>
        <v>22918</v>
      </c>
      <c r="X7" s="286">
        <f ca="1">SUM(X8:X13)</f>
        <v>21772.1</v>
      </c>
      <c r="Y7" s="287">
        <f t="shared" ref="Y7:Y13" si="0" ca="1">SUM(U7:X7)</f>
        <v>96682.1</v>
      </c>
      <c r="Z7" s="286">
        <f t="shared" ref="Z7:AC7" si="1" ca="1">SUM(Z8:Z13)</f>
        <v>25691.077999999998</v>
      </c>
      <c r="AA7" s="286">
        <f ca="1">SUM(AA8:AA13)</f>
        <v>29287.82892</v>
      </c>
      <c r="AB7" s="286">
        <f ca="1">SUM(AB8:AB13)</f>
        <v>25773.2894496</v>
      </c>
      <c r="AC7" s="286">
        <f ca="1">SUM(AC8:AC13)</f>
        <v>24484.62497712</v>
      </c>
      <c r="AD7" s="287">
        <f t="shared" ref="AD7:AD13" si="2" ca="1">SUM(Z7:AC7)</f>
        <v>105236.82134671998</v>
      </c>
      <c r="AE7" s="287">
        <f t="shared" ref="AE7:AG7" si="3" ca="1">SUM(AE8:AE13)</f>
        <v>107341.55777365438</v>
      </c>
      <c r="AF7" s="287">
        <f ca="1">SUM(AF8:AF13)</f>
        <v>109488.38892912747</v>
      </c>
      <c r="AG7" s="287">
        <f ca="1">SUM(AG8:AG13)</f>
        <v>111678.15670771002</v>
      </c>
    </row>
    <row r="8" ht="14.25" customHeight="1" spans="1:33" x14ac:dyDescent="0.25">
      <c r="C8" s="139" t="str">
        <f t="shared" ref="C8:C13" si="4" ca="1">C16&amp;" Revenue"</f>
        <v>Home Improvement Retail Revenue</v>
      </c>
      <c r="D8" s="16"/>
      <c r="E8" s="16"/>
      <c r="F8" s="469">
        <v>0</v>
      </c>
      <c r="G8" s="469">
        <v>0</v>
      </c>
      <c r="H8" s="469">
        <v>0</v>
      </c>
      <c r="I8" s="469">
        <f ca="1">0-SUM(F8:H8)</f>
        <v>1e-12</v>
      </c>
      <c r="J8" s="470">
        <f ca="1">SUM(F8:I8)</f>
        <v>1e-12</v>
      </c>
      <c r="K8" s="469">
        <v>0</v>
      </c>
      <c r="L8" s="469">
        <v>0</v>
      </c>
      <c r="M8" s="469">
        <v>0</v>
      </c>
      <c r="N8" s="469">
        <v>0</v>
      </c>
      <c r="O8" s="470">
        <f ca="1">SUM(K8:N8)</f>
        <v>1e-12</v>
      </c>
      <c r="P8" s="469">
        <v>0</v>
      </c>
      <c r="Q8" s="469">
        <v>0</v>
      </c>
      <c r="R8" s="469">
        <v>0</v>
      </c>
      <c r="S8" s="469">
        <v>0</v>
      </c>
      <c r="T8" s="470">
        <f ca="1">SUM(P8:S8)</f>
        <v>1e-12</v>
      </c>
      <c r="U8" s="469">
        <v>0</v>
      </c>
      <c r="V8" s="469">
        <v>0</v>
      </c>
      <c r="W8" s="469">
        <v>22918</v>
      </c>
      <c r="X8" s="471">
        <f ca="1">'Revenue Build'!X32</f>
        <v>21772.1</v>
      </c>
      <c r="Y8" s="470">
        <f ca="1">SUM(U8:X8)</f>
        <v>96682.1</v>
      </c>
      <c r="Z8" s="471">
        <f ca="1">'Revenue Build'!Z32</f>
        <v>25691.077999999998</v>
      </c>
      <c r="AA8" s="471">
        <f ca="1">'Revenue Build'!AA32</f>
        <v>29287.82892</v>
      </c>
      <c r="AB8" s="471">
        <f ca="1">'Revenue Build'!AB32</f>
        <v>25773.2894496</v>
      </c>
      <c r="AC8" s="471">
        <f ca="1">'Revenue Build'!AC32</f>
        <v>24484.62497712</v>
      </c>
      <c r="AD8" s="470">
        <f ca="1">SUM(Z8:AC8)</f>
        <v>105236.82134671998</v>
      </c>
      <c r="AE8" s="472">
        <f ca="1">'Revenue Build'!AE32</f>
        <v>107341.55777365438</v>
      </c>
      <c r="AF8" s="472">
        <f ca="1">'Revenue Build'!AF32</f>
        <v>109488.38892912747</v>
      </c>
      <c r="AG8" s="472">
        <f ca="1">'Revenue Build'!AG32</f>
        <v>111678.15670771002</v>
      </c>
    </row>
    <row r="9" ht="14.25" customHeight="1" hidden="1" spans="1:33" x14ac:dyDescent="0.25" outlineLevel="1">
      <c r="C9" s="139" t="str">
        <f ca="1">C17&amp;" Revenue"</f>
        <v>Segment 2 Revenue</v>
      </c>
      <c r="D9" s="16"/>
      <c r="E9" s="16"/>
      <c r="F9" s="469">
        <v>0</v>
      </c>
      <c r="G9" s="469">
        <v>0</v>
      </c>
      <c r="H9" s="469">
        <v>0</v>
      </c>
      <c r="I9" s="469">
        <v>0</v>
      </c>
      <c r="J9" s="470">
        <f ca="1">SUM(F9:I9)</f>
        <v>1e-12</v>
      </c>
      <c r="K9" s="469">
        <v>0</v>
      </c>
      <c r="L9" s="469">
        <v>0</v>
      </c>
      <c r="M9" s="469">
        <v>0</v>
      </c>
      <c r="N9" s="469">
        <v>0</v>
      </c>
      <c r="O9" s="470">
        <f ca="1">SUM(K9:N9)</f>
        <v>1e-12</v>
      </c>
      <c r="P9" s="469">
        <v>0</v>
      </c>
      <c r="Q9" s="469">
        <v>0</v>
      </c>
      <c r="R9" s="469">
        <v>0</v>
      </c>
      <c r="S9" s="469">
        <v>0</v>
      </c>
      <c r="T9" s="470">
        <f ca="1">SUM(P9:S9)</f>
        <v>1e-12</v>
      </c>
      <c r="U9" s="469">
        <v>0</v>
      </c>
      <c r="V9" s="469">
        <v>0</v>
      </c>
      <c r="W9" s="469">
        <v>0</v>
      </c>
      <c r="X9" s="471">
        <f ca="1">'Revenue Build'!X35</f>
        <v>1e-12</v>
      </c>
      <c r="Y9" s="470">
        <f ca="1">SUM(U9:X9)</f>
        <v>1e-12</v>
      </c>
      <c r="Z9" s="471">
        <f ca="1">'Revenue Build'!Z35</f>
        <v>1e-12</v>
      </c>
      <c r="AA9" s="471">
        <f ca="1">'Revenue Build'!AA35</f>
        <v>1e-12</v>
      </c>
      <c r="AB9" s="471">
        <f ca="1">'Revenue Build'!AB35</f>
        <v>1e-12</v>
      </c>
      <c r="AC9" s="471">
        <f ca="1">'Revenue Build'!AC35</f>
        <v>1e-12</v>
      </c>
      <c r="AD9" s="470">
        <f ca="1">SUM(Z9:AC9)</f>
        <v>1e-12</v>
      </c>
      <c r="AE9" s="472">
        <f ca="1">'Revenue Build'!AE35</f>
        <v>1e-12</v>
      </c>
      <c r="AF9" s="472">
        <f ca="1">'Revenue Build'!AF35</f>
        <v>1e-12</v>
      </c>
      <c r="AG9" s="472">
        <f ca="1">'Revenue Build'!AG35</f>
        <v>1e-12</v>
      </c>
    </row>
    <row r="10" ht="14.25" customHeight="1" hidden="1" spans="1:33" x14ac:dyDescent="0.25" outlineLevel="1">
      <c r="C10" s="139" t="str">
        <f ca="1">C18&amp;" Revenue"</f>
        <v>Segment 3 Revenue</v>
      </c>
      <c r="D10" s="16"/>
      <c r="E10" s="16"/>
      <c r="F10" s="469">
        <v>0</v>
      </c>
      <c r="G10" s="469">
        <v>0</v>
      </c>
      <c r="H10" s="469">
        <v>0</v>
      </c>
      <c r="I10" s="469">
        <v>0</v>
      </c>
      <c r="J10" s="470">
        <f ca="1">SUM(F10:I10)</f>
        <v>1e-12</v>
      </c>
      <c r="K10" s="469">
        <v>0</v>
      </c>
      <c r="L10" s="469">
        <v>0</v>
      </c>
      <c r="M10" s="469">
        <v>0</v>
      </c>
      <c r="N10" s="469">
        <v>0</v>
      </c>
      <c r="O10" s="470">
        <f ca="1">SUM(K10:N10)</f>
        <v>1e-12</v>
      </c>
      <c r="P10" s="469">
        <v>0</v>
      </c>
      <c r="Q10" s="469">
        <v>0</v>
      </c>
      <c r="R10" s="469">
        <v>0</v>
      </c>
      <c r="S10" s="469">
        <v>0</v>
      </c>
      <c r="T10" s="470">
        <f ca="1">SUM(P10:S10)</f>
        <v>1e-12</v>
      </c>
      <c r="U10" s="469">
        <v>0</v>
      </c>
      <c r="V10" s="469">
        <v>0</v>
      </c>
      <c r="W10" s="469">
        <v>0</v>
      </c>
      <c r="X10" s="471">
        <f ca="1">'Revenue Build'!X38</f>
        <v>1e-12</v>
      </c>
      <c r="Y10" s="470">
        <f ca="1">SUM(U10:X10)</f>
        <v>1e-12</v>
      </c>
      <c r="Z10" s="471">
        <f ca="1">'Revenue Build'!Z38</f>
        <v>1e-12</v>
      </c>
      <c r="AA10" s="471">
        <f ca="1">'Revenue Build'!AA38</f>
        <v>1e-12</v>
      </c>
      <c r="AB10" s="471">
        <f ca="1">'Revenue Build'!AB38</f>
        <v>1e-12</v>
      </c>
      <c r="AC10" s="471">
        <f ca="1">'Revenue Build'!AC38</f>
        <v>1e-12</v>
      </c>
      <c r="AD10" s="470">
        <f ca="1">SUM(Z10:AC10)</f>
        <v>1e-12</v>
      </c>
      <c r="AE10" s="472">
        <f ca="1">'Revenue Build'!AE38</f>
        <v>1e-12</v>
      </c>
      <c r="AF10" s="472">
        <f ca="1">'Revenue Build'!AF38</f>
        <v>1e-12</v>
      </c>
      <c r="AG10" s="472">
        <f ca="1">'Revenue Build'!AG38</f>
        <v>1e-12</v>
      </c>
    </row>
    <row r="11" ht="14.25" customHeight="1" hidden="1" spans="1:33" x14ac:dyDescent="0.25" outlineLevel="1">
      <c r="C11" s="139" t="str">
        <f ca="1">C19&amp;" Revenue"</f>
        <v>Segment 4 Revenue</v>
      </c>
      <c r="D11" s="16"/>
      <c r="E11" s="16"/>
      <c r="F11" s="469">
        <v>0</v>
      </c>
      <c r="G11" s="469">
        <v>0</v>
      </c>
      <c r="H11" s="469">
        <v>0</v>
      </c>
      <c r="I11" s="469">
        <v>0</v>
      </c>
      <c r="J11" s="470">
        <f ca="1">SUM(F11:I11)</f>
        <v>1e-12</v>
      </c>
      <c r="K11" s="469">
        <v>0</v>
      </c>
      <c r="L11" s="469">
        <v>0</v>
      </c>
      <c r="M11" s="469">
        <v>0</v>
      </c>
      <c r="N11" s="469">
        <v>0</v>
      </c>
      <c r="O11" s="470">
        <f ca="1">SUM(K11:N11)</f>
        <v>1e-12</v>
      </c>
      <c r="P11" s="469">
        <v>0</v>
      </c>
      <c r="Q11" s="469">
        <v>0</v>
      </c>
      <c r="R11" s="469">
        <v>0</v>
      </c>
      <c r="S11" s="469">
        <v>0</v>
      </c>
      <c r="T11" s="470">
        <f ca="1">SUM(P11:S11)</f>
        <v>1e-12</v>
      </c>
      <c r="U11" s="469">
        <v>0</v>
      </c>
      <c r="V11" s="469">
        <v>0</v>
      </c>
      <c r="W11" s="469">
        <v>0</v>
      </c>
      <c r="X11" s="471">
        <f ca="1">'Revenue Build'!X41</f>
        <v>1e-12</v>
      </c>
      <c r="Y11" s="470">
        <f ca="1">SUM(U11:X11)</f>
        <v>1e-12</v>
      </c>
      <c r="Z11" s="471">
        <f ca="1">'Revenue Build'!Z41</f>
        <v>1e-12</v>
      </c>
      <c r="AA11" s="471">
        <f ca="1">'Revenue Build'!AA41</f>
        <v>1e-12</v>
      </c>
      <c r="AB11" s="471">
        <f ca="1">'Revenue Build'!AB41</f>
        <v>1e-12</v>
      </c>
      <c r="AC11" s="471">
        <f ca="1">'Revenue Build'!AC41</f>
        <v>1e-12</v>
      </c>
      <c r="AD11" s="470">
        <f ca="1">SUM(Z11:AC11)</f>
        <v>1e-12</v>
      </c>
      <c r="AE11" s="472">
        <f ca="1">'Revenue Build'!AE41</f>
        <v>1e-12</v>
      </c>
      <c r="AF11" s="472">
        <f ca="1">'Revenue Build'!AF41</f>
        <v>1e-12</v>
      </c>
      <c r="AG11" s="472">
        <f ca="1">'Revenue Build'!AG41</f>
        <v>1e-12</v>
      </c>
    </row>
    <row r="12" ht="14.25" customHeight="1" hidden="1" spans="1:33" x14ac:dyDescent="0.25" outlineLevel="1">
      <c r="C12" s="139" t="str">
        <f ca="1">C20&amp;" Revenue"</f>
        <v>Segment 5 Revenue</v>
      </c>
      <c r="D12" s="16"/>
      <c r="E12" s="16"/>
      <c r="F12" s="469">
        <v>0</v>
      </c>
      <c r="G12" s="469">
        <v>0</v>
      </c>
      <c r="H12" s="469">
        <v>0</v>
      </c>
      <c r="I12" s="469">
        <v>0</v>
      </c>
      <c r="J12" s="470">
        <f ca="1">SUM(F12:I12)</f>
        <v>1e-12</v>
      </c>
      <c r="K12" s="469">
        <v>0</v>
      </c>
      <c r="L12" s="469">
        <v>0</v>
      </c>
      <c r="M12" s="469">
        <v>0</v>
      </c>
      <c r="N12" s="469">
        <v>0</v>
      </c>
      <c r="O12" s="470">
        <f ca="1">SUM(K12:N12)</f>
        <v>1e-12</v>
      </c>
      <c r="P12" s="469">
        <v>0</v>
      </c>
      <c r="Q12" s="469">
        <v>0</v>
      </c>
      <c r="R12" s="469">
        <v>0</v>
      </c>
      <c r="S12" s="469">
        <v>0</v>
      </c>
      <c r="T12" s="470">
        <f ca="1">SUM(P12:S12)</f>
        <v>1e-12</v>
      </c>
      <c r="U12" s="469">
        <v>0</v>
      </c>
      <c r="V12" s="469">
        <v>0</v>
      </c>
      <c r="W12" s="469">
        <v>0</v>
      </c>
      <c r="X12" s="471">
        <f ca="1">'Revenue Build'!X44</f>
        <v>1e-12</v>
      </c>
      <c r="Y12" s="470">
        <f ca="1">SUM(U12:X12)</f>
        <v>1e-12</v>
      </c>
      <c r="Z12" s="471">
        <f ca="1">'Revenue Build'!Z44</f>
        <v>1e-12</v>
      </c>
      <c r="AA12" s="471">
        <f ca="1">'Revenue Build'!AA44</f>
        <v>1e-12</v>
      </c>
      <c r="AB12" s="471">
        <f ca="1">'Revenue Build'!AB44</f>
        <v>1e-12</v>
      </c>
      <c r="AC12" s="471">
        <f ca="1">'Revenue Build'!AC44</f>
        <v>1e-12</v>
      </c>
      <c r="AD12" s="470">
        <f ca="1">SUM(Z12:AC12)</f>
        <v>1e-12</v>
      </c>
      <c r="AE12" s="472">
        <f ca="1">'Revenue Build'!AE44</f>
        <v>1e-12</v>
      </c>
      <c r="AF12" s="472">
        <f ca="1">'Revenue Build'!AF44</f>
        <v>1e-12</v>
      </c>
      <c r="AG12" s="472">
        <f ca="1">'Revenue Build'!AG44</f>
        <v>1e-12</v>
      </c>
    </row>
    <row r="13" ht="14.25" customHeight="1" hidden="1" spans="1:33" x14ac:dyDescent="0.25" outlineLevel="2" collapsed="1">
      <c r="C13" s="139" t="str">
        <f ca="1">C21&amp;" Revenue"</f>
        <v>Segment 6 Revenue</v>
      </c>
      <c r="D13" s="16"/>
      <c r="E13" s="16"/>
      <c r="F13" s="469">
        <v>0</v>
      </c>
      <c r="G13" s="469">
        <v>0</v>
      </c>
      <c r="H13" s="469">
        <v>0</v>
      </c>
      <c r="I13" s="469">
        <v>0</v>
      </c>
      <c r="J13" s="470">
        <f ca="1">SUM(F13:I13)</f>
        <v>1e-12</v>
      </c>
      <c r="K13" s="469">
        <v>0</v>
      </c>
      <c r="L13" s="469">
        <v>0</v>
      </c>
      <c r="M13" s="469">
        <v>0</v>
      </c>
      <c r="N13" s="469">
        <v>0</v>
      </c>
      <c r="O13" s="470">
        <f ca="1">SUM(K13:N13)</f>
        <v>1e-12</v>
      </c>
      <c r="P13" s="469">
        <v>0</v>
      </c>
      <c r="Q13" s="469">
        <v>0</v>
      </c>
      <c r="R13" s="469">
        <v>0</v>
      </c>
      <c r="S13" s="469">
        <v>0</v>
      </c>
      <c r="T13" s="470">
        <f ca="1">SUM(P13:S13)</f>
        <v>1e-12</v>
      </c>
      <c r="U13" s="469">
        <v>0</v>
      </c>
      <c r="V13" s="469">
        <v>0</v>
      </c>
      <c r="W13" s="469">
        <v>0</v>
      </c>
      <c r="X13" s="471">
        <f ca="1">'Revenue Build'!X47</f>
        <v>1e-12</v>
      </c>
      <c r="Y13" s="470">
        <f ca="1">SUM(U13:X13)</f>
        <v>1e-12</v>
      </c>
      <c r="Z13" s="471">
        <f ca="1">'Revenue Build'!Z47</f>
        <v>1e-12</v>
      </c>
      <c r="AA13" s="471">
        <f ca="1">'Revenue Build'!AA47</f>
        <v>1e-12</v>
      </c>
      <c r="AB13" s="471">
        <f ca="1">'Revenue Build'!AB47</f>
        <v>1e-12</v>
      </c>
      <c r="AC13" s="471">
        <f ca="1">'Revenue Build'!AC47</f>
        <v>1e-12</v>
      </c>
      <c r="AD13" s="470">
        <f ca="1">SUM(Z13:AC13)</f>
        <v>1e-12</v>
      </c>
      <c r="AE13" s="472">
        <f ca="1">'Revenue Build'!AE47</f>
        <v>1e-12</v>
      </c>
      <c r="AF13" s="472">
        <f ca="1">'Revenue Build'!AF47</f>
        <v>1e-12</v>
      </c>
      <c r="AG13" s="472">
        <f ca="1">'Revenue Build'!AG47</f>
        <v>1e-12</v>
      </c>
    </row>
    <row r="14" ht="14.25" customHeight="1" spans="1:33" x14ac:dyDescent="0.25">
      <c r="C14" s="16"/>
      <c r="D14" s="16"/>
      <c r="E14" s="16"/>
      <c r="F14" s="319"/>
      <c r="G14" s="319"/>
      <c r="H14" s="319"/>
      <c r="I14" s="319"/>
      <c r="J14" s="168">
        <f ca="1">SUM(F14:I14)</f>
        <v>1e-12</v>
      </c>
      <c r="K14" s="319"/>
      <c r="L14" s="319"/>
      <c r="M14" s="473"/>
      <c r="N14" s="319"/>
      <c r="O14" s="168">
        <f ca="1">SUM(K14:N14)</f>
        <v>1e-12</v>
      </c>
      <c r="P14" s="319"/>
      <c r="Q14" s="319"/>
      <c r="R14" s="319"/>
      <c r="S14" s="319"/>
      <c r="T14" s="168">
        <f ca="1">SUM(P14:S14)</f>
        <v>1e-12</v>
      </c>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5" ca="1">IFERROR(F8/F$7,"N/A")</f>
        <v>1</v>
      </c>
      <c r="G16" s="377">
        <f ca="1">IFERROR(G8/G$7,"N/A")</f>
        <v>1</v>
      </c>
      <c r="H16" s="377">
        <f ca="1">IFERROR(H8/H$7,"N/A")</f>
        <v>1</v>
      </c>
      <c r="I16" s="377">
        <f ca="1">IFERROR(I8/I$7,"N/A")</f>
        <v>1</v>
      </c>
      <c r="J16" s="378">
        <f ca="1">IFERROR(J8/J$7,"N/A")</f>
        <v>1</v>
      </c>
      <c r="K16" s="377">
        <f ca="1">IFERROR(K8/K$7,"N/A")</f>
        <v>1</v>
      </c>
      <c r="L16" s="377">
        <f ca="1">IFERROR(L8/L$7,"N/A")</f>
        <v>1</v>
      </c>
      <c r="M16" s="377">
        <f ca="1">IFERROR(M8/M$7,"N/A")</f>
        <v>1</v>
      </c>
      <c r="N16" s="377">
        <f ca="1">IFERROR(N8/N$7,"N/A")</f>
        <v>1</v>
      </c>
      <c r="O16" s="378">
        <f ca="1">IFERROR(O8/O$7,"N/A")</f>
        <v>1</v>
      </c>
      <c r="P16" s="377">
        <f ca="1">IFERROR(P8/P$7,"N/A")</f>
        <v>1</v>
      </c>
      <c r="Q16" s="377">
        <f ca="1">IFERROR(Q8/Q$7,"N/A")</f>
        <v>1</v>
      </c>
      <c r="R16" s="377">
        <f ca="1">IFERROR(R8/R$7,"N/A")</f>
        <v>1</v>
      </c>
      <c r="S16" s="377">
        <f ca="1">IFERROR(S8/S$7,"N/A")</f>
        <v>1</v>
      </c>
      <c r="T16" s="378">
        <f ca="1">IFERROR(T8/T$7,"N/A")</f>
        <v>1</v>
      </c>
      <c r="U16" s="377">
        <f ca="1">IFERROR(U8/U$7,"N/A")</f>
        <v>1</v>
      </c>
      <c r="V16" s="377">
        <f ca="1">IFERROR(V8/V$7,"N/A")</f>
        <v>1</v>
      </c>
      <c r="W16" s="377">
        <f ca="1">IFERROR(W8/W$7,"N/A")</f>
        <v>1</v>
      </c>
      <c r="X16" s="379">
        <f ca="1">IFERROR(X8/X$7,"N/A")</f>
        <v>1</v>
      </c>
      <c r="Y16" s="378">
        <f ca="1">IFERROR(Y8/Y$7,"N/A")</f>
        <v>1</v>
      </c>
      <c r="Z16" s="379">
        <f ca="1">IFERROR(Z8/Z$7,"N/A")</f>
        <v>1</v>
      </c>
      <c r="AA16" s="379">
        <f ca="1">IFERROR(AA8/AA$7,"N/A")</f>
        <v>1</v>
      </c>
      <c r="AB16" s="379">
        <f ca="1">IFERROR(AB8/AB$7,"N/A")</f>
        <v>1</v>
      </c>
      <c r="AC16" s="379">
        <f ca="1">IFERROR(AC8/AC$7,"N/A")</f>
        <v>1</v>
      </c>
      <c r="AD16" s="378">
        <f ca="1">IFERROR(AD8/AD$7,"N/A")</f>
        <v>1</v>
      </c>
      <c r="AE16" s="378">
        <f ca="1">IFERROR(AE8/AE$7,"N/A")</f>
        <v>1</v>
      </c>
      <c r="AF16" s="378">
        <f ca="1">IFERROR(AF8/AF$7,"N/A")</f>
        <v>1</v>
      </c>
      <c r="AG16" s="378">
        <f ca="1">IFERROR(AG8/AG$7,"N/A")</f>
        <v>1</v>
      </c>
    </row>
    <row r="17" ht="14.25" customHeight="1" hidden="1" spans="1:33" x14ac:dyDescent="0.25" outlineLevel="1">
      <c r="C17" s="476" t="s">
        <v>447</v>
      </c>
      <c r="D17" s="16"/>
      <c r="E17" s="16"/>
      <c r="F17" s="377">
        <f t="shared" ref="F17:AG17" si="6" ca="1">IFERROR(F9/F$7,"N/A")</f>
        <v>0</v>
      </c>
      <c r="G17" s="377">
        <f ca="1">IFERROR(G9/G$7,"N/A")</f>
      </c>
      <c r="H17" s="377">
        <f ca="1">IFERROR(H9/H$7,"N/A")</f>
      </c>
      <c r="I17" s="377">
        <f ca="1">IFERROR(I9/I$7,"N/A")</f>
      </c>
      <c r="J17" s="378">
        <f ca="1">IFERROR(J9/J$7,"N/A")</f>
      </c>
      <c r="K17" s="377">
        <f ca="1">IFERROR(K9/K$7,"N/A")</f>
      </c>
      <c r="L17" s="377">
        <f ca="1">IFERROR(L9/L$7,"N/A")</f>
      </c>
      <c r="M17" s="377">
        <f ca="1">IFERROR(M9/M$7,"N/A")</f>
      </c>
      <c r="N17" s="377">
        <f ca="1">IFERROR(N9/N$7,"N/A")</f>
      </c>
      <c r="O17" s="378">
        <f ca="1">IFERROR(O9/O$7,"N/A")</f>
      </c>
      <c r="P17" s="377">
        <f ca="1">IFERROR(P9/P$7,"N/A")</f>
      </c>
      <c r="Q17" s="377">
        <f ca="1">IFERROR(Q9/Q$7,"N/A")</f>
      </c>
      <c r="R17" s="377">
        <f ca="1">IFERROR(R9/R$7,"N/A")</f>
      </c>
      <c r="S17" s="377">
        <f ca="1">IFERROR(S9/S$7,"N/A")</f>
      </c>
      <c r="T17" s="378">
        <f ca="1">IFERROR(T9/T$7,"N/A")</f>
      </c>
      <c r="U17" s="377">
        <f ca="1">IFERROR(U9/U$7,"N/A")</f>
      </c>
      <c r="V17" s="377">
        <f ca="1">IFERROR(V9/V$7,"N/A")</f>
      </c>
      <c r="W17" s="377">
        <f ca="1">IFERROR(W9/W$7,"N/A")</f>
      </c>
      <c r="X17" s="379">
        <f ca="1">IFERROR(X9/X$7,"N/A")</f>
      </c>
      <c r="Y17" s="378">
        <f ca="1">IFERROR(Y9/Y$7,"N/A")</f>
      </c>
      <c r="Z17" s="379">
        <f ca="1">IFERROR(Z9/Z$7,"N/A")</f>
      </c>
      <c r="AA17" s="379">
        <f ca="1">IFERROR(AA9/AA$7,"N/A")</f>
      </c>
      <c r="AB17" s="379">
        <f ca="1">IFERROR(AB9/AB$7,"N/A")</f>
      </c>
      <c r="AC17" s="379">
        <f ca="1">IFERROR(AC9/AC$7,"N/A")</f>
      </c>
      <c r="AD17" s="378">
        <f ca="1">IFERROR(AD9/AD$7,"N/A")</f>
      </c>
      <c r="AE17" s="378">
        <f ca="1">IFERROR(AE9/AE$7,"N/A")</f>
      </c>
      <c r="AF17" s="378">
        <f ca="1">IFERROR(AF9/AF$7,"N/A")</f>
      </c>
      <c r="AG17" s="378">
        <f ca="1">IFERROR(AG9/AG$7,"N/A")</f>
      </c>
    </row>
    <row r="18" ht="14.25" customHeight="1" hidden="1" spans="1:33" x14ac:dyDescent="0.25" outlineLevel="1">
      <c r="C18" s="476" t="s">
        <v>448</v>
      </c>
      <c r="D18" s="16"/>
      <c r="E18" s="16"/>
      <c r="F18" s="377">
        <f t="shared" ref="F18:AG18" si="7" ca="1">IFERROR(F10/F$7,"N/A")</f>
        <v>0</v>
      </c>
      <c r="G18" s="377">
        <f ca="1">IFERROR(G10/G$7,"N/A")</f>
      </c>
      <c r="H18" s="377">
        <f ca="1">IFERROR(H10/H$7,"N/A")</f>
      </c>
      <c r="I18" s="377">
        <f ca="1">IFERROR(I10/I$7,"N/A")</f>
      </c>
      <c r="J18" s="378">
        <f ca="1">IFERROR(J10/J$7,"N/A")</f>
      </c>
      <c r="K18" s="377">
        <f ca="1">IFERROR(K10/K$7,"N/A")</f>
      </c>
      <c r="L18" s="377">
        <f ca="1">IFERROR(L10/L$7,"N/A")</f>
      </c>
      <c r="M18" s="377">
        <f ca="1">IFERROR(M10/M$7,"N/A")</f>
      </c>
      <c r="N18" s="377">
        <f ca="1">IFERROR(N10/N$7,"N/A")</f>
      </c>
      <c r="O18" s="378">
        <f ca="1">IFERROR(O10/O$7,"N/A")</f>
      </c>
      <c r="P18" s="377">
        <f ca="1">IFERROR(P10/P$7,"N/A")</f>
      </c>
      <c r="Q18" s="377">
        <f ca="1">IFERROR(Q10/Q$7,"N/A")</f>
      </c>
      <c r="R18" s="377">
        <f ca="1">IFERROR(R10/R$7,"N/A")</f>
      </c>
      <c r="S18" s="377">
        <f ca="1">IFERROR(S10/S$7,"N/A")</f>
      </c>
      <c r="T18" s="378">
        <f ca="1">IFERROR(T10/T$7,"N/A")</f>
      </c>
      <c r="U18" s="377">
        <f ca="1">IFERROR(U10/U$7,"N/A")</f>
      </c>
      <c r="V18" s="377">
        <f ca="1">IFERROR(V10/V$7,"N/A")</f>
      </c>
      <c r="W18" s="377">
        <f ca="1">IFERROR(W10/W$7,"N/A")</f>
      </c>
      <c r="X18" s="379">
        <f ca="1">IFERROR(X10/X$7,"N/A")</f>
      </c>
      <c r="Y18" s="378">
        <f ca="1">IFERROR(Y10/Y$7,"N/A")</f>
      </c>
      <c r="Z18" s="379">
        <f ca="1">IFERROR(Z10/Z$7,"N/A")</f>
      </c>
      <c r="AA18" s="379">
        <f ca="1">IFERROR(AA10/AA$7,"N/A")</f>
      </c>
      <c r="AB18" s="379">
        <f ca="1">IFERROR(AB10/AB$7,"N/A")</f>
      </c>
      <c r="AC18" s="379">
        <f ca="1">IFERROR(AC10/AC$7,"N/A")</f>
      </c>
      <c r="AD18" s="378">
        <f ca="1">IFERROR(AD10/AD$7,"N/A")</f>
      </c>
      <c r="AE18" s="378">
        <f ca="1">IFERROR(AE10/AE$7,"N/A")</f>
      </c>
      <c r="AF18" s="378">
        <f ca="1">IFERROR(AF10/AF$7,"N/A")</f>
      </c>
      <c r="AG18" s="378">
        <f ca="1">IFERROR(AG10/AG$7,"N/A")</f>
      </c>
    </row>
    <row r="19" ht="14.25" customHeight="1" hidden="1" spans="1:33" x14ac:dyDescent="0.25" outlineLevel="1">
      <c r="C19" s="476" t="s">
        <v>449</v>
      </c>
      <c r="D19" s="16"/>
      <c r="E19" s="16"/>
      <c r="F19" s="377">
        <f t="shared" ref="F19:AG19" si="8" ca="1">IFERROR(F11/F$7,"N/A")</f>
        <v>0</v>
      </c>
      <c r="G19" s="377">
        <f ca="1">IFERROR(G11/G$7,"N/A")</f>
      </c>
      <c r="H19" s="377">
        <f ca="1">IFERROR(H11/H$7,"N/A")</f>
      </c>
      <c r="I19" s="377">
        <f ca="1">IFERROR(I11/I$7,"N/A")</f>
      </c>
      <c r="J19" s="378">
        <f ca="1">IFERROR(J11/J$7,"N/A")</f>
      </c>
      <c r="K19" s="377">
        <f ca="1">IFERROR(K11/K$7,"N/A")</f>
      </c>
      <c r="L19" s="377">
        <f ca="1">IFERROR(L11/L$7,"N/A")</f>
      </c>
      <c r="M19" s="377">
        <f ca="1">IFERROR(M11/M$7,"N/A")</f>
      </c>
      <c r="N19" s="377">
        <f ca="1">IFERROR(N11/N$7,"N/A")</f>
      </c>
      <c r="O19" s="378">
        <f ca="1">IFERROR(O11/O$7,"N/A")</f>
      </c>
      <c r="P19" s="377">
        <f ca="1">IFERROR(P11/P$7,"N/A")</f>
      </c>
      <c r="Q19" s="377">
        <f ca="1">IFERROR(Q11/Q$7,"N/A")</f>
      </c>
      <c r="R19" s="377">
        <f ca="1">IFERROR(R11/R$7,"N/A")</f>
      </c>
      <c r="S19" s="377">
        <f ca="1">IFERROR(S11/S$7,"N/A")</f>
      </c>
      <c r="T19" s="378">
        <f ca="1">IFERROR(T11/T$7,"N/A")</f>
      </c>
      <c r="U19" s="377">
        <f ca="1">IFERROR(U11/U$7,"N/A")</f>
      </c>
      <c r="V19" s="377">
        <f ca="1">IFERROR(V11/V$7,"N/A")</f>
      </c>
      <c r="W19" s="377">
        <f ca="1">IFERROR(W11/W$7,"N/A")</f>
      </c>
      <c r="X19" s="379">
        <f ca="1">IFERROR(X11/X$7,"N/A")</f>
      </c>
      <c r="Y19" s="378">
        <f ca="1">IFERROR(Y11/Y$7,"N/A")</f>
      </c>
      <c r="Z19" s="379">
        <f ca="1">IFERROR(Z11/Z$7,"N/A")</f>
      </c>
      <c r="AA19" s="379">
        <f ca="1">IFERROR(AA11/AA$7,"N/A")</f>
      </c>
      <c r="AB19" s="379">
        <f ca="1">IFERROR(AB11/AB$7,"N/A")</f>
      </c>
      <c r="AC19" s="379">
        <f ca="1">IFERROR(AC11/AC$7,"N/A")</f>
      </c>
      <c r="AD19" s="378">
        <f ca="1">IFERROR(AD11/AD$7,"N/A")</f>
      </c>
      <c r="AE19" s="378">
        <f ca="1">IFERROR(AE11/AE$7,"N/A")</f>
      </c>
      <c r="AF19" s="378">
        <f ca="1">IFERROR(AF11/AF$7,"N/A")</f>
      </c>
      <c r="AG19" s="378">
        <f ca="1">IFERROR(AG11/AG$7,"N/A")</f>
      </c>
    </row>
    <row r="20" ht="14.25" customHeight="1" hidden="1" spans="1:33" x14ac:dyDescent="0.25" outlineLevel="1">
      <c r="C20" s="476" t="s">
        <v>450</v>
      </c>
      <c r="D20" s="16"/>
      <c r="E20" s="16"/>
      <c r="F20" s="377">
        <f t="shared" ref="F20:AG20" si="9" ca="1">IFERROR(F12/F$7,"N/A")</f>
        <v>0</v>
      </c>
      <c r="G20" s="377">
        <f ca="1">IFERROR(G12/G$7,"N/A")</f>
      </c>
      <c r="H20" s="377">
        <f ca="1">IFERROR(H12/H$7,"N/A")</f>
      </c>
      <c r="I20" s="377">
        <f ca="1">IFERROR(I12/I$7,"N/A")</f>
      </c>
      <c r="J20" s="378">
        <f ca="1">IFERROR(J12/J$7,"N/A")</f>
      </c>
      <c r="K20" s="377">
        <f ca="1">IFERROR(K12/K$7,"N/A")</f>
      </c>
      <c r="L20" s="377">
        <f ca="1">IFERROR(L12/L$7,"N/A")</f>
      </c>
      <c r="M20" s="377">
        <f ca="1">IFERROR(M12/M$7,"N/A")</f>
      </c>
      <c r="N20" s="377">
        <f ca="1">IFERROR(N12/N$7,"N/A")</f>
      </c>
      <c r="O20" s="378">
        <f ca="1">IFERROR(O12/O$7,"N/A")</f>
      </c>
      <c r="P20" s="377">
        <f ca="1">IFERROR(P12/P$7,"N/A")</f>
      </c>
      <c r="Q20" s="377">
        <f ca="1">IFERROR(Q12/Q$7,"N/A")</f>
      </c>
      <c r="R20" s="377">
        <f ca="1">IFERROR(R12/R$7,"N/A")</f>
      </c>
      <c r="S20" s="377">
        <f ca="1">IFERROR(S12/S$7,"N/A")</f>
      </c>
      <c r="T20" s="378">
        <f ca="1">IFERROR(T12/T$7,"N/A")</f>
      </c>
      <c r="U20" s="377">
        <f ca="1">IFERROR(U12/U$7,"N/A")</f>
      </c>
      <c r="V20" s="377">
        <f ca="1">IFERROR(V12/V$7,"N/A")</f>
      </c>
      <c r="W20" s="377">
        <f ca="1">IFERROR(W12/W$7,"N/A")</f>
      </c>
      <c r="X20" s="379">
        <f ca="1">IFERROR(X12/X$7,"N/A")</f>
      </c>
      <c r="Y20" s="378">
        <f ca="1">IFERROR(Y12/Y$7,"N/A")</f>
      </c>
      <c r="Z20" s="379">
        <f ca="1">IFERROR(Z12/Z$7,"N/A")</f>
      </c>
      <c r="AA20" s="379">
        <f ca="1">IFERROR(AA12/AA$7,"N/A")</f>
      </c>
      <c r="AB20" s="379">
        <f ca="1">IFERROR(AB12/AB$7,"N/A")</f>
      </c>
      <c r="AC20" s="379">
        <f ca="1">IFERROR(AC12/AC$7,"N/A")</f>
      </c>
      <c r="AD20" s="378">
        <f ca="1">IFERROR(AD12/AD$7,"N/A")</f>
      </c>
      <c r="AE20" s="378">
        <f ca="1">IFERROR(AE12/AE$7,"N/A")</f>
      </c>
      <c r="AF20" s="378">
        <f ca="1">IFERROR(AF12/AF$7,"N/A")</f>
      </c>
      <c r="AG20" s="378">
        <f ca="1">IFERROR(AG12/AG$7,"N/A")</f>
      </c>
    </row>
    <row r="21" ht="14.25" customHeight="1" hidden="1" spans="1:33" x14ac:dyDescent="0.25" outlineLevel="2" collapsed="1">
      <c r="C21" s="476" t="s">
        <v>451</v>
      </c>
      <c r="D21" s="16"/>
      <c r="E21" s="16"/>
      <c r="F21" s="377">
        <f t="shared" ref="F21:AG21" si="10" ca="1">IFERROR(F13/F$7,"N/A")</f>
        <v>0</v>
      </c>
      <c r="G21" s="377">
        <f ca="1">IFERROR(G13/G$7,"N/A")</f>
      </c>
      <c r="H21" s="377">
        <f ca="1">IFERROR(H13/H$7,"N/A")</f>
      </c>
      <c r="I21" s="377">
        <f ca="1">IFERROR(I13/I$7,"N/A")</f>
      </c>
      <c r="J21" s="378">
        <f ca="1">IFERROR(J13/J$7,"N/A")</f>
      </c>
      <c r="K21" s="377">
        <f ca="1">IFERROR(K13/K$7,"N/A")</f>
      </c>
      <c r="L21" s="377">
        <f ca="1">IFERROR(L13/L$7,"N/A")</f>
      </c>
      <c r="M21" s="377">
        <f ca="1">IFERROR(M13/M$7,"N/A")</f>
      </c>
      <c r="N21" s="377">
        <f ca="1">IFERROR(N13/N$7,"N/A")</f>
      </c>
      <c r="O21" s="378">
        <f ca="1">IFERROR(O13/O$7,"N/A")</f>
      </c>
      <c r="P21" s="377">
        <f ca="1">IFERROR(P13/P$7,"N/A")</f>
      </c>
      <c r="Q21" s="377">
        <f ca="1">IFERROR(Q13/Q$7,"N/A")</f>
      </c>
      <c r="R21" s="377">
        <f ca="1">IFERROR(R13/R$7,"N/A")</f>
      </c>
      <c r="S21" s="377">
        <f ca="1">IFERROR(S13/S$7,"N/A")</f>
      </c>
      <c r="T21" s="378">
        <f ca="1">IFERROR(T13/T$7,"N/A")</f>
      </c>
      <c r="U21" s="377">
        <f ca="1">IFERROR(U13/U$7,"N/A")</f>
      </c>
      <c r="V21" s="377">
        <f ca="1">IFERROR(V13/V$7,"N/A")</f>
      </c>
      <c r="W21" s="377">
        <f ca="1">IFERROR(W13/W$7,"N/A")</f>
      </c>
      <c r="X21" s="379">
        <f ca="1">IFERROR(X13/X$7,"N/A")</f>
      </c>
      <c r="Y21" s="378">
        <f ca="1">IFERROR(Y13/Y$7,"N/A")</f>
      </c>
      <c r="Z21" s="379">
        <f ca="1">IFERROR(Z13/Z$7,"N/A")</f>
      </c>
      <c r="AA21" s="379">
        <f ca="1">IFERROR(AA13/AA$7,"N/A")</f>
      </c>
      <c r="AB21" s="379">
        <f ca="1">IFERROR(AB13/AB$7,"N/A")</f>
      </c>
      <c r="AC21" s="379">
        <f ca="1">IFERROR(AC13/AC$7,"N/A")</f>
      </c>
      <c r="AD21" s="378">
        <f ca="1">IFERROR(AD13/AD$7,"N/A")</f>
      </c>
      <c r="AE21" s="378">
        <f ca="1">IFERROR(AE13/AE$7,"N/A")</f>
      </c>
      <c r="AF21" s="378">
        <f ca="1">IFERROR(AF13/AF$7,"N/A")</f>
      </c>
      <c r="AG21" s="378">
        <f ca="1">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1" ca="1">SUM(F24:F26)</f>
        <v>1e-12</v>
      </c>
      <c r="G23" s="317">
        <f ca="1">SUM(G24:G26)</f>
        <v>1e-12</v>
      </c>
      <c r="H23" s="317">
        <f ca="1">SUM(H24:H26)</f>
        <v>1e-12</v>
      </c>
      <c r="I23" s="317">
        <f ca="1">SUM(I24:I26)</f>
        <v>1e-12</v>
      </c>
      <c r="J23" s="287">
        <f t="shared" ref="J23:J26" si="12" ca="1">SUM(F23:I23)</f>
        <v>1e-12</v>
      </c>
      <c r="K23" s="317">
        <f t="shared" ref="K23:N23" si="13" ca="1">SUM(K24:K26)</f>
        <v>1e-12</v>
      </c>
      <c r="L23" s="317">
        <f ca="1">SUM(L24:L26)</f>
        <v>1e-12</v>
      </c>
      <c r="M23" s="317">
        <f ca="1">SUM(M24:M26)</f>
        <v>1e-12</v>
      </c>
      <c r="N23" s="317">
        <f ca="1">SUM(N24:N26)</f>
        <v>1e-12</v>
      </c>
      <c r="O23" s="287">
        <f t="shared" ref="O23:O26" si="14" ca="1">SUM(K23:N23)</f>
        <v>1e-12</v>
      </c>
      <c r="P23" s="317">
        <f t="shared" ref="P23:S23" si="15" ca="1">SUM(P24:P26)</f>
        <v>1e-12</v>
      </c>
      <c r="Q23" s="317">
        <f ca="1">SUM(Q24:Q26)</f>
        <v>1e-12</v>
      </c>
      <c r="R23" s="317">
        <f ca="1">SUM(R24:R26)</f>
        <v>1e-12</v>
      </c>
      <c r="S23" s="317">
        <f ca="1">SUM(S24:S26)</f>
        <v>1e-12</v>
      </c>
      <c r="T23" s="287">
        <f t="shared" ref="T23:T26" si="16" ca="1">SUM(P23:S23)</f>
        <v>1e-12</v>
      </c>
      <c r="U23" s="317">
        <f t="shared" ref="U23:X23" si="17" ca="1">SUM(U24:U26)</f>
        <v>1e-12</v>
      </c>
      <c r="V23" s="317">
        <f ca="1">SUM(V24:V26)</f>
        <v>1e-12</v>
      </c>
      <c r="W23" s="317">
        <f ca="1">SUM(W24:W26)</f>
        <v>1e-12</v>
      </c>
      <c r="X23" s="286">
        <f ca="1">SUM(X24:X26)</f>
        <v>1e-12</v>
      </c>
      <c r="Y23" s="287">
        <f t="shared" ref="Y23:Y26" si="18" ca="1">SUM(U23:X23)</f>
        <v>1e-12</v>
      </c>
      <c r="Z23" s="286">
        <f t="shared" ref="Z23:AC23" si="19" ca="1">SUM(Z24:Z26)</f>
        <v>1e-12</v>
      </c>
      <c r="AA23" s="286">
        <f ca="1">SUM(AA24:AA26)</f>
        <v>1e-12</v>
      </c>
      <c r="AB23" s="286">
        <f ca="1">SUM(AB24:AB26)</f>
        <v>1e-12</v>
      </c>
      <c r="AC23" s="286">
        <f ca="1">SUM(AC24:AC26)</f>
        <v>1e-12</v>
      </c>
      <c r="AD23" s="287">
        <f t="shared" ref="AD23:AD26" si="20" ca="1">SUM(Z23:AC23)</f>
        <v>1e-12</v>
      </c>
      <c r="AE23" s="287">
        <f t="shared" ref="AE23:AG23" si="21" ca="1">SUM(AE24:AE26)</f>
        <v>1e-12</v>
      </c>
      <c r="AF23" s="287">
        <f ca="1">SUM(AF24:AF26)</f>
        <v>1e-12</v>
      </c>
      <c r="AG23" s="287">
        <f ca="1">SUM(AG24:AG26)</f>
        <v>1e-12</v>
      </c>
    </row>
    <row r="24" ht="14.25" customHeight="1" hidden="1" spans="1:33" x14ac:dyDescent="0.25" outlineLevel="1">
      <c r="C24" s="139" t="str">
        <f t="shared" ref="C24:C26" si="22" ca="1">C29&amp;" Revenue"</f>
        <v>Boeing Military Aircraft Revenue</v>
      </c>
      <c r="D24" s="16"/>
      <c r="E24" s="16"/>
      <c r="F24" s="469">
        <v>0</v>
      </c>
      <c r="G24" s="469">
        <v>0</v>
      </c>
      <c r="H24" s="469">
        <v>0</v>
      </c>
      <c r="I24" s="469">
        <v>0</v>
      </c>
      <c r="J24" s="470">
        <f ca="1">SUM(F24:I24)</f>
        <v>1e-12</v>
      </c>
      <c r="K24" s="469">
        <v>0</v>
      </c>
      <c r="L24" s="469">
        <v>0</v>
      </c>
      <c r="M24" s="469">
        <v>0</v>
      </c>
      <c r="N24" s="469">
        <v>0</v>
      </c>
      <c r="O24" s="470">
        <f ca="1">SUM(K24:N24)</f>
        <v>1e-12</v>
      </c>
      <c r="P24" s="469">
        <v>0</v>
      </c>
      <c r="Q24" s="469">
        <v>0</v>
      </c>
      <c r="R24" s="469">
        <v>0</v>
      </c>
      <c r="S24" s="469">
        <v>0</v>
      </c>
      <c r="T24" s="470">
        <f ca="1">SUM(P24:S24)</f>
        <v>1e-12</v>
      </c>
      <c r="U24" s="469">
        <v>0</v>
      </c>
      <c r="V24" s="469">
        <v>0</v>
      </c>
      <c r="W24" s="469">
        <v>0</v>
      </c>
      <c r="X24" s="477">
        <v>0</v>
      </c>
      <c r="Y24" s="470">
        <f ca="1">SUM(U24:X24)</f>
        <v>1e-12</v>
      </c>
      <c r="Z24" s="477">
        <v>0</v>
      </c>
      <c r="AA24" s="477">
        <v>0</v>
      </c>
      <c r="AB24" s="477">
        <v>0</v>
      </c>
      <c r="AC24" s="477">
        <v>0</v>
      </c>
      <c r="AD24" s="470">
        <f ca="1">SUM(Z24:AC24)</f>
        <v>1e-12</v>
      </c>
      <c r="AE24" s="478">
        <v>0</v>
      </c>
      <c r="AF24" s="478">
        <v>0</v>
      </c>
      <c r="AG24" s="478">
        <v>0</v>
      </c>
    </row>
    <row r="25" ht="14.25" customHeight="1" hidden="1" spans="1:33" x14ac:dyDescent="0.25" outlineLevel="1">
      <c r="C25" s="139" t="str">
        <f ca="1">C30&amp;" Revenue"</f>
        <v>Network &amp; Space Systems Revenue</v>
      </c>
      <c r="D25" s="16"/>
      <c r="E25" s="16"/>
      <c r="F25" s="469">
        <v>0</v>
      </c>
      <c r="G25" s="469">
        <v>0</v>
      </c>
      <c r="H25" s="469">
        <v>0</v>
      </c>
      <c r="I25" s="469">
        <v>0</v>
      </c>
      <c r="J25" s="470">
        <f ca="1">SUM(F25:I25)</f>
        <v>1e-12</v>
      </c>
      <c r="K25" s="469">
        <v>0</v>
      </c>
      <c r="L25" s="469">
        <v>0</v>
      </c>
      <c r="M25" s="469">
        <v>0</v>
      </c>
      <c r="N25" s="469">
        <v>0</v>
      </c>
      <c r="O25" s="470">
        <f ca="1">SUM(K25:N25)</f>
        <v>1e-12</v>
      </c>
      <c r="P25" s="469">
        <v>0</v>
      </c>
      <c r="Q25" s="469">
        <v>0</v>
      </c>
      <c r="R25" s="469">
        <v>0</v>
      </c>
      <c r="S25" s="469">
        <v>0</v>
      </c>
      <c r="T25" s="470">
        <f ca="1">SUM(P25:S25)</f>
        <v>1e-12</v>
      </c>
      <c r="U25" s="469">
        <v>0</v>
      </c>
      <c r="V25" s="469">
        <v>0</v>
      </c>
      <c r="W25" s="469">
        <v>0</v>
      </c>
      <c r="X25" s="477">
        <v>0</v>
      </c>
      <c r="Y25" s="470">
        <f ca="1">SUM(U25:X25)</f>
        <v>1e-12</v>
      </c>
      <c r="Z25" s="477">
        <v>0</v>
      </c>
      <c r="AA25" s="477">
        <v>0</v>
      </c>
      <c r="AB25" s="477">
        <v>0</v>
      </c>
      <c r="AC25" s="477">
        <v>0</v>
      </c>
      <c r="AD25" s="470">
        <f ca="1">SUM(Z25:AC25)</f>
        <v>1e-12</v>
      </c>
      <c r="AE25" s="478">
        <v>0</v>
      </c>
      <c r="AF25" s="478">
        <v>0</v>
      </c>
      <c r="AG25" s="478">
        <v>0</v>
      </c>
    </row>
    <row r="26" ht="14.25" customHeight="1" hidden="1" spans="1:33" x14ac:dyDescent="0.25" outlineLevel="1">
      <c r="C26" s="139" t="str">
        <f ca="1">C31&amp;" Revenue"</f>
        <v>Global Services &amp; Support Revenue</v>
      </c>
      <c r="D26" s="16"/>
      <c r="E26" s="16"/>
      <c r="F26" s="469">
        <v>0</v>
      </c>
      <c r="G26" s="469">
        <v>0</v>
      </c>
      <c r="H26" s="469">
        <v>0</v>
      </c>
      <c r="I26" s="469">
        <v>0</v>
      </c>
      <c r="J26" s="470">
        <f ca="1">SUM(F26:I26)</f>
        <v>1e-12</v>
      </c>
      <c r="K26" s="469">
        <v>0</v>
      </c>
      <c r="L26" s="469">
        <v>0</v>
      </c>
      <c r="M26" s="469">
        <v>0</v>
      </c>
      <c r="N26" s="469">
        <v>0</v>
      </c>
      <c r="O26" s="470">
        <f ca="1">SUM(K26:N26)</f>
        <v>1e-12</v>
      </c>
      <c r="P26" s="469">
        <v>0</v>
      </c>
      <c r="Q26" s="469">
        <v>0</v>
      </c>
      <c r="R26" s="469">
        <v>0</v>
      </c>
      <c r="S26" s="469">
        <v>0</v>
      </c>
      <c r="T26" s="470">
        <f ca="1">SUM(P26:S26)</f>
        <v>1e-12</v>
      </c>
      <c r="U26" s="469">
        <v>0</v>
      </c>
      <c r="V26" s="469">
        <v>0</v>
      </c>
      <c r="W26" s="469">
        <v>0</v>
      </c>
      <c r="X26" s="477">
        <v>0</v>
      </c>
      <c r="Y26" s="470">
        <f ca="1">SUM(U26:X26)</f>
        <v>1e-12</v>
      </c>
      <c r="Z26" s="477">
        <v>0</v>
      </c>
      <c r="AA26" s="477">
        <v>0</v>
      </c>
      <c r="AB26" s="477">
        <v>0</v>
      </c>
      <c r="AC26" s="477">
        <v>0</v>
      </c>
      <c r="AD26" s="470">
        <f ca="1">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23" ca="1">IFERROR(F24/F$23,"N/A")</f>
        <v>N/A</v>
      </c>
      <c r="G29" s="474" t="str">
        <f ca="1">IFERROR(G24/G$23,"N/A")</f>
        <v>N/A</v>
      </c>
      <c r="H29" s="474" t="str">
        <f ca="1">IFERROR(H24/H$23,"N/A")</f>
        <v>N/A</v>
      </c>
      <c r="I29" s="474" t="str">
        <f ca="1">IFERROR(I24/I$23,"N/A")</f>
        <v>N/A</v>
      </c>
      <c r="J29" s="479" t="str">
        <f ca="1">IFERROR(J24/J$23,"N/A")</f>
        <v>N/A</v>
      </c>
      <c r="K29" s="474" t="str">
        <f ca="1">IFERROR(K24/K$23,"N/A")</f>
        <v>N/A</v>
      </c>
      <c r="L29" s="474" t="str">
        <f ca="1">IFERROR(L24/L$23,"N/A")</f>
        <v>N/A</v>
      </c>
      <c r="M29" s="474" t="str">
        <f ca="1">IFERROR(M24/M$23,"N/A")</f>
        <v>N/A</v>
      </c>
      <c r="N29" s="474" t="str">
        <f ca="1">IFERROR(N24/N$23,"N/A")</f>
        <v>N/A</v>
      </c>
      <c r="O29" s="479" t="str">
        <f ca="1">IFERROR(O24/O$23,"N/A")</f>
        <v>N/A</v>
      </c>
      <c r="P29" s="474" t="str">
        <f ca="1">IFERROR(P24/P$23,"N/A")</f>
        <v>N/A</v>
      </c>
      <c r="Q29" s="474" t="str">
        <f ca="1">IFERROR(Q24/Q$23,"N/A")</f>
        <v>N/A</v>
      </c>
      <c r="R29" s="474" t="str">
        <f ca="1">IFERROR(R24/R$23,"N/A")</f>
        <v>N/A</v>
      </c>
      <c r="S29" s="474" t="str">
        <f ca="1">IFERROR(S24/S$23,"N/A")</f>
        <v>N/A</v>
      </c>
      <c r="T29" s="479" t="str">
        <f ca="1">IFERROR(T24/T$23,"N/A")</f>
        <v>N/A</v>
      </c>
      <c r="U29" s="474" t="str">
        <f ca="1">IFERROR(U24/U$23,"N/A")</f>
        <v>N/A</v>
      </c>
      <c r="V29" s="474" t="str">
        <f ca="1">IFERROR(V24/V$23,"N/A")</f>
        <v>N/A</v>
      </c>
      <c r="W29" s="474" t="str">
        <f ca="1">IFERROR(W24/W$23,"N/A")</f>
        <v>N/A</v>
      </c>
      <c r="X29" s="475" t="str">
        <f ca="1">IFERROR(X24/X$23,"N/A")</f>
        <v>N/A</v>
      </c>
      <c r="Y29" s="479" t="str">
        <f ca="1">IFERROR(Y24/Y$23,"N/A")</f>
        <v>N/A</v>
      </c>
      <c r="Z29" s="475" t="str">
        <f ca="1">IFERROR(Z24/Z$23,"N/A")</f>
        <v>N/A</v>
      </c>
      <c r="AA29" s="475" t="str">
        <f ca="1">IFERROR(AA24/AA$23,"N/A")</f>
        <v>N/A</v>
      </c>
      <c r="AB29" s="475" t="str">
        <f ca="1">IFERROR(AB24/AB$23,"N/A")</f>
        <v>N/A</v>
      </c>
      <c r="AC29" s="475" t="str">
        <f ca="1">IFERROR(AC24/AC$23,"N/A")</f>
        <v>N/A</v>
      </c>
      <c r="AD29" s="479" t="str">
        <f ca="1">IFERROR(AD24/AD$23,"N/A")</f>
        <v>N/A</v>
      </c>
      <c r="AE29" s="479" t="str">
        <f ca="1">IFERROR(AE24/AE$23,"N/A")</f>
        <v>N/A</v>
      </c>
      <c r="AF29" s="479" t="str">
        <f ca="1">IFERROR(AF24/AF$23,"N/A")</f>
        <v>N/A</v>
      </c>
      <c r="AG29" s="479" t="str">
        <f ca="1">IFERROR(AG24/AG$23,"N/A")</f>
        <v>N/A</v>
      </c>
    </row>
    <row r="30" ht="14.25" customHeight="1" hidden="1" spans="1:33" x14ac:dyDescent="0.25" outlineLevel="1">
      <c r="C30" s="476" t="s">
        <v>454</v>
      </c>
      <c r="D30" s="16"/>
      <c r="E30" s="16"/>
      <c r="F30" s="474" t="str">
        <f t="shared" ref="F30:AG30" si="24" ca="1">IFERROR(F25/F$23,"N/A")</f>
        <v>N/A</v>
      </c>
      <c r="G30" s="474" t="str">
        <f ca="1">IFERROR(G25/G$23,"N/A")</f>
        <v>N/A</v>
      </c>
      <c r="H30" s="474" t="str">
        <f ca="1">IFERROR(H25/H$23,"N/A")</f>
        <v>N/A</v>
      </c>
      <c r="I30" s="474" t="str">
        <f ca="1">IFERROR(I25/I$23,"N/A")</f>
        <v>N/A</v>
      </c>
      <c r="J30" s="479" t="str">
        <f ca="1">IFERROR(J25/J$23,"N/A")</f>
        <v>N/A</v>
      </c>
      <c r="K30" s="474" t="str">
        <f ca="1">IFERROR(K25/K$23,"N/A")</f>
        <v>N/A</v>
      </c>
      <c r="L30" s="474" t="str">
        <f ca="1">IFERROR(L25/L$23,"N/A")</f>
        <v>N/A</v>
      </c>
      <c r="M30" s="474" t="str">
        <f ca="1">IFERROR(M25/M$23,"N/A")</f>
        <v>N/A</v>
      </c>
      <c r="N30" s="474" t="str">
        <f ca="1">IFERROR(N25/N$23,"N/A")</f>
        <v>N/A</v>
      </c>
      <c r="O30" s="479" t="str">
        <f ca="1">IFERROR(O25/O$23,"N/A")</f>
        <v>N/A</v>
      </c>
      <c r="P30" s="474" t="str">
        <f ca="1">IFERROR(P25/P$23,"N/A")</f>
        <v>N/A</v>
      </c>
      <c r="Q30" s="474" t="str">
        <f ca="1">IFERROR(Q25/Q$23,"N/A")</f>
        <v>N/A</v>
      </c>
      <c r="R30" s="474" t="str">
        <f ca="1">IFERROR(R25/R$23,"N/A")</f>
        <v>N/A</v>
      </c>
      <c r="S30" s="474" t="str">
        <f ca="1">IFERROR(S25/S$23,"N/A")</f>
        <v>N/A</v>
      </c>
      <c r="T30" s="479" t="str">
        <f ca="1">IFERROR(T25/T$23,"N/A")</f>
        <v>N/A</v>
      </c>
      <c r="U30" s="474" t="str">
        <f ca="1">IFERROR(U25/U$23,"N/A")</f>
        <v>N/A</v>
      </c>
      <c r="V30" s="474" t="str">
        <f ca="1">IFERROR(V25/V$23,"N/A")</f>
        <v>N/A</v>
      </c>
      <c r="W30" s="474" t="str">
        <f ca="1">IFERROR(W25/W$23,"N/A")</f>
        <v>N/A</v>
      </c>
      <c r="X30" s="475" t="str">
        <f ca="1">IFERROR(X25/X$23,"N/A")</f>
        <v>N/A</v>
      </c>
      <c r="Y30" s="479" t="str">
        <f ca="1">IFERROR(Y25/Y$23,"N/A")</f>
        <v>N/A</v>
      </c>
      <c r="Z30" s="475" t="str">
        <f ca="1">IFERROR(Z25/Z$23,"N/A")</f>
        <v>N/A</v>
      </c>
      <c r="AA30" s="475" t="str">
        <f ca="1">IFERROR(AA25/AA$23,"N/A")</f>
        <v>N/A</v>
      </c>
      <c r="AB30" s="475" t="str">
        <f ca="1">IFERROR(AB25/AB$23,"N/A")</f>
        <v>N/A</v>
      </c>
      <c r="AC30" s="475" t="str">
        <f ca="1">IFERROR(AC25/AC$23,"N/A")</f>
        <v>N/A</v>
      </c>
      <c r="AD30" s="479" t="str">
        <f ca="1">IFERROR(AD25/AD$23,"N/A")</f>
        <v>N/A</v>
      </c>
      <c r="AE30" s="479" t="str">
        <f ca="1">IFERROR(AE25/AE$23,"N/A")</f>
        <v>N/A</v>
      </c>
      <c r="AF30" s="479" t="str">
        <f ca="1">IFERROR(AF25/AF$23,"N/A")</f>
        <v>N/A</v>
      </c>
      <c r="AG30" s="479" t="str">
        <f ca="1">IFERROR(AG25/AG$23,"N/A")</f>
        <v>N/A</v>
      </c>
    </row>
    <row r="31" ht="14.25" customHeight="1" hidden="1" spans="1:33" x14ac:dyDescent="0.25" outlineLevel="1">
      <c r="C31" s="476" t="s">
        <v>455</v>
      </c>
      <c r="D31" s="16"/>
      <c r="E31" s="16"/>
      <c r="F31" s="474" t="str">
        <f t="shared" ref="F31:AG31" si="25" ca="1">IFERROR(F26/F$23,"N/A")</f>
        <v>N/A</v>
      </c>
      <c r="G31" s="474" t="str">
        <f ca="1">IFERROR(G26/G$23,"N/A")</f>
        <v>N/A</v>
      </c>
      <c r="H31" s="474" t="str">
        <f ca="1">IFERROR(H26/H$23,"N/A")</f>
        <v>N/A</v>
      </c>
      <c r="I31" s="474" t="str">
        <f ca="1">IFERROR(I26/I$23,"N/A")</f>
        <v>N/A</v>
      </c>
      <c r="J31" s="479" t="str">
        <f ca="1">IFERROR(J26/J$23,"N/A")</f>
        <v>N/A</v>
      </c>
      <c r="K31" s="474" t="str">
        <f ca="1">IFERROR(K26/K$23,"N/A")</f>
        <v>N/A</v>
      </c>
      <c r="L31" s="474" t="str">
        <f ca="1">IFERROR(L26/L$23,"N/A")</f>
        <v>N/A</v>
      </c>
      <c r="M31" s="474" t="str">
        <f ca="1">IFERROR(M26/M$23,"N/A")</f>
        <v>N/A</v>
      </c>
      <c r="N31" s="474" t="str">
        <f ca="1">IFERROR(N26/N$23,"N/A")</f>
        <v>N/A</v>
      </c>
      <c r="O31" s="479" t="str">
        <f ca="1">IFERROR(O26/O$23,"N/A")</f>
        <v>N/A</v>
      </c>
      <c r="P31" s="474" t="str">
        <f ca="1">IFERROR(P26/P$23,"N/A")</f>
        <v>N/A</v>
      </c>
      <c r="Q31" s="474" t="str">
        <f ca="1">IFERROR(Q26/Q$23,"N/A")</f>
        <v>N/A</v>
      </c>
      <c r="R31" s="474" t="str">
        <f ca="1">IFERROR(R26/R$23,"N/A")</f>
        <v>N/A</v>
      </c>
      <c r="S31" s="474" t="str">
        <f ca="1">IFERROR(S26/S$23,"N/A")</f>
        <v>N/A</v>
      </c>
      <c r="T31" s="479" t="str">
        <f ca="1">IFERROR(T26/T$23,"N/A")</f>
        <v>N/A</v>
      </c>
      <c r="U31" s="474" t="str">
        <f ca="1">IFERROR(U26/U$23,"N/A")</f>
        <v>N/A</v>
      </c>
      <c r="V31" s="474" t="str">
        <f ca="1">IFERROR(V26/V$23,"N/A")</f>
        <v>N/A</v>
      </c>
      <c r="W31" s="474" t="str">
        <f ca="1">IFERROR(W26/W$23,"N/A")</f>
        <v>N/A</v>
      </c>
      <c r="X31" s="475" t="str">
        <f ca="1">IFERROR(X26/X$23,"N/A")</f>
        <v>N/A</v>
      </c>
      <c r="Y31" s="479" t="str">
        <f ca="1">IFERROR(Y26/Y$23,"N/A")</f>
        <v>N/A</v>
      </c>
      <c r="Z31" s="475" t="str">
        <f ca="1">IFERROR(Z26/Z$23,"N/A")</f>
        <v>N/A</v>
      </c>
      <c r="AA31" s="475" t="str">
        <f ca="1">IFERROR(AA26/AA$23,"N/A")</f>
        <v>N/A</v>
      </c>
      <c r="AB31" s="475" t="str">
        <f ca="1">IFERROR(AB26/AB$23,"N/A")</f>
        <v>N/A</v>
      </c>
      <c r="AC31" s="475" t="str">
        <f ca="1">IFERROR(AC26/AC$23,"N/A")</f>
        <v>N/A</v>
      </c>
      <c r="AD31" s="479" t="str">
        <f ca="1">IFERROR(AD26/AD$23,"N/A")</f>
        <v>N/A</v>
      </c>
      <c r="AE31" s="479" t="str">
        <f ca="1">IFERROR(AE26/AE$23,"N/A")</f>
        <v>N/A</v>
      </c>
      <c r="AF31" s="479" t="str">
        <f ca="1">IFERROR(AF26/AF$23,"N/A")</f>
        <v>N/A</v>
      </c>
      <c r="AG31" s="479" t="str">
        <f ca="1">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ca="1">SUM(F34:F39)</f>
        <v>21737</v>
      </c>
      <c r="G33" s="317">
        <f ca="1">SUM(G34:G39)</f>
        <v>23454</v>
      </c>
      <c r="H33" s="317">
        <f ca="1">SUM(H34:H39)</f>
        <v>23937</v>
      </c>
      <c r="I33" s="317">
        <f ca="1">SUM(I34:I39)</f>
        <v>26730</v>
      </c>
      <c r="J33" s="287">
        <f ca="1">SUM(F33:I33)</f>
        <v>95858</v>
      </c>
      <c r="K33" s="317">
        <f ca="1">SUM(K34:K39)</f>
        <v>27897</v>
      </c>
      <c r="L33" s="317">
        <f ca="1">SUM(L34:L39)</f>
        <v>29674</v>
      </c>
      <c r="M33" s="317">
        <f ca="1">SUM(M34:M39)</f>
        <v>30856</v>
      </c>
      <c r="N33" s="317">
        <f ca="1">SUM(N34:N39)</f>
        <v>32836</v>
      </c>
      <c r="O33" s="287">
        <f ca="1">SUM(K33:N33)</f>
        <v>121263</v>
      </c>
      <c r="P33" s="317">
        <f ca="1">SUM(P34:P39)</f>
        <v>32682</v>
      </c>
      <c r="Q33" s="317">
        <f ca="1">SUM(Q34:Q39)</f>
        <v>33063</v>
      </c>
      <c r="R33" s="317">
        <f ca="1">R34</f>
        <v>33527</v>
      </c>
      <c r="S33" s="317">
        <f ca="1">SUM(S34:S39)</f>
        <v>40132</v>
      </c>
      <c r="T33" s="287">
        <f ca="1">SUM(P33:S33)</f>
        <v>139404</v>
      </c>
      <c r="U33" s="317">
        <f ca="1">SUM(U34:U39)</f>
        <v>40589</v>
      </c>
      <c r="V33" s="317">
        <f ca="1">SUM(V34:V39)</f>
        <v>2977.56</v>
      </c>
      <c r="W33" s="317">
        <f ca="1">W34</f>
        <v>2789</v>
      </c>
      <c r="X33" s="286">
        <f ca="1">SUM(X34:X39)</f>
        <v>2830.373</v>
      </c>
      <c r="Y33" s="287">
        <f t="shared" ref="Y33:Y39" si="26" ca="1">SUM(U33:X33)</f>
        <v>11161.242999999999</v>
      </c>
      <c r="Z33" s="286">
        <f t="shared" ref="Z33:AC33" si="27" ca="1">SUM(Z34:Z39)</f>
        <v>3596.75092</v>
      </c>
      <c r="AA33" s="286">
        <f ca="1">SUM(AA34:AA39)</f>
        <v>4246.7351934</v>
      </c>
      <c r="AB33" s="286">
        <f ca="1">SUM(AB34:AB39)</f>
        <v>3092.794733952</v>
      </c>
      <c r="AC33" s="286">
        <f ca="1">SUM(AC34:AC39)</f>
        <v>3305.4243719112</v>
      </c>
      <c r="AD33" s="287">
        <f t="shared" ref="AD33:AD39" si="28" ca="1">SUM(Z33:AC33)</f>
        <v>14241.7052192632</v>
      </c>
      <c r="AE33" s="287">
        <f t="shared" ref="AE33:AG33" si="29" ca="1">SUM(AE34:AE39)</f>
        <v>14920.47653053796</v>
      </c>
      <c r="AF33" s="287">
        <f ca="1">SUM(AF34:AF39)</f>
        <v>15328.374450077847</v>
      </c>
      <c r="AG33" s="287">
        <f ca="1">SUM(AG34:AG39)</f>
        <v>15858.298252494822</v>
      </c>
    </row>
    <row r="34" ht="14.25" customHeight="1" spans="1:33" x14ac:dyDescent="0.25">
      <c r="C34" s="139" t="str">
        <f ca="1">C16&amp;" Operating Income"</f>
        <v>Google Services Operating Income</v>
      </c>
      <c r="D34" s="16"/>
      <c r="E34" s="16"/>
      <c r="F34" s="469">
        <v>21737</v>
      </c>
      <c r="G34" s="469">
        <v>23454</v>
      </c>
      <c r="H34" s="469">
        <v>23937</v>
      </c>
      <c r="I34" s="469">
        <f ca="1">95858-SUM(F34:H34)</f>
        <v>26730</v>
      </c>
      <c r="J34" s="470">
        <f ca="1">SUM(F34:I34)</f>
        <v>95858</v>
      </c>
      <c r="K34" s="469">
        <v>27897</v>
      </c>
      <c r="L34" s="469">
        <v>29674</v>
      </c>
      <c r="M34" s="469">
        <v>30856</v>
      </c>
      <c r="N34" s="469">
        <v>32836</v>
      </c>
      <c r="O34" s="470">
        <f ca="1">SUM(K34:N34)</f>
        <v>121263</v>
      </c>
      <c r="P34" s="469">
        <v>32682</v>
      </c>
      <c r="Q34" s="469">
        <v>33063</v>
      </c>
      <c r="R34" s="469">
        <v>33527</v>
      </c>
      <c r="S34" s="469">
        <v>40132</v>
      </c>
      <c r="T34" s="470">
        <f ca="1">SUM(P34:S34)</f>
        <v>139404</v>
      </c>
      <c r="U34" s="469">
        <v>40589</v>
      </c>
      <c r="V34" s="469">
        <v>2977.56</v>
      </c>
      <c r="W34" s="469">
        <v>2789</v>
      </c>
      <c r="X34" s="480">
        <f ca="1">X8*Drivers!X$7</f>
        <v>2830.373</v>
      </c>
      <c r="Y34" s="470">
        <f ca="1">SUM(U34:X34)</f>
        <v>11161.242999999999</v>
      </c>
      <c r="Z34" s="480">
        <f ca="1">Z8*Drivers!Z$7</f>
        <v>3596.75092</v>
      </c>
      <c r="AA34" s="480">
        <f ca="1">AA8*Drivers!AA$7</f>
        <v>4246.7351934</v>
      </c>
      <c r="AB34" s="480">
        <f ca="1">AB8*Drivers!AB$7</f>
        <v>3092.794733952</v>
      </c>
      <c r="AC34" s="480">
        <f ca="1">AC8*Drivers!AC$7</f>
        <v>3305.4243719112</v>
      </c>
      <c r="AD34" s="470">
        <f ca="1">SUM(Z34:AC34)</f>
        <v>14241.7052192632</v>
      </c>
      <c r="AE34" s="470">
        <f ca="1">AE8*Drivers!AE$7</f>
        <v>14920.47653053796</v>
      </c>
      <c r="AF34" s="470">
        <f ca="1">AF8*Drivers!AF$7</f>
        <v>15328.374450077847</v>
      </c>
      <c r="AG34" s="470">
        <f ca="1">AG8*Drivers!AG$7</f>
        <v>15858.298252494822</v>
      </c>
    </row>
    <row r="35" ht="14.25" customHeight="1" spans="1:33" x14ac:dyDescent="0.25">
      <c r="C35" s="139" t="str">
        <f ca="1">C17&amp;" Operating Income"</f>
        <v/>
      </c>
      <c r="D35" s="16"/>
      <c r="E35" s="16"/>
      <c r="F35" s="469">
        <v>0</v>
      </c>
      <c r="G35" s="469">
        <v>0</v>
      </c>
      <c r="H35" s="469">
        <v>0</v>
      </c>
      <c r="I35" s="469">
        <v>0</v>
      </c>
      <c r="J35" s="470">
        <f ca="1">SUM(F35:I35)</f>
        <v>1e-12</v>
      </c>
      <c r="K35" s="469">
        <v>0</v>
      </c>
      <c r="L35" s="469">
        <v>0</v>
      </c>
      <c r="M35" s="469">
        <v>0</v>
      </c>
      <c r="N35" s="469">
        <v>0</v>
      </c>
      <c r="O35" s="470">
        <f ca="1">SUM(K35:N35)</f>
        <v>1e-12</v>
      </c>
      <c r="P35" s="469">
        <v>0</v>
      </c>
      <c r="Q35" s="469">
        <v>0</v>
      </c>
      <c r="R35" s="469">
        <v>0</v>
      </c>
      <c r="S35" s="469">
        <v>0</v>
      </c>
      <c r="T35" s="470">
        <f ca="1">SUM(P35:S35)</f>
        <v>1e-12</v>
      </c>
      <c r="U35" s="469">
        <v>0</v>
      </c>
      <c r="V35" s="469">
        <v>0</v>
      </c>
      <c r="W35" s="469">
        <v>0</v>
      </c>
      <c r="X35" s="480">
        <f ca="1">X9*Drivers!X$12</f>
        <v>1e-12</v>
      </c>
      <c r="Y35" s="470">
        <f ca="1">SUM(U35:X35)</f>
        <v>1e-12</v>
      </c>
      <c r="Z35" s="480">
        <f ca="1">Z9*Drivers!Z$12</f>
        <v>1e-12</v>
      </c>
      <c r="AA35" s="480">
        <f ca="1">AA9*Drivers!AA$12</f>
        <v>1e-12</v>
      </c>
      <c r="AB35" s="480">
        <f ca="1">AB9*Drivers!AB$12</f>
        <v>1e-12</v>
      </c>
      <c r="AC35" s="480">
        <f ca="1">AC9*Drivers!AC$12</f>
        <v>1e-12</v>
      </c>
      <c r="AD35" s="470">
        <f ca="1">SUM(Z35:AC35)</f>
        <v>1e-12</v>
      </c>
      <c r="AE35" s="470">
        <f ca="1">AE9*Drivers!AE$12</f>
        <v>1e-12</v>
      </c>
      <c r="AF35" s="470">
        <f ca="1">AF9*Drivers!AF$12</f>
        <v>1e-12</v>
      </c>
      <c r="AG35" s="470">
        <f ca="1">AG9*Drivers!AG$12</f>
        <v>1e-12</v>
      </c>
    </row>
    <row r="36" ht="14.25" customHeight="1" spans="1:33" x14ac:dyDescent="0.25">
      <c r="C36" s="139" t="str">
        <f ca="1">C18&amp;" Operating Income"</f>
        <v/>
      </c>
      <c r="D36" s="16"/>
      <c r="E36" s="16"/>
      <c r="F36" s="469">
        <v>0</v>
      </c>
      <c r="G36" s="469">
        <v>0</v>
      </c>
      <c r="H36" s="469">
        <v>0</v>
      </c>
      <c r="I36" s="469">
        <v>0</v>
      </c>
      <c r="J36" s="470">
        <f ca="1">SUM(F36:I36)</f>
        <v>1e-12</v>
      </c>
      <c r="K36" s="469">
        <v>0</v>
      </c>
      <c r="L36" s="469">
        <v>0</v>
      </c>
      <c r="M36" s="469">
        <v>0</v>
      </c>
      <c r="N36" s="469">
        <v>0</v>
      </c>
      <c r="O36" s="470">
        <f ca="1">SUM(K36:N36)</f>
        <v>1e-12</v>
      </c>
      <c r="P36" s="469">
        <v>0</v>
      </c>
      <c r="Q36" s="469">
        <v>0</v>
      </c>
      <c r="R36" s="469">
        <v>0</v>
      </c>
      <c r="S36" s="469">
        <v>0</v>
      </c>
      <c r="T36" s="470">
        <f ca="1">SUM(P36:S36)</f>
        <v>1e-12</v>
      </c>
      <c r="U36" s="469">
        <v>0</v>
      </c>
      <c r="V36" s="469">
        <v>0</v>
      </c>
      <c r="W36" s="469">
        <v>0</v>
      </c>
      <c r="X36" s="480">
        <f ca="1">X10*Drivers!X17</f>
        <v>1e-12</v>
      </c>
      <c r="Y36" s="470">
        <f ca="1">SUM(U36:X36)</f>
        <v>1e-12</v>
      </c>
      <c r="Z36" s="480">
        <f ca="1">Z10*Drivers!Z$17</f>
        <v>1e-12</v>
      </c>
      <c r="AA36" s="480">
        <f ca="1">AA10*Drivers!AA$17</f>
        <v>1e-12</v>
      </c>
      <c r="AB36" s="480">
        <f ca="1">AB10*Drivers!AB$17</f>
        <v>1e-12</v>
      </c>
      <c r="AC36" s="480">
        <f ca="1">AC10*Drivers!AC$17</f>
        <v>1e-12</v>
      </c>
      <c r="AD36" s="470">
        <f ca="1">SUM(Z36:AC36)</f>
        <v>1e-12</v>
      </c>
      <c r="AE36" s="470">
        <f ca="1">AE10*Drivers!AE$17</f>
        <v>1e-12</v>
      </c>
      <c r="AF36" s="470">
        <f ca="1">AF10*Drivers!AF$17</f>
        <v>1e-12</v>
      </c>
      <c r="AG36" s="470">
        <f ca="1">AG10*Drivers!AG$17</f>
        <v>1e-12</v>
      </c>
    </row>
    <row r="37" ht="14.25" customHeight="1" spans="1:33" x14ac:dyDescent="0.25">
      <c r="C37" s="139" t="str">
        <f ca="1">C19&amp;" Operating Income"</f>
        <v/>
      </c>
      <c r="D37" s="16"/>
      <c r="E37" s="16"/>
      <c r="F37" s="469">
        <v>0</v>
      </c>
      <c r="G37" s="469">
        <v>0</v>
      </c>
      <c r="H37" s="469">
        <v>0</v>
      </c>
      <c r="I37" s="469">
        <v>0</v>
      </c>
      <c r="J37" s="470">
        <f ca="1">SUM(F37:I37)</f>
        <v>1e-12</v>
      </c>
      <c r="K37" s="469">
        <v>0</v>
      </c>
      <c r="L37" s="469">
        <v>0</v>
      </c>
      <c r="M37" s="469">
        <v>0</v>
      </c>
      <c r="N37" s="469">
        <v>0</v>
      </c>
      <c r="O37" s="470">
        <f ca="1">SUM(K37:N37)</f>
        <v>1e-12</v>
      </c>
      <c r="P37" s="469">
        <v>0</v>
      </c>
      <c r="Q37" s="469">
        <v>0</v>
      </c>
      <c r="R37" s="469">
        <v>0</v>
      </c>
      <c r="S37" s="469">
        <v>0</v>
      </c>
      <c r="T37" s="470">
        <f ca="1">SUM(P37:S37)</f>
        <v>1e-12</v>
      </c>
      <c r="U37" s="469">
        <v>0</v>
      </c>
      <c r="V37" s="469">
        <v>0</v>
      </c>
      <c r="W37" s="469">
        <v>0</v>
      </c>
      <c r="X37" s="480">
        <f ca="1">X11*Drivers!X$22</f>
        <v>1e-12</v>
      </c>
      <c r="Y37" s="470">
        <f ca="1">SUM(U37:X37)</f>
        <v>1e-12</v>
      </c>
      <c r="Z37" s="480">
        <f ca="1">Z11*Drivers!Z$22</f>
        <v>1e-12</v>
      </c>
      <c r="AA37" s="480">
        <f ca="1">AA11*Drivers!AA$22</f>
        <v>1e-12</v>
      </c>
      <c r="AB37" s="480">
        <f ca="1">AB11*Drivers!AB$22</f>
        <v>1e-12</v>
      </c>
      <c r="AC37" s="480">
        <f ca="1">AC11*Drivers!AC$22</f>
        <v>1e-12</v>
      </c>
      <c r="AD37" s="470">
        <f ca="1">SUM(Z37:AC37)</f>
        <v>1e-12</v>
      </c>
      <c r="AE37" s="470">
        <f ca="1">AE11*Drivers!AE$22</f>
        <v>1e-12</v>
      </c>
      <c r="AF37" s="470">
        <f ca="1">AF11*Drivers!AF$22</f>
        <v>1e-12</v>
      </c>
      <c r="AG37" s="470">
        <f ca="1">AG11*Drivers!AG$22</f>
        <v>1e-12</v>
      </c>
    </row>
    <row r="38" ht="14.25" customHeight="1" spans="1:33" x14ac:dyDescent="0.25">
      <c r="C38" s="139" t="str">
        <f ca="1">C20&amp;" Operating Income"</f>
        <v/>
      </c>
      <c r="D38" s="16"/>
      <c r="E38" s="16"/>
      <c r="F38" s="469">
        <v>0</v>
      </c>
      <c r="G38" s="469">
        <v>0</v>
      </c>
      <c r="H38" s="469">
        <v>0</v>
      </c>
      <c r="I38" s="469">
        <v>0</v>
      </c>
      <c r="J38" s="470">
        <f ca="1">SUM(F38:I38)</f>
        <v>1e-12</v>
      </c>
      <c r="K38" s="469">
        <v>0</v>
      </c>
      <c r="L38" s="469">
        <v>0</v>
      </c>
      <c r="M38" s="469">
        <v>0</v>
      </c>
      <c r="N38" s="469">
        <v>0</v>
      </c>
      <c r="O38" s="470">
        <f ca="1">SUM(K38:N38)</f>
        <v>1e-12</v>
      </c>
      <c r="P38" s="469">
        <v>0</v>
      </c>
      <c r="Q38" s="469">
        <v>0</v>
      </c>
      <c r="R38" s="469">
        <v>0</v>
      </c>
      <c r="S38" s="469">
        <v>0</v>
      </c>
      <c r="T38" s="470">
        <f ca="1">SUM(P38:S38)</f>
        <v>1e-12</v>
      </c>
      <c r="U38" s="469">
        <v>0</v>
      </c>
      <c r="V38" s="469">
        <v>0</v>
      </c>
      <c r="W38" s="469">
        <v>0</v>
      </c>
      <c r="X38" s="480">
        <f ca="1">X12*Drivers!X$27</f>
        <v>1e-12</v>
      </c>
      <c r="Y38" s="470">
        <f ca="1">SUM(U38:X38)</f>
        <v>1e-12</v>
      </c>
      <c r="Z38" s="480">
        <f ca="1">Z12*Drivers!Z$27</f>
        <v>1e-12</v>
      </c>
      <c r="AA38" s="480">
        <f ca="1">AA12*Drivers!AA$27</f>
        <v>1e-12</v>
      </c>
      <c r="AB38" s="480">
        <f ca="1">AB12*Drivers!AB$27</f>
        <v>1e-12</v>
      </c>
      <c r="AC38" s="480">
        <f ca="1">AC12*Drivers!AC$27</f>
        <v>1e-12</v>
      </c>
      <c r="AD38" s="470">
        <f ca="1">SUM(Z38:AC38)</f>
        <v>1e-12</v>
      </c>
      <c r="AE38" s="470">
        <f ca="1">AE12*Drivers!AE$27</f>
        <v>1e-12</v>
      </c>
      <c r="AF38" s="470">
        <f ca="1">AF12*Drivers!AF$27</f>
        <v>1e-12</v>
      </c>
      <c r="AG38" s="470">
        <f ca="1">AG12*Drivers!AG$27</f>
        <v>1e-12</v>
      </c>
    </row>
    <row r="39" ht="14.25" customHeight="1" spans="1:33" x14ac:dyDescent="0.25">
      <c r="C39" s="139" t="str">
        <f ca="1">C21&amp;" Operating Income"</f>
        <v/>
      </c>
      <c r="D39" s="16"/>
      <c r="E39" s="16"/>
      <c r="F39" s="469">
        <v>0</v>
      </c>
      <c r="G39" s="469">
        <v>0</v>
      </c>
      <c r="H39" s="469">
        <v>0</v>
      </c>
      <c r="I39" s="469">
        <v>0</v>
      </c>
      <c r="J39" s="470">
        <f ca="1">SUM(F39:I39)</f>
        <v>1e-12</v>
      </c>
      <c r="K39" s="469">
        <v>0</v>
      </c>
      <c r="L39" s="469">
        <v>0</v>
      </c>
      <c r="M39" s="469">
        <v>0</v>
      </c>
      <c r="N39" s="469">
        <v>0</v>
      </c>
      <c r="O39" s="470">
        <f ca="1">SUM(K39:N39)</f>
        <v>1e-12</v>
      </c>
      <c r="P39" s="469">
        <v>0</v>
      </c>
      <c r="Q39" s="469">
        <v>0</v>
      </c>
      <c r="R39" s="469">
        <v>0</v>
      </c>
      <c r="S39" s="469">
        <v>0</v>
      </c>
      <c r="T39" s="470">
        <f ca="1">SUM(P39:S39)</f>
        <v>1e-12</v>
      </c>
      <c r="U39" s="469">
        <v>0</v>
      </c>
      <c r="V39" s="469">
        <v>0</v>
      </c>
      <c r="W39" s="469">
        <v>0</v>
      </c>
      <c r="X39" s="480">
        <f ca="1">X13*Drivers!X$32</f>
        <v>1e-12</v>
      </c>
      <c r="Y39" s="470">
        <f ca="1">SUM(U39:X39)</f>
        <v>1e-12</v>
      </c>
      <c r="Z39" s="480">
        <f ca="1">Z13*Drivers!Z$32</f>
        <v>1e-12</v>
      </c>
      <c r="AA39" s="480">
        <f ca="1">AA13*Drivers!AA$32</f>
        <v>1e-12</v>
      </c>
      <c r="AB39" s="480">
        <f ca="1">AB13*Drivers!AB$32</f>
        <v>1e-12</v>
      </c>
      <c r="AC39" s="480">
        <f ca="1">AC13*Drivers!AC$32</f>
        <v>1e-12</v>
      </c>
      <c r="AD39" s="470">
        <f ca="1">SUM(Z39:AC39)</f>
        <v>1e-12</v>
      </c>
      <c r="AE39" s="470">
        <f ca="1">AE13*Drivers!AE$32</f>
        <v>1e-12</v>
      </c>
      <c r="AF39" s="470">
        <f ca="1">AF13*Drivers!AF$32</f>
        <v>1e-12</v>
      </c>
      <c r="AG39" s="470">
        <f ca="1">AG13*Drivers!AG$32</f>
        <v>1e-12</v>
      </c>
    </row>
    <row r="40" ht="14.25" customHeight="1" spans="1:33" x14ac:dyDescent="0.25">
      <c r="C40" s="139"/>
      <c r="D40" s="16"/>
      <c r="E40" s="16"/>
      <c r="F40" s="481"/>
      <c r="G40" s="481"/>
      <c r="H40" s="481"/>
      <c r="I40" s="481"/>
      <c r="J40" s="168">
        <f ca="1">SUM(F40:I40)</f>
        <v>1e-12</v>
      </c>
      <c r="K40" s="481"/>
      <c r="L40" s="481"/>
      <c r="M40" s="481"/>
      <c r="N40" s="481"/>
      <c r="O40" s="168">
        <f ca="1">SUM(K40:N40)</f>
        <v>1e-12</v>
      </c>
      <c r="P40" s="481"/>
      <c r="Q40" s="481"/>
      <c r="R40" s="481"/>
      <c r="S40" s="481"/>
      <c r="T40" s="168">
        <f ca="1">SUM(P40:S40)</f>
        <v>1e-12</v>
      </c>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30" ca="1">F33-SUM(F34:F39)</f>
        <v>1e-12</v>
      </c>
      <c r="G41" s="483">
        <f ca="1">G33-SUM(G34:G39)</f>
        <v>1e-12</v>
      </c>
      <c r="H41" s="483">
        <f ca="1">H33-SUM(H34:H39)</f>
        <v>1e-12</v>
      </c>
      <c r="I41" s="483">
        <f ca="1">I33-SUM(I34:I39)</f>
        <v>1e-12</v>
      </c>
      <c r="J41" s="484">
        <f ca="1">J33-SUM(J34:J39)</f>
        <v>1e-12</v>
      </c>
      <c r="K41" s="483">
        <f ca="1">K33-SUM(K34:K39)</f>
        <v>1e-12</v>
      </c>
      <c r="L41" s="483">
        <f ca="1">L33-SUM(L34:L39)</f>
        <v>1e-12</v>
      </c>
      <c r="M41" s="483">
        <f ca="1">M33-SUM(M34:M39)</f>
        <v>1e-12</v>
      </c>
      <c r="N41" s="483">
        <f ca="1">N33-SUM(N34:N39)</f>
        <v>1e-12</v>
      </c>
      <c r="O41" s="484">
        <f ca="1">O33-SUM(O34:O39)</f>
        <v>1e-12</v>
      </c>
      <c r="P41" s="483">
        <f ca="1">P33-SUM(P34:P39)</f>
        <v>1e-12</v>
      </c>
      <c r="Q41" s="483">
        <f ca="1">Q33-SUM(Q34:Q39)</f>
        <v>1e-12</v>
      </c>
      <c r="R41" s="483">
        <f ca="1">R33-SUM(R34:R39)</f>
        <v>1e-12</v>
      </c>
      <c r="S41" s="483">
        <f ca="1">S33-SUM(S34:S39)</f>
        <v>1e-12</v>
      </c>
      <c r="T41" s="484">
        <f ca="1">T33-SUM(T34:T39)</f>
        <v>1e-12</v>
      </c>
      <c r="U41" s="483">
        <f ca="1">U33-SUM(U34:U39)</f>
        <v>1e-12</v>
      </c>
      <c r="V41" s="483">
        <f ca="1">V33-SUM(V34:V39)</f>
        <v>1e-12</v>
      </c>
      <c r="W41" s="483">
        <f ca="1">W33-SUM(W34:W39)</f>
        <v>1e-12</v>
      </c>
      <c r="X41" s="485">
        <f ca="1">X33-SUM(X34:X39)</f>
        <v>1e-12</v>
      </c>
      <c r="Y41" s="484">
        <f ca="1">Y33-SUM(Y34:Y39)</f>
        <v>1e-12</v>
      </c>
      <c r="Z41" s="485">
        <f ca="1">Z33-SUM(Z34:Z39)</f>
        <v>1e-12</v>
      </c>
      <c r="AA41" s="485">
        <f ca="1">AA33-SUM(AA34:AA39)</f>
        <v>1e-12</v>
      </c>
      <c r="AB41" s="485">
        <f ca="1">AB33-SUM(AB34:AB39)</f>
        <v>1e-12</v>
      </c>
      <c r="AC41" s="485">
        <f ca="1">AC33-SUM(AC34:AC39)</f>
        <v>1e-12</v>
      </c>
      <c r="AD41" s="484">
        <f ca="1">AD33-SUM(AD34:AD39)</f>
        <v>1e-12</v>
      </c>
      <c r="AE41" s="484">
        <f ca="1">AE33-SUM(AE34:AE39)</f>
        <v>1e-12</v>
      </c>
      <c r="AF41" s="484">
        <f ca="1">AF33-SUM(AF34:AF39)</f>
        <v>1e-12</v>
      </c>
      <c r="AG41" s="484">
        <f ca="1">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31" ca="1">C16</f>
        <v>Home Improvement Retail</v>
      </c>
      <c r="D44" s="16"/>
      <c r="E44" s="16"/>
      <c r="F44" s="377">
        <f t="shared" ref="F44:AG44" si="32" ca="1">IFERROR(F34/F$33,"N/A")</f>
        <v>1</v>
      </c>
      <c r="G44" s="377">
        <f ca="1">IFERROR(G34/G$33,"N/A")</f>
        <v>1</v>
      </c>
      <c r="H44" s="377">
        <f ca="1">IFERROR(H34/H$33,"N/A")</f>
        <v>1</v>
      </c>
      <c r="I44" s="377">
        <f ca="1">IFERROR(I34/I$33,"N/A")</f>
        <v>1</v>
      </c>
      <c r="J44" s="378">
        <f ca="1">IFERROR(J34/J$33,"N/A")</f>
        <v>1</v>
      </c>
      <c r="K44" s="377">
        <f ca="1">IFERROR(K34/K$33,"N/A")</f>
        <v>1</v>
      </c>
      <c r="L44" s="377">
        <f ca="1">IFERROR(L34/L$33,"N/A")</f>
        <v>1</v>
      </c>
      <c r="M44" s="377">
        <f ca="1">IFERROR(M34/M$33,"N/A")</f>
        <v>1</v>
      </c>
      <c r="N44" s="377">
        <f ca="1">IFERROR(N34/N$33,"N/A")</f>
        <v>1</v>
      </c>
      <c r="O44" s="378">
        <f ca="1">IFERROR(O34/O$33,"N/A")</f>
        <v>1</v>
      </c>
      <c r="P44" s="377">
        <f ca="1">IFERROR(P34/P$33,"N/A")</f>
        <v>1</v>
      </c>
      <c r="Q44" s="377">
        <f ca="1">IFERROR(Q34/Q$33,"N/A")</f>
        <v>1</v>
      </c>
      <c r="R44" s="377">
        <f ca="1">IFERROR(R34/R$33,"N/A")</f>
        <v>1</v>
      </c>
      <c r="S44" s="377">
        <f ca="1">IFERROR(S34/S$33,"N/A")</f>
        <v>1</v>
      </c>
      <c r="T44" s="378">
        <f ca="1">IFERROR(T34/T$33,"N/A")</f>
        <v>1</v>
      </c>
      <c r="U44" s="377">
        <f ca="1">IFERROR(U34/U$33,"N/A")</f>
        <v>1</v>
      </c>
      <c r="V44" s="377">
        <f ca="1">IFERROR(V34/V$33,"N/A")</f>
        <v>1</v>
      </c>
      <c r="W44" s="377">
        <f ca="1">IFERROR(W34/W$33,"N/A")</f>
        <v>1</v>
      </c>
      <c r="X44" s="379">
        <f ca="1">IFERROR(X34/X$33,"N/A")</f>
        <v>1</v>
      </c>
      <c r="Y44" s="378">
        <f ca="1">IFERROR(Y34/Y$33,"N/A")</f>
        <v>1</v>
      </c>
      <c r="Z44" s="379">
        <f ca="1">IFERROR(Z34/Z$33,"N/A")</f>
        <v>1</v>
      </c>
      <c r="AA44" s="379">
        <f ca="1">IFERROR(AA34/AA$33,"N/A")</f>
        <v>1</v>
      </c>
      <c r="AB44" s="379">
        <f ca="1">IFERROR(AB34/AB$33,"N/A")</f>
        <v>1</v>
      </c>
      <c r="AC44" s="379">
        <f ca="1">IFERROR(AC34/AC$33,"N/A")</f>
        <v>1</v>
      </c>
      <c r="AD44" s="378">
        <f ca="1">IFERROR(AD34/AD$33,"N/A")</f>
        <v>1</v>
      </c>
      <c r="AE44" s="378">
        <f ca="1">IFERROR(AE34/AE$33,"N/A")</f>
        <v>1</v>
      </c>
      <c r="AF44" s="378">
        <f ca="1">IFERROR(AF34/AF$33,"N/A")</f>
        <v>1</v>
      </c>
      <c r="AG44" s="378">
        <f ca="1">IFERROR(AG34/AG$33,"N/A")</f>
        <v>1</v>
      </c>
    </row>
    <row r="45" ht="14.25" customHeight="1" spans="1:33" x14ac:dyDescent="0.25">
      <c r="C45" s="139" t="str">
        <f ca="1">C17</f>
        <v>Segment 2</v>
      </c>
      <c r="D45" s="16"/>
      <c r="E45" s="16"/>
      <c r="F45" s="377">
        <f t="shared" ref="F45:AG45" si="33" ca="1">IFERROR(F35/F$33,"N/A")</f>
        <v>0</v>
      </c>
      <c r="G45" s="377">
        <f ca="1">IFERROR(G35/G$33,"N/A")</f>
      </c>
      <c r="H45" s="377">
        <f ca="1">IFERROR(H35/H$33,"N/A")</f>
      </c>
      <c r="I45" s="377">
        <f ca="1">IFERROR(I35/I$33,"N/A")</f>
      </c>
      <c r="J45" s="378">
        <f ca="1">IFERROR(J35/J$33,"N/A")</f>
      </c>
      <c r="K45" s="377">
        <f ca="1">IFERROR(K35/K$33,"N/A")</f>
      </c>
      <c r="L45" s="377">
        <f ca="1">IFERROR(L35/L$33,"N/A")</f>
      </c>
      <c r="M45" s="377">
        <f ca="1">IFERROR(M35/M$33,"N/A")</f>
      </c>
      <c r="N45" s="377">
        <f ca="1">IFERROR(N35/N$33,"N/A")</f>
      </c>
      <c r="O45" s="378">
        <f ca="1">IFERROR(O35/O$33,"N/A")</f>
      </c>
      <c r="P45" s="377">
        <f ca="1">IFERROR(P35/P$33,"N/A")</f>
      </c>
      <c r="Q45" s="377">
        <f ca="1">IFERROR(Q35/Q$33,"N/A")</f>
      </c>
      <c r="R45" s="377">
        <f ca="1">IFERROR(R35/R$33,"N/A")</f>
      </c>
      <c r="S45" s="377">
        <f ca="1">IFERROR(S35/S$33,"N/A")</f>
      </c>
      <c r="T45" s="378">
        <f ca="1">IFERROR(T35/T$33,"N/A")</f>
      </c>
      <c r="U45" s="377">
        <f ca="1">IFERROR(U35/U$33,"N/A")</f>
      </c>
      <c r="V45" s="377">
        <f ca="1">IFERROR(V35/V$33,"N/A")</f>
      </c>
      <c r="W45" s="377">
        <f ca="1">IFERROR(W35/W$33,"N/A")</f>
      </c>
      <c r="X45" s="379">
        <f ca="1">IFERROR(X35/X$33,"N/A")</f>
      </c>
      <c r="Y45" s="378">
        <f ca="1">IFERROR(Y35/Y$33,"N/A")</f>
      </c>
      <c r="Z45" s="379">
        <f ca="1">IFERROR(Z35/Z$33,"N/A")</f>
      </c>
      <c r="AA45" s="379">
        <f ca="1">IFERROR(AA35/AA$33,"N/A")</f>
      </c>
      <c r="AB45" s="379">
        <f ca="1">IFERROR(AB35/AB$33,"N/A")</f>
      </c>
      <c r="AC45" s="379">
        <f ca="1">IFERROR(AC35/AC$33,"N/A")</f>
      </c>
      <c r="AD45" s="378">
        <f ca="1">IFERROR(AD35/AD$33,"N/A")</f>
      </c>
      <c r="AE45" s="378">
        <f ca="1">IFERROR(AE35/AE$33,"N/A")</f>
      </c>
      <c r="AF45" s="378">
        <f ca="1">IFERROR(AF35/AF$33,"N/A")</f>
      </c>
      <c r="AG45" s="378">
        <f ca="1">IFERROR(AG35/AG$33,"N/A")</f>
      </c>
    </row>
    <row r="46" ht="14.25" customHeight="1" spans="1:33" x14ac:dyDescent="0.25">
      <c r="C46" s="139" t="str">
        <f ca="1">C18</f>
        <v>Segment 3</v>
      </c>
      <c r="D46" s="16"/>
      <c r="E46" s="16"/>
      <c r="F46" s="377">
        <f t="shared" ref="F46:AG46" si="34" ca="1">IFERROR(F36/F$33,"N/A")</f>
        <v>0</v>
      </c>
      <c r="G46" s="377">
        <f ca="1">IFERROR(G36/G$33,"N/A")</f>
      </c>
      <c r="H46" s="377">
        <f ca="1">IFERROR(H36/H$33,"N/A")</f>
      </c>
      <c r="I46" s="377">
        <f ca="1">IFERROR(I36/I$33,"N/A")</f>
      </c>
      <c r="J46" s="378">
        <f ca="1">IFERROR(J36/J$33,"N/A")</f>
      </c>
      <c r="K46" s="377">
        <f ca="1">IFERROR(K36/K$33,"N/A")</f>
      </c>
      <c r="L46" s="377">
        <f ca="1">IFERROR(L36/L$33,"N/A")</f>
      </c>
      <c r="M46" s="377">
        <f ca="1">IFERROR(M36/M$33,"N/A")</f>
      </c>
      <c r="N46" s="377">
        <f ca="1">IFERROR(N36/N$33,"N/A")</f>
      </c>
      <c r="O46" s="378">
        <f ca="1">IFERROR(O36/O$33,"N/A")</f>
      </c>
      <c r="P46" s="377">
        <f ca="1">IFERROR(P36/P$33,"N/A")</f>
      </c>
      <c r="Q46" s="377">
        <f ca="1">IFERROR(Q36/Q$33,"N/A")</f>
      </c>
      <c r="R46" s="377">
        <f ca="1">IFERROR(R36/R$33,"N/A")</f>
      </c>
      <c r="S46" s="377">
        <f ca="1">IFERROR(S36/S$33,"N/A")</f>
      </c>
      <c r="T46" s="378">
        <f ca="1">IFERROR(T36/T$33,"N/A")</f>
      </c>
      <c r="U46" s="377">
        <f ca="1">IFERROR(U36/U$33,"N/A")</f>
      </c>
      <c r="V46" s="377">
        <f ca="1">IFERROR(V36/V$33,"N/A")</f>
      </c>
      <c r="W46" s="377">
        <f ca="1">IFERROR(W36/W$33,"N/A")</f>
      </c>
      <c r="X46" s="379">
        <f ca="1">IFERROR(X36/X$33,"N/A")</f>
      </c>
      <c r="Y46" s="378">
        <f ca="1">IFERROR(Y36/Y$33,"N/A")</f>
      </c>
      <c r="Z46" s="379">
        <f ca="1">IFERROR(Z36/Z$33,"N/A")</f>
      </c>
      <c r="AA46" s="379">
        <f ca="1">IFERROR(AA36/AA$33,"N/A")</f>
      </c>
      <c r="AB46" s="379">
        <f ca="1">IFERROR(AB36/AB$33,"N/A")</f>
      </c>
      <c r="AC46" s="379">
        <f ca="1">IFERROR(AC36/AC$33,"N/A")</f>
      </c>
      <c r="AD46" s="378">
        <f ca="1">IFERROR(AD36/AD$33,"N/A")</f>
      </c>
      <c r="AE46" s="378">
        <f ca="1">IFERROR(AE36/AE$33,"N/A")</f>
      </c>
      <c r="AF46" s="378">
        <f ca="1">IFERROR(AF36/AF$33,"N/A")</f>
      </c>
      <c r="AG46" s="378">
        <f ca="1">IFERROR(AG36/AG$33,"N/A")</f>
      </c>
    </row>
    <row r="47" ht="14.25" customHeight="1" spans="1:33" x14ac:dyDescent="0.25">
      <c r="C47" s="139" t="str">
        <f ca="1">C19</f>
        <v>Segment 4</v>
      </c>
      <c r="D47" s="16"/>
      <c r="E47" s="16"/>
      <c r="F47" s="377">
        <f t="shared" ref="F47:AG47" si="35" ca="1">IFERROR(F37/F$33,"N/A")</f>
        <v>0</v>
      </c>
      <c r="G47" s="377">
        <f ca="1">IFERROR(G37/G$33,"N/A")</f>
      </c>
      <c r="H47" s="377">
        <f ca="1">IFERROR(H37/H$33,"N/A")</f>
      </c>
      <c r="I47" s="377">
        <f ca="1">IFERROR(I37/I$33,"N/A")</f>
      </c>
      <c r="J47" s="378">
        <f ca="1">IFERROR(J37/J$33,"N/A")</f>
      </c>
      <c r="K47" s="377">
        <f ca="1">IFERROR(K37/K$33,"N/A")</f>
      </c>
      <c r="L47" s="377">
        <f ca="1">IFERROR(L37/L$33,"N/A")</f>
      </c>
      <c r="M47" s="377">
        <f ca="1">IFERROR(M37/M$33,"N/A")</f>
      </c>
      <c r="N47" s="377">
        <f ca="1">IFERROR(N37/N$33,"N/A")</f>
      </c>
      <c r="O47" s="378">
        <f ca="1">IFERROR(O37/O$33,"N/A")</f>
      </c>
      <c r="P47" s="377">
        <f ca="1">IFERROR(P37/P$33,"N/A")</f>
      </c>
      <c r="Q47" s="377">
        <f ca="1">IFERROR(Q37/Q$33,"N/A")</f>
      </c>
      <c r="R47" s="377">
        <f ca="1">IFERROR(R37/R$33,"N/A")</f>
      </c>
      <c r="S47" s="377">
        <f ca="1">IFERROR(S37/S$33,"N/A")</f>
      </c>
      <c r="T47" s="378">
        <f ca="1">IFERROR(T37/T$33,"N/A")</f>
      </c>
      <c r="U47" s="377">
        <f ca="1">IFERROR(U37/U$33,"N/A")</f>
      </c>
      <c r="V47" s="377">
        <f ca="1">IFERROR(V37/V$33,"N/A")</f>
      </c>
      <c r="W47" s="377">
        <f ca="1">IFERROR(W37/W$33,"N/A")</f>
      </c>
      <c r="X47" s="379">
        <f ca="1">IFERROR(X37/X$33,"N/A")</f>
      </c>
      <c r="Y47" s="378">
        <f ca="1">IFERROR(Y37/Y$33,"N/A")</f>
      </c>
      <c r="Z47" s="379">
        <f ca="1">IFERROR(Z37/Z$33,"N/A")</f>
      </c>
      <c r="AA47" s="379">
        <f ca="1">IFERROR(AA37/AA$33,"N/A")</f>
      </c>
      <c r="AB47" s="379">
        <f ca="1">IFERROR(AB37/AB$33,"N/A")</f>
      </c>
      <c r="AC47" s="379">
        <f ca="1">IFERROR(AC37/AC$33,"N/A")</f>
      </c>
      <c r="AD47" s="378">
        <f ca="1">IFERROR(AD37/AD$33,"N/A")</f>
      </c>
      <c r="AE47" s="378">
        <f ca="1">IFERROR(AE37/AE$33,"N/A")</f>
      </c>
      <c r="AF47" s="378">
        <f ca="1">IFERROR(AF37/AF$33,"N/A")</f>
      </c>
      <c r="AG47" s="378">
        <f ca="1">IFERROR(AG37/AG$33,"N/A")</f>
      </c>
    </row>
    <row r="48" ht="14.25" customHeight="1" spans="1:33" x14ac:dyDescent="0.25">
      <c r="C48" s="139" t="str">
        <f ca="1">C20</f>
        <v>Segment 5</v>
      </c>
      <c r="D48" s="16"/>
      <c r="E48" s="16"/>
      <c r="F48" s="377">
        <f t="shared" ref="F48:AG48" si="36" ca="1">IFERROR(F38/F$33,"N/A")</f>
        <v>0</v>
      </c>
      <c r="G48" s="377">
        <f ca="1">IFERROR(G38/G$33,"N/A")</f>
      </c>
      <c r="H48" s="377">
        <f ca="1">IFERROR(H38/H$33,"N/A")</f>
      </c>
      <c r="I48" s="377">
        <f ca="1">IFERROR(I38/I$33,"N/A")</f>
      </c>
      <c r="J48" s="378">
        <f ca="1">IFERROR(J38/J$33,"N/A")</f>
      </c>
      <c r="K48" s="377">
        <f ca="1">IFERROR(K38/K$33,"N/A")</f>
      </c>
      <c r="L48" s="377">
        <f ca="1">IFERROR(L38/L$33,"N/A")</f>
      </c>
      <c r="M48" s="377">
        <f ca="1">IFERROR(M38/M$33,"N/A")</f>
      </c>
      <c r="N48" s="377">
        <f ca="1">IFERROR(N38/N$33,"N/A")</f>
      </c>
      <c r="O48" s="378">
        <f ca="1">IFERROR(O38/O$33,"N/A")</f>
      </c>
      <c r="P48" s="377">
        <f ca="1">IFERROR(P38/P$33,"N/A")</f>
      </c>
      <c r="Q48" s="377">
        <f ca="1">IFERROR(Q38/Q$33,"N/A")</f>
      </c>
      <c r="R48" s="377">
        <f ca="1">IFERROR(R38/R$33,"N/A")</f>
      </c>
      <c r="S48" s="377">
        <f ca="1">IFERROR(S38/S$33,"N/A")</f>
      </c>
      <c r="T48" s="378">
        <f ca="1">IFERROR(T38/T$33,"N/A")</f>
      </c>
      <c r="U48" s="377">
        <f ca="1">IFERROR(U38/U$33,"N/A")</f>
      </c>
      <c r="V48" s="377">
        <f ca="1">IFERROR(V38/V$33,"N/A")</f>
      </c>
      <c r="W48" s="377">
        <f ca="1">IFERROR(W38/W$33,"N/A")</f>
      </c>
      <c r="X48" s="379">
        <f ca="1">IFERROR(X38/X$33,"N/A")</f>
      </c>
      <c r="Y48" s="378">
        <f ca="1">IFERROR(Y38/Y$33,"N/A")</f>
      </c>
      <c r="Z48" s="379">
        <f ca="1">IFERROR(Z38/Z$33,"N/A")</f>
      </c>
      <c r="AA48" s="379">
        <f ca="1">IFERROR(AA38/AA$33,"N/A")</f>
      </c>
      <c r="AB48" s="379">
        <f ca="1">IFERROR(AB38/AB$33,"N/A")</f>
      </c>
      <c r="AC48" s="379">
        <f ca="1">IFERROR(AC38/AC$33,"N/A")</f>
      </c>
      <c r="AD48" s="378">
        <f ca="1">IFERROR(AD38/AD$33,"N/A")</f>
      </c>
      <c r="AE48" s="378">
        <f ca="1">IFERROR(AE38/AE$33,"N/A")</f>
      </c>
      <c r="AF48" s="378">
        <f ca="1">IFERROR(AF38/AF$33,"N/A")</f>
      </c>
      <c r="AG48" s="378">
        <f ca="1">IFERROR(AG38/AG$33,"N/A")</f>
      </c>
    </row>
    <row r="49" ht="14.25" customHeight="1" spans="1:33" x14ac:dyDescent="0.25">
      <c r="C49" s="139" t="str">
        <f ca="1">C21</f>
        <v>Segment 6</v>
      </c>
      <c r="D49" s="16"/>
      <c r="E49" s="16"/>
      <c r="F49" s="377">
        <f t="shared" ref="F49:AG49" si="37" ca="1">IFERROR(F39/F$33,"N/A")</f>
        <v>0</v>
      </c>
      <c r="G49" s="377">
        <f ca="1">IFERROR(G39/G$33,"N/A")</f>
      </c>
      <c r="H49" s="377">
        <f ca="1">IFERROR(H39/H$33,"N/A")</f>
      </c>
      <c r="I49" s="377">
        <f ca="1">IFERROR(I39/I$33,"N/A")</f>
      </c>
      <c r="J49" s="378">
        <f ca="1">IFERROR(J39/J$33,"N/A")</f>
      </c>
      <c r="K49" s="377">
        <f ca="1">IFERROR(K39/K$33,"N/A")</f>
      </c>
      <c r="L49" s="377">
        <f ca="1">IFERROR(L39/L$33,"N/A")</f>
      </c>
      <c r="M49" s="377">
        <f ca="1">IFERROR(M39/M$33,"N/A")</f>
      </c>
      <c r="N49" s="377">
        <f ca="1">IFERROR(N39/N$33,"N/A")</f>
      </c>
      <c r="O49" s="378">
        <f ca="1">IFERROR(O39/O$33,"N/A")</f>
      </c>
      <c r="P49" s="377">
        <f ca="1">IFERROR(P39/P$33,"N/A")</f>
      </c>
      <c r="Q49" s="377">
        <f ca="1">IFERROR(Q39/Q$33,"N/A")</f>
      </c>
      <c r="R49" s="377">
        <f ca="1">IFERROR(R39/R$33,"N/A")</f>
      </c>
      <c r="S49" s="377">
        <f ca="1">IFERROR(S39/S$33,"N/A")</f>
      </c>
      <c r="T49" s="378">
        <f ca="1">IFERROR(T39/T$33,"N/A")</f>
      </c>
      <c r="U49" s="377">
        <f ca="1">IFERROR(U39/U$33,"N/A")</f>
      </c>
      <c r="V49" s="377">
        <f ca="1">IFERROR(V39/V$33,"N/A")</f>
      </c>
      <c r="W49" s="377">
        <f ca="1">IFERROR(W39/W$33,"N/A")</f>
      </c>
      <c r="X49" s="379">
        <f ca="1">IFERROR(X39/X$33,"N/A")</f>
      </c>
      <c r="Y49" s="378">
        <f ca="1">IFERROR(Y39/Y$33,"N/A")</f>
      </c>
      <c r="Z49" s="379">
        <f ca="1">IFERROR(Z39/Z$33,"N/A")</f>
      </c>
      <c r="AA49" s="379">
        <f ca="1">IFERROR(AA39/AA$33,"N/A")</f>
      </c>
      <c r="AB49" s="379">
        <f ca="1">IFERROR(AB39/AB$33,"N/A")</f>
      </c>
      <c r="AC49" s="379">
        <f ca="1">IFERROR(AC39/AC$33,"N/A")</f>
      </c>
      <c r="AD49" s="378">
        <f ca="1">IFERROR(AD39/AD$33,"N/A")</f>
      </c>
      <c r="AE49" s="378">
        <f ca="1">IFERROR(AE39/AE$33,"N/A")</f>
      </c>
      <c r="AF49" s="378">
        <f ca="1">IFERROR(AF39/AF$33,"N/A")</f>
      </c>
      <c r="AG49" s="378">
        <f ca="1">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ca="1">SUM(F52:F57)</f>
        <v>1e-12</v>
      </c>
      <c r="G51" s="317">
        <f ca="1">SUM(G52:G57)</f>
        <v>1e-12</v>
      </c>
      <c r="H51" s="317">
        <f ca="1">SUM(H52:H57)</f>
        <v>1e-12</v>
      </c>
      <c r="I51" s="317">
        <f ca="1">SUM(I52:I57)</f>
        <v>1e-12</v>
      </c>
      <c r="J51" s="287">
        <f ca="1">SUM(F51:I51)</f>
        <v>1e-12</v>
      </c>
      <c r="K51" s="317">
        <f ca="1">SUM(K52:K57)</f>
        <v>1e-12</v>
      </c>
      <c r="L51" s="317">
        <f ca="1">SUM(L52:L57)</f>
        <v>1e-12</v>
      </c>
      <c r="M51" s="317">
        <f ca="1">SUM(M52:M57)</f>
        <v>1e-12</v>
      </c>
      <c r="N51" s="317">
        <f ca="1">SUM(N52:N57)</f>
        <v>1e-12</v>
      </c>
      <c r="O51" s="287">
        <f ca="1">SUM(K51:N51)</f>
        <v>1e-12</v>
      </c>
      <c r="P51" s="317">
        <f ca="1">SUM(P52:P57)</f>
        <v>1e-12</v>
      </c>
      <c r="Q51" s="317">
        <f ca="1">SUM(Q52:Q57)</f>
        <v>1e-12</v>
      </c>
      <c r="R51" s="317">
        <f ca="1">SUM(R52:R57)</f>
        <v>1e-12</v>
      </c>
      <c r="S51" s="317">
        <f ca="1">SUM(S52:S57)</f>
        <v>1e-12</v>
      </c>
      <c r="T51" s="287">
        <f ca="1">SUM(P51:S51)</f>
        <v>1e-12</v>
      </c>
      <c r="U51" s="473">
        <f ca="1">SUM(U52:U57)</f>
        <v>1e-12</v>
      </c>
      <c r="V51" s="473">
        <f ca="1">SUM(V52:V57)</f>
        <v>409</v>
      </c>
      <c r="W51" s="317">
        <f ca="1">SUM(W52:W57)</f>
        <v>425</v>
      </c>
      <c r="X51" s="486">
        <f ca="1">Model!X76</f>
        <v>331.18750000000006</v>
      </c>
      <c r="Y51" s="287">
        <f ca="1">SUM(Y52:Y57)</f>
        <v>1556.1875</v>
      </c>
      <c r="Z51" s="486">
        <f ca="1">Model!Z76</f>
        <v>331.86891850000006</v>
      </c>
      <c r="AA51" s="486">
        <f ca="1">Model!AA76</f>
        <v>336.85146518625004</v>
      </c>
      <c r="AB51" s="486">
        <f ca="1">Model!AB76</f>
        <v>342.23237867969067</v>
      </c>
      <c r="AC51" s="486">
        <f ca="1">Model!AC76</f>
        <v>343.91086566405204</v>
      </c>
      <c r="AD51" s="287">
        <f ca="1">SUM(AD52:AD57)</f>
        <v>1354.863628029993</v>
      </c>
      <c r="AE51" s="285">
        <f ca="1">Model!AE76</f>
        <v>1420.1551602334257</v>
      </c>
      <c r="AF51" s="285">
        <f ca="1">Model!AF76</f>
        <v>1472.475831890681</v>
      </c>
      <c r="AG51" s="285">
        <f ca="1">Model!AG76</f>
        <v>1524.1208520524956</v>
      </c>
    </row>
    <row r="52" ht="14.25" customHeight="1" spans="1:33" x14ac:dyDescent="0.25">
      <c r="C52" s="139" t="str">
        <f t="shared" ref="C52:C57" si="38" ca="1">C16&amp;" D&amp;A"</f>
        <v>Home Improvement Retail D&amp;A</v>
      </c>
      <c r="D52" s="16"/>
      <c r="E52" s="16"/>
      <c r="F52" s="469">
        <v>0</v>
      </c>
      <c r="G52" s="469">
        <v>0</v>
      </c>
      <c r="H52" s="469">
        <v>0</v>
      </c>
      <c r="I52" s="469">
        <v>0</v>
      </c>
      <c r="J52" s="487">
        <f ca="1">SUM(F52:I52)</f>
        <v>1e-12</v>
      </c>
      <c r="K52" s="469">
        <v>0</v>
      </c>
      <c r="L52" s="469">
        <v>0</v>
      </c>
      <c r="M52" s="469">
        <v>0</v>
      </c>
      <c r="N52" s="469">
        <v>0</v>
      </c>
      <c r="O52" s="487">
        <f ca="1">SUM(K52:N52)</f>
        <v>1e-12</v>
      </c>
      <c r="P52" s="469">
        <v>0</v>
      </c>
      <c r="Q52" s="469">
        <v>0</v>
      </c>
      <c r="R52" s="469">
        <v>0</v>
      </c>
      <c r="S52" s="469">
        <v>0</v>
      </c>
      <c r="T52" s="487">
        <f ca="1">SUM(P52:S52)</f>
        <v>1e-12</v>
      </c>
      <c r="U52" s="469">
        <v>0</v>
      </c>
      <c r="V52" s="469">
        <v>409</v>
      </c>
      <c r="W52" s="469">
        <v>425</v>
      </c>
      <c r="X52" s="488">
        <f t="shared" ref="X52:X57" si="39" ca="1">X62*X$51</f>
        <v>331.18750000000006</v>
      </c>
      <c r="Y52" s="470">
        <f t="shared" ref="Y52:Y57" si="40" ca="1">SUM(U52:X52)</f>
        <v>1556.1875</v>
      </c>
      <c r="Z52" s="488">
        <f t="shared" ref="Z52:AC52" si="41" ca="1">Z62*Z$51</f>
        <v>331.86891850000006</v>
      </c>
      <c r="AA52" s="488">
        <f ca="1">AA62*AA$51</f>
        <v>336.85146518625004</v>
      </c>
      <c r="AB52" s="488">
        <f ca="1">AB62*AB$51</f>
        <v>342.23237867969067</v>
      </c>
      <c r="AC52" s="488">
        <f ca="1">AC62*AC$51</f>
        <v>343.91086566405204</v>
      </c>
      <c r="AD52" s="470">
        <f t="shared" ref="AD52:AD57" si="42" ca="1">SUM(Z52:AC52)</f>
        <v>1354.863628029993</v>
      </c>
      <c r="AE52" s="470">
        <f t="shared" ref="AE52:AG52" si="43" ca="1">AE62*AE$51</f>
        <v>1420.1551602334257</v>
      </c>
      <c r="AF52" s="470">
        <f ca="1">AF62*AF$51</f>
        <v>1472.475831890681</v>
      </c>
      <c r="AG52" s="470">
        <f ca="1">AG62*AG$51</f>
        <v>1524.1208520524956</v>
      </c>
    </row>
    <row r="53" ht="14.25" customHeight="1" spans="1:33" x14ac:dyDescent="0.25">
      <c r="C53" s="139" t="str">
        <f ca="1">C17&amp;" D&amp;A"</f>
        <v>Segment 2 D&amp;A</v>
      </c>
      <c r="D53" s="16"/>
      <c r="E53" s="16"/>
      <c r="F53" s="469">
        <v>0</v>
      </c>
      <c r="G53" s="469">
        <v>0</v>
      </c>
      <c r="H53" s="469">
        <v>0</v>
      </c>
      <c r="I53" s="469">
        <v>0</v>
      </c>
      <c r="J53" s="487">
        <f ca="1">SUM(F53:I53)</f>
        <v>1e-12</v>
      </c>
      <c r="K53" s="469">
        <v>0</v>
      </c>
      <c r="L53" s="469">
        <v>0</v>
      </c>
      <c r="M53" s="469">
        <v>0</v>
      </c>
      <c r="N53" s="469">
        <v>0</v>
      </c>
      <c r="O53" s="487">
        <f ca="1">SUM(K53:N53)</f>
        <v>1e-12</v>
      </c>
      <c r="P53" s="469">
        <v>0</v>
      </c>
      <c r="Q53" s="469">
        <v>0</v>
      </c>
      <c r="R53" s="469">
        <v>0</v>
      </c>
      <c r="S53" s="469">
        <v>0</v>
      </c>
      <c r="T53" s="487">
        <f ca="1">SUM(P53:S53)</f>
        <v>1e-12</v>
      </c>
      <c r="U53" s="469">
        <v>0</v>
      </c>
      <c r="V53" s="469">
        <v>0</v>
      </c>
      <c r="W53" s="469">
        <v>0</v>
      </c>
      <c r="X53" s="488">
        <f ca="1">X63*X$51</f>
        <v>1e-12</v>
      </c>
      <c r="Y53" s="470">
        <f ca="1">SUM(U53:X53)</f>
        <v>1e-12</v>
      </c>
      <c r="Z53" s="488">
        <f t="shared" ref="Z53:AC53" si="44" ca="1">Z63*Z$51</f>
        <v>1e-12</v>
      </c>
      <c r="AA53" s="488">
        <f ca="1">AA63*AA$51</f>
        <v>1e-12</v>
      </c>
      <c r="AB53" s="488">
        <f ca="1">AB63*AB$51</f>
        <v>1e-12</v>
      </c>
      <c r="AC53" s="488">
        <f ca="1">AC63*AC$51</f>
        <v>1e-12</v>
      </c>
      <c r="AD53" s="470">
        <f ca="1">SUM(Z53:AC53)</f>
        <v>1e-12</v>
      </c>
      <c r="AE53" s="470">
        <f t="shared" ref="AE53:AG53" si="45" ca="1">AE63*AE$51</f>
        <v>1e-12</v>
      </c>
      <c r="AF53" s="470">
        <f ca="1">AF63*AF$51</f>
        <v>1e-12</v>
      </c>
      <c r="AG53" s="470">
        <f ca="1">AG63*AG$51</f>
        <v>1e-12</v>
      </c>
    </row>
    <row r="54" ht="14.25" customHeight="1" spans="1:33" x14ac:dyDescent="0.25">
      <c r="C54" s="139" t="str">
        <f ca="1">C18&amp;" D&amp;A"</f>
        <v>Segment 3 D&amp;A</v>
      </c>
      <c r="D54" s="16"/>
      <c r="E54" s="16"/>
      <c r="F54" s="469">
        <v>0</v>
      </c>
      <c r="G54" s="469">
        <v>0</v>
      </c>
      <c r="H54" s="469">
        <v>0</v>
      </c>
      <c r="I54" s="469">
        <v>0</v>
      </c>
      <c r="J54" s="487">
        <f ca="1">SUM(F54:I54)</f>
        <v>1e-12</v>
      </c>
      <c r="K54" s="469">
        <v>0</v>
      </c>
      <c r="L54" s="469">
        <v>0</v>
      </c>
      <c r="M54" s="469">
        <v>0</v>
      </c>
      <c r="N54" s="469">
        <v>0</v>
      </c>
      <c r="O54" s="487">
        <f ca="1">SUM(K54:N54)</f>
        <v>1e-12</v>
      </c>
      <c r="P54" s="469">
        <v>0</v>
      </c>
      <c r="Q54" s="469">
        <v>0</v>
      </c>
      <c r="R54" s="469">
        <v>0</v>
      </c>
      <c r="S54" s="469">
        <v>0</v>
      </c>
      <c r="T54" s="487">
        <f ca="1">SUM(P54:S54)</f>
        <v>1e-12</v>
      </c>
      <c r="U54" s="469">
        <v>0</v>
      </c>
      <c r="V54" s="469">
        <v>0</v>
      </c>
      <c r="W54" s="469">
        <v>0</v>
      </c>
      <c r="X54" s="488">
        <f ca="1">X64*X$51</f>
        <v>1e-12</v>
      </c>
      <c r="Y54" s="470">
        <f ca="1">SUM(U54:X54)</f>
        <v>1e-12</v>
      </c>
      <c r="Z54" s="488">
        <f t="shared" ref="Z54:AC54" si="46" ca="1">Z64*Z$51</f>
        <v>1e-12</v>
      </c>
      <c r="AA54" s="488">
        <f ca="1">AA64*AA$51</f>
        <v>1e-12</v>
      </c>
      <c r="AB54" s="488">
        <f ca="1">AB64*AB$51</f>
        <v>1e-12</v>
      </c>
      <c r="AC54" s="488">
        <f ca="1">AC64*AC$51</f>
        <v>1e-12</v>
      </c>
      <c r="AD54" s="470">
        <f ca="1">SUM(Z54:AC54)</f>
        <v>1e-12</v>
      </c>
      <c r="AE54" s="470">
        <f t="shared" ref="AE54:AG54" si="47" ca="1">AE64*AE$51</f>
        <v>1e-12</v>
      </c>
      <c r="AF54" s="470">
        <f ca="1">AF64*AF$51</f>
        <v>1e-12</v>
      </c>
      <c r="AG54" s="470">
        <f ca="1">AG64*AG$51</f>
        <v>1e-12</v>
      </c>
    </row>
    <row r="55" ht="14.25" customHeight="1" spans="1:33" x14ac:dyDescent="0.25">
      <c r="C55" s="139" t="str">
        <f ca="1">C19&amp;" D&amp;A"</f>
        <v>Segment 4 D&amp;A</v>
      </c>
      <c r="D55" s="16"/>
      <c r="E55" s="16"/>
      <c r="F55" s="469">
        <v>0</v>
      </c>
      <c r="G55" s="469">
        <v>0</v>
      </c>
      <c r="H55" s="469">
        <v>0</v>
      </c>
      <c r="I55" s="469">
        <v>0</v>
      </c>
      <c r="J55" s="487">
        <f ca="1">SUM(F55:I55)</f>
        <v>1e-12</v>
      </c>
      <c r="K55" s="469">
        <v>0</v>
      </c>
      <c r="L55" s="469">
        <v>0</v>
      </c>
      <c r="M55" s="469">
        <v>0</v>
      </c>
      <c r="N55" s="469">
        <v>0</v>
      </c>
      <c r="O55" s="487">
        <f ca="1">SUM(K55:N55)</f>
        <v>1e-12</v>
      </c>
      <c r="P55" s="469">
        <v>0</v>
      </c>
      <c r="Q55" s="469">
        <v>0</v>
      </c>
      <c r="R55" s="469">
        <v>0</v>
      </c>
      <c r="S55" s="469">
        <v>0</v>
      </c>
      <c r="T55" s="487">
        <f ca="1">SUM(P55:S55)</f>
        <v>1e-12</v>
      </c>
      <c r="U55" s="469">
        <v>0</v>
      </c>
      <c r="V55" s="469">
        <v>0</v>
      </c>
      <c r="W55" s="469">
        <v>0</v>
      </c>
      <c r="X55" s="488">
        <f ca="1">X65*X$51</f>
        <v>1e-12</v>
      </c>
      <c r="Y55" s="470">
        <f ca="1">SUM(U55:X55)</f>
        <v>1e-12</v>
      </c>
      <c r="Z55" s="488">
        <f t="shared" ref="Z55:AC55" si="48" ca="1">Z65*Z$51</f>
        <v>1e-12</v>
      </c>
      <c r="AA55" s="488">
        <f ca="1">AA65*AA$51</f>
        <v>1e-12</v>
      </c>
      <c r="AB55" s="488">
        <f ca="1">AB65*AB$51</f>
        <v>1e-12</v>
      </c>
      <c r="AC55" s="488">
        <f ca="1">AC65*AC$51</f>
        <v>1e-12</v>
      </c>
      <c r="AD55" s="470">
        <f ca="1">SUM(Z55:AC55)</f>
        <v>1e-12</v>
      </c>
      <c r="AE55" s="470">
        <f t="shared" ref="AE55:AG55" si="49" ca="1">AE65*AE$51</f>
        <v>1e-12</v>
      </c>
      <c r="AF55" s="470">
        <f ca="1">AF65*AF$51</f>
        <v>1e-12</v>
      </c>
      <c r="AG55" s="470">
        <f ca="1">AG65*AG$51</f>
        <v>1e-12</v>
      </c>
    </row>
    <row r="56" ht="14.25" customHeight="1" spans="1:33" x14ac:dyDescent="0.25" outlineLevel="1">
      <c r="C56" s="139" t="str">
        <f ca="1">C20&amp;" D&amp;A"</f>
        <v>Segment 5 D&amp;A</v>
      </c>
      <c r="D56" s="16"/>
      <c r="E56" s="16"/>
      <c r="F56" s="469">
        <v>0</v>
      </c>
      <c r="G56" s="469">
        <v>0</v>
      </c>
      <c r="H56" s="469">
        <v>0</v>
      </c>
      <c r="I56" s="469">
        <v>0</v>
      </c>
      <c r="J56" s="487">
        <f ca="1">SUM(F56:I56)</f>
        <v>1e-12</v>
      </c>
      <c r="K56" s="469">
        <v>0</v>
      </c>
      <c r="L56" s="469">
        <v>0</v>
      </c>
      <c r="M56" s="469">
        <v>0</v>
      </c>
      <c r="N56" s="469">
        <v>0</v>
      </c>
      <c r="O56" s="487">
        <f ca="1">SUM(K56:N56)</f>
        <v>1e-12</v>
      </c>
      <c r="P56" s="469">
        <v>0</v>
      </c>
      <c r="Q56" s="469">
        <v>0</v>
      </c>
      <c r="R56" s="469">
        <v>0</v>
      </c>
      <c r="S56" s="469">
        <v>0</v>
      </c>
      <c r="T56" s="487">
        <f ca="1">SUM(P56:S56)</f>
        <v>1e-12</v>
      </c>
      <c r="U56" s="469">
        <v>0</v>
      </c>
      <c r="V56" s="469">
        <v>0</v>
      </c>
      <c r="W56" s="469">
        <v>0</v>
      </c>
      <c r="X56" s="488">
        <f ca="1">X66*X$51</f>
        <v>1e-12</v>
      </c>
      <c r="Y56" s="470">
        <f ca="1">SUM(U56:X56)</f>
        <v>1e-12</v>
      </c>
      <c r="Z56" s="488">
        <f t="shared" ref="Z56:AC56" si="50" ca="1">Z66*Z$51</f>
        <v>1e-12</v>
      </c>
      <c r="AA56" s="488">
        <f ca="1">AA66*AA$51</f>
        <v>1e-12</v>
      </c>
      <c r="AB56" s="488">
        <f ca="1">AB66*AB$51</f>
        <v>1e-12</v>
      </c>
      <c r="AC56" s="488">
        <f ca="1">AC66*AC$51</f>
        <v>1e-12</v>
      </c>
      <c r="AD56" s="470">
        <f ca="1">SUM(Z56:AC56)</f>
        <v>1e-12</v>
      </c>
      <c r="AE56" s="470">
        <f t="shared" ref="AE56:AG56" si="51" ca="1">AE66*AE$51</f>
        <v>1e-12</v>
      </c>
      <c r="AF56" s="470">
        <f ca="1">AF66*AF$51</f>
        <v>1e-12</v>
      </c>
      <c r="AG56" s="470">
        <f ca="1">AG66*AG$51</f>
        <v>1e-12</v>
      </c>
    </row>
    <row r="57" ht="14.25" customHeight="1" spans="1:33" x14ac:dyDescent="0.25" outlineLevel="1">
      <c r="C57" s="139" t="str">
        <f ca="1">C21&amp;" D&amp;A"</f>
        <v>Segment 6 D&amp;A</v>
      </c>
      <c r="D57" s="16"/>
      <c r="E57" s="16"/>
      <c r="F57" s="469">
        <v>0</v>
      </c>
      <c r="G57" s="469">
        <v>0</v>
      </c>
      <c r="H57" s="469">
        <v>0</v>
      </c>
      <c r="I57" s="469">
        <v>0</v>
      </c>
      <c r="J57" s="487">
        <f ca="1">SUM(F57:I57)</f>
        <v>1e-12</v>
      </c>
      <c r="K57" s="469">
        <v>0</v>
      </c>
      <c r="L57" s="469">
        <v>0</v>
      </c>
      <c r="M57" s="469">
        <v>0</v>
      </c>
      <c r="N57" s="469">
        <v>0</v>
      </c>
      <c r="O57" s="487">
        <f ca="1">SUM(K57:N57)</f>
        <v>1e-12</v>
      </c>
      <c r="P57" s="469">
        <v>0</v>
      </c>
      <c r="Q57" s="469">
        <v>0</v>
      </c>
      <c r="R57" s="469">
        <v>0</v>
      </c>
      <c r="S57" s="469">
        <v>0</v>
      </c>
      <c r="T57" s="487">
        <f ca="1">SUM(P57:S57)</f>
        <v>1e-12</v>
      </c>
      <c r="U57" s="469">
        <v>0</v>
      </c>
      <c r="V57" s="469">
        <v>0</v>
      </c>
      <c r="W57" s="469">
        <v>0</v>
      </c>
      <c r="X57" s="488">
        <f ca="1">X67*X$51</f>
        <v>1e-12</v>
      </c>
      <c r="Y57" s="470">
        <f ca="1">SUM(U57:X57)</f>
        <v>1e-12</v>
      </c>
      <c r="Z57" s="488">
        <f t="shared" ref="Z57:AC57" si="52" ca="1">Z67*Z$51</f>
        <v>1e-12</v>
      </c>
      <c r="AA57" s="488">
        <f ca="1">AA67*AA$51</f>
        <v>1e-12</v>
      </c>
      <c r="AB57" s="488">
        <f ca="1">AB67*AB$51</f>
        <v>1e-12</v>
      </c>
      <c r="AC57" s="488">
        <f ca="1">AC67*AC$51</f>
        <v>1e-12</v>
      </c>
      <c r="AD57" s="470">
        <f ca="1">SUM(Z57:AC57)</f>
        <v>1e-12</v>
      </c>
      <c r="AE57" s="470">
        <f t="shared" ref="AE57:AG57" si="53" ca="1">AE67*AE$51</f>
        <v>1e-12</v>
      </c>
      <c r="AF57" s="470">
        <f ca="1">AF67*AF$51</f>
        <v>1e-12</v>
      </c>
      <c r="AG57" s="470">
        <f ca="1">AG67*AG$51</f>
        <v>1e-12</v>
      </c>
    </row>
    <row r="58" ht="14.25" customHeight="1" spans="1:33" x14ac:dyDescent="0.25">
      <c r="C58" s="139"/>
      <c r="D58" s="16"/>
      <c r="E58" s="16"/>
      <c r="F58" s="473"/>
      <c r="G58" s="473"/>
      <c r="H58" s="473"/>
      <c r="I58" s="473"/>
      <c r="J58" s="478">
        <f ca="1">SUM(F58:I58)</f>
        <v>1e-12</v>
      </c>
      <c r="K58" s="473"/>
      <c r="L58" s="473"/>
      <c r="M58" s="473"/>
      <c r="N58" s="473"/>
      <c r="O58" s="470">
        <f ca="1">SUM(K58:N58)</f>
        <v>1e-12</v>
      </c>
      <c r="P58" s="473"/>
      <c r="Q58" s="473"/>
      <c r="R58" s="473"/>
      <c r="S58" s="483"/>
      <c r="T58" s="378">
        <f ca="1">SUM(P58:S58)</f>
        <v>1e-12</v>
      </c>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 ca="1">F51-Model!F60</f>
        <v>1e-12</v>
      </c>
      <c r="G59" s="489">
        <f ca="1">G51-Model!G60</f>
        <v>1e-12</v>
      </c>
      <c r="H59" s="489">
        <f ca="1">H51-Model!H60</f>
        <v>1e-12</v>
      </c>
      <c r="I59" s="489">
        <f ca="1">I51-Model!I60</f>
        <v>1e-12</v>
      </c>
      <c r="J59" s="484">
        <f ca="1">J51-Model!J60</f>
        <v>1e-12</v>
      </c>
      <c r="K59" s="489">
        <f ca="1">K51-Model!K60</f>
        <v>1e-12</v>
      </c>
      <c r="L59" s="489">
        <f ca="1">L51-Model!L60</f>
        <v>1e-12</v>
      </c>
      <c r="M59" s="489">
        <f ca="1">M51-Model!M60</f>
        <v>1e-12</v>
      </c>
      <c r="N59" s="489">
        <f ca="1">N51-Model!N60</f>
        <v>1e-12</v>
      </c>
      <c r="O59" s="484">
        <f ca="1">O51-Model!O60</f>
        <v>1e-12</v>
      </c>
      <c r="P59" s="489">
        <f ca="1">P51-Model!P60</f>
        <v>1e-12</v>
      </c>
      <c r="Q59" s="489">
        <f ca="1">Q51-Model!Q60</f>
        <v>1e-12</v>
      </c>
      <c r="R59" s="489">
        <f ca="1">R51-Model!R60</f>
        <v>1e-12</v>
      </c>
      <c r="S59" s="489">
        <f ca="1">S51-Model!S60</f>
        <v>1e-12</v>
      </c>
      <c r="T59" s="484">
        <f ca="1">T51-Model!T60</f>
        <v>1e-12</v>
      </c>
      <c r="U59" s="489">
        <f ca="1">U51-Model!U60</f>
        <v>1e-12</v>
      </c>
      <c r="V59" s="489">
        <f ca="1">V51-Model!V60</f>
        <v>1e-12</v>
      </c>
      <c r="W59" s="489">
        <f ca="1">W51-Model!W60</f>
        <v>1e-12</v>
      </c>
      <c r="X59" s="490">
        <f t="shared" ref="X59:AG59" si="54" ca="1">X51-SUM(X52:X57)</f>
        <v>1e-12</v>
      </c>
      <c r="Y59" s="484">
        <f ca="1">Y51-SUM(Y52:Y57)</f>
        <v>1e-12</v>
      </c>
      <c r="Z59" s="490">
        <f ca="1">Z51-SUM(Z52:Z57)</f>
        <v>1e-12</v>
      </c>
      <c r="AA59" s="490">
        <f ca="1">AA51-SUM(AA52:AA57)</f>
        <v>1e-12</v>
      </c>
      <c r="AB59" s="490">
        <f ca="1">AB51-SUM(AB52:AB57)</f>
        <v>1e-12</v>
      </c>
      <c r="AC59" s="490">
        <f ca="1">AC51-SUM(AC52:AC57)</f>
        <v>1e-12</v>
      </c>
      <c r="AD59" s="484">
        <f ca="1">AD51-SUM(AD52:AD57)</f>
        <v>1e-12</v>
      </c>
      <c r="AE59" s="484">
        <f ca="1">AE51-SUM(AE52:AE57)</f>
        <v>1e-12</v>
      </c>
      <c r="AF59" s="484">
        <f ca="1">AF51-SUM(AF52:AF57)</f>
        <v>1e-12</v>
      </c>
      <c r="AG59" s="484">
        <f ca="1">AG51-SUM(AG52:AG57)</f>
        <v>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55" ca="1">C16</f>
        <v>Home Improvement Retail</v>
      </c>
      <c r="D62" s="16"/>
      <c r="E62" s="16"/>
      <c r="F62" s="377">
        <f t="shared" ref="F62:W62" si="56" ca="1">IFERROR(F52/F$51,"N/A")</f>
        <v>1</v>
      </c>
      <c r="G62" s="377">
        <f ca="1">IFERROR(G52/G$51,"N/A")</f>
        <v>1</v>
      </c>
      <c r="H62" s="377">
        <f ca="1">IFERROR(H52/H$51,"N/A")</f>
        <v>1</v>
      </c>
      <c r="I62" s="377">
        <f ca="1">IFERROR(I52/I$51,"N/A")</f>
        <v>1</v>
      </c>
      <c r="J62" s="378">
        <f ca="1">IFERROR(J52/J$51,"N/A")</f>
        <v>1</v>
      </c>
      <c r="K62" s="377">
        <f ca="1">IFERROR(K52/K$51,"N/A")</f>
        <v>1</v>
      </c>
      <c r="L62" s="377">
        <f ca="1">IFERROR(L52/L$51,"N/A")</f>
        <v>1</v>
      </c>
      <c r="M62" s="377">
        <f ca="1">IFERROR(M52/M$51,"N/A")</f>
        <v>1</v>
      </c>
      <c r="N62" s="377">
        <f ca="1">IFERROR(N52/N$51,"N/A")</f>
        <v>1</v>
      </c>
      <c r="O62" s="378">
        <f ca="1">IFERROR(O52/O$51,"N/A")</f>
        <v>1</v>
      </c>
      <c r="P62" s="377">
        <f ca="1">IFERROR(P52/P$51,"N/A")</f>
        <v>1</v>
      </c>
      <c r="Q62" s="377">
        <f ca="1">IFERROR(Q52/Q$51,"N/A")</f>
        <v>1</v>
      </c>
      <c r="R62" s="377">
        <f ca="1">IFERROR(R52/R$51,"N/A")</f>
        <v>1</v>
      </c>
      <c r="S62" s="377">
        <f ca="1">IFERROR(S52/S$51,"N/A")</f>
        <v>1</v>
      </c>
      <c r="T62" s="378">
        <f ca="1">IFERROR(T52/T$51,"N/A")</f>
        <v>1</v>
      </c>
      <c r="U62" s="377">
        <f ca="1">IFERROR(U52/U$51,"N/A")</f>
        <v>1</v>
      </c>
      <c r="V62" s="377">
        <f ca="1">IFERROR(V52/V$51,"N/A")</f>
        <v>1</v>
      </c>
      <c r="W62" s="377">
        <f ca="1">IFERROR(W52/W$51,"N/A")</f>
        <v>1</v>
      </c>
      <c r="X62" s="380">
        <f ca="1">Drivers!X78</f>
        <v>1</v>
      </c>
      <c r="Y62" s="492">
        <f t="shared" ref="Y62:Y67" si="57" ca="1">Y52/Y$51</f>
        <v>1</v>
      </c>
      <c r="Z62" s="380">
        <f ca="1">Drivers!Z78</f>
        <v>1</v>
      </c>
      <c r="AA62" s="380">
        <f ca="1">Drivers!AA78</f>
        <v>1</v>
      </c>
      <c r="AB62" s="380">
        <f ca="1">Drivers!AB78</f>
        <v>1</v>
      </c>
      <c r="AC62" s="380">
        <f ca="1">Drivers!AC78</f>
        <v>1</v>
      </c>
      <c r="AD62" s="492">
        <f t="shared" ref="AD62:AD67" si="58" ca="1">AD52/AD$51</f>
        <v>1</v>
      </c>
      <c r="AE62" s="381">
        <f ca="1">Drivers!AE78</f>
        <v>1</v>
      </c>
      <c r="AF62" s="381">
        <f ca="1">Drivers!AF78</f>
        <v>1</v>
      </c>
      <c r="AG62" s="381">
        <f ca="1">Drivers!AG78</f>
        <v>1</v>
      </c>
    </row>
    <row r="63" ht="14.25" customHeight="1" spans="1:33" x14ac:dyDescent="0.25">
      <c r="C63" s="491" t="str">
        <f ca="1">C17</f>
        <v>Segment 2</v>
      </c>
      <c r="D63" s="16"/>
      <c r="E63" s="16"/>
      <c r="F63" s="377">
        <f t="shared" ref="F63:W63" si="59" ca="1">IFERROR(F53/F$51,"N/A")</f>
        <v>0</v>
      </c>
      <c r="G63" s="377">
        <f ca="1">IFERROR(G53/G$51,"N/A")</f>
      </c>
      <c r="H63" s="377">
        <f ca="1">IFERROR(H53/H$51,"N/A")</f>
      </c>
      <c r="I63" s="377">
        <f ca="1">IFERROR(I53/I$51,"N/A")</f>
      </c>
      <c r="J63" s="378">
        <f ca="1">IFERROR(J53/J$51,"N/A")</f>
      </c>
      <c r="K63" s="377">
        <f ca="1">IFERROR(K53/K$51,"N/A")</f>
      </c>
      <c r="L63" s="377">
        <f ca="1">IFERROR(L53/L$51,"N/A")</f>
      </c>
      <c r="M63" s="377">
        <f ca="1">IFERROR(M53/M$51,"N/A")</f>
      </c>
      <c r="N63" s="377">
        <f ca="1">IFERROR(N53/N$51,"N/A")</f>
      </c>
      <c r="O63" s="378">
        <f ca="1">IFERROR(O53/O$51,"N/A")</f>
      </c>
      <c r="P63" s="377">
        <f ca="1">IFERROR(P53/P$51,"N/A")</f>
      </c>
      <c r="Q63" s="377">
        <f ca="1">IFERROR(Q53/Q$51,"N/A")</f>
      </c>
      <c r="R63" s="377">
        <f ca="1">IFERROR(R53/R$51,"N/A")</f>
      </c>
      <c r="S63" s="377">
        <f ca="1">IFERROR(S53/S$51,"N/A")</f>
      </c>
      <c r="T63" s="378">
        <f ca="1">IFERROR(T53/T$51,"N/A")</f>
      </c>
      <c r="U63" s="377">
        <f ca="1">IFERROR(U53/U$51,"N/A")</f>
      </c>
      <c r="V63" s="377">
        <f ca="1">IFERROR(V53/V$51,"N/A")</f>
      </c>
      <c r="W63" s="377">
        <f ca="1">IFERROR(W53/W$51,"N/A")</f>
      </c>
      <c r="X63" s="380">
        <f ca="1">Drivers!X79</f>
        <v>1e-12</v>
      </c>
      <c r="Y63" s="492">
        <f ca="1">Y53/Y$51</f>
        <v>1e-12</v>
      </c>
      <c r="Z63" s="380">
        <f ca="1">Drivers!Z79</f>
        <v>1e-12</v>
      </c>
      <c r="AA63" s="380">
        <f ca="1">Drivers!AA79</f>
        <v>1e-12</v>
      </c>
      <c r="AB63" s="380">
        <f ca="1">Drivers!AB79</f>
        <v>1e-12</v>
      </c>
      <c r="AC63" s="380">
        <f ca="1">Drivers!AC79</f>
        <v>1e-12</v>
      </c>
      <c r="AD63" s="492">
        <f ca="1">AD53/AD$51</f>
        <v>1e-12</v>
      </c>
      <c r="AE63" s="381">
        <f ca="1">Drivers!AE79</f>
        <v>1e-12</v>
      </c>
      <c r="AF63" s="381">
        <f ca="1">Drivers!AF79</f>
        <v>1e-12</v>
      </c>
      <c r="AG63" s="381">
        <f ca="1">Drivers!AG79</f>
        <v>1e-12</v>
      </c>
    </row>
    <row r="64" ht="14.25" customHeight="1" spans="1:33" x14ac:dyDescent="0.25">
      <c r="C64" s="491" t="str">
        <f ca="1">C18</f>
        <v>Segment 3</v>
      </c>
      <c r="D64" s="16"/>
      <c r="E64" s="16"/>
      <c r="F64" s="377">
        <f t="shared" ref="F64:W64" si="60" ca="1">IFERROR(F54/F$51,"N/A")</f>
        <v>0</v>
      </c>
      <c r="G64" s="377">
        <f ca="1">IFERROR(G54/G$51,"N/A")</f>
      </c>
      <c r="H64" s="377">
        <f ca="1">IFERROR(H54/H$51,"N/A")</f>
      </c>
      <c r="I64" s="377">
        <f ca="1">IFERROR(I54/I$51,"N/A")</f>
      </c>
      <c r="J64" s="378">
        <f ca="1">IFERROR(J54/J$51,"N/A")</f>
      </c>
      <c r="K64" s="377">
        <f ca="1">IFERROR(K54/K$51,"N/A")</f>
      </c>
      <c r="L64" s="377">
        <f ca="1">IFERROR(L54/L$51,"N/A")</f>
      </c>
      <c r="M64" s="377">
        <f ca="1">IFERROR(M54/M$51,"N/A")</f>
      </c>
      <c r="N64" s="377">
        <f ca="1">IFERROR(N54/N$51,"N/A")</f>
      </c>
      <c r="O64" s="378">
        <f ca="1">IFERROR(O54/O$51,"N/A")</f>
      </c>
      <c r="P64" s="377">
        <f ca="1">IFERROR(P54/P$51,"N/A")</f>
      </c>
      <c r="Q64" s="377">
        <f ca="1">IFERROR(Q54/Q$51,"N/A")</f>
      </c>
      <c r="R64" s="377">
        <f ca="1">IFERROR(R54/R$51,"N/A")</f>
      </c>
      <c r="S64" s="377">
        <f ca="1">IFERROR(S54/S$51,"N/A")</f>
      </c>
      <c r="T64" s="378">
        <f ca="1">IFERROR(T54/T$51,"N/A")</f>
      </c>
      <c r="U64" s="377">
        <f ca="1">IFERROR(U54/U$51,"N/A")</f>
      </c>
      <c r="V64" s="377">
        <f ca="1">IFERROR(V54/V$51,"N/A")</f>
      </c>
      <c r="W64" s="377">
        <f ca="1">IFERROR(W54/W$51,"N/A")</f>
      </c>
      <c r="X64" s="380">
        <f ca="1">Drivers!X80</f>
        <v>1e-12</v>
      </c>
      <c r="Y64" s="492">
        <f ca="1">Y54/Y$51</f>
        <v>1e-12</v>
      </c>
      <c r="Z64" s="380">
        <f ca="1">Drivers!Z80</f>
        <v>1e-12</v>
      </c>
      <c r="AA64" s="380">
        <f ca="1">Drivers!AA80</f>
        <v>1e-12</v>
      </c>
      <c r="AB64" s="380">
        <f ca="1">Drivers!AB80</f>
        <v>1e-12</v>
      </c>
      <c r="AC64" s="380">
        <f ca="1">Drivers!AC80</f>
        <v>1e-12</v>
      </c>
      <c r="AD64" s="492">
        <f ca="1">AD54/AD$51</f>
        <v>1e-12</v>
      </c>
      <c r="AE64" s="381">
        <f ca="1">Drivers!AE80</f>
        <v>1e-12</v>
      </c>
      <c r="AF64" s="381">
        <f ca="1">Drivers!AF80</f>
        <v>1e-12</v>
      </c>
      <c r="AG64" s="381">
        <f ca="1">Drivers!AG80</f>
        <v>1e-12</v>
      </c>
    </row>
    <row r="65" ht="14.25" customHeight="1" spans="1:33" x14ac:dyDescent="0.25">
      <c r="C65" s="491" t="str">
        <f ca="1">C19</f>
        <v>Segment 4</v>
      </c>
      <c r="D65" s="16"/>
      <c r="E65" s="16"/>
      <c r="F65" s="377">
        <f t="shared" ref="F65:W65" si="61" ca="1">IFERROR(F55/F$51,"N/A")</f>
        <v>0</v>
      </c>
      <c r="G65" s="377">
        <f ca="1">IFERROR(G55/G$51,"N/A")</f>
      </c>
      <c r="H65" s="377">
        <f ca="1">IFERROR(H55/H$51,"N/A")</f>
      </c>
      <c r="I65" s="377">
        <f ca="1">IFERROR(I55/I$51,"N/A")</f>
      </c>
      <c r="J65" s="378">
        <f ca="1">IFERROR(J55/J$51,"N/A")</f>
      </c>
      <c r="K65" s="377">
        <f ca="1">IFERROR(K55/K$51,"N/A")</f>
      </c>
      <c r="L65" s="377">
        <f ca="1">IFERROR(L55/L$51,"N/A")</f>
      </c>
      <c r="M65" s="377">
        <f ca="1">IFERROR(M55/M$51,"N/A")</f>
      </c>
      <c r="N65" s="377">
        <f ca="1">IFERROR(N55/N$51,"N/A")</f>
      </c>
      <c r="O65" s="378">
        <f ca="1">IFERROR(O55/O$51,"N/A")</f>
      </c>
      <c r="P65" s="377">
        <f ca="1">IFERROR(P55/P$51,"N/A")</f>
      </c>
      <c r="Q65" s="377">
        <f ca="1">IFERROR(Q55/Q$51,"N/A")</f>
      </c>
      <c r="R65" s="377">
        <f ca="1">IFERROR(R55/R$51,"N/A")</f>
      </c>
      <c r="S65" s="377">
        <f ca="1">IFERROR(S55/S$51,"N/A")</f>
      </c>
      <c r="T65" s="378">
        <f ca="1">IFERROR(T55/T$51,"N/A")</f>
      </c>
      <c r="U65" s="377">
        <f ca="1">IFERROR(U55/U$51,"N/A")</f>
      </c>
      <c r="V65" s="377">
        <f ca="1">IFERROR(V55/V$51,"N/A")</f>
      </c>
      <c r="W65" s="377">
        <f ca="1">IFERROR(W55/W$51,"N/A")</f>
      </c>
      <c r="X65" s="380">
        <f ca="1">Drivers!X81</f>
        <v>1e-12</v>
      </c>
      <c r="Y65" s="492">
        <f ca="1">Y55/Y$51</f>
        <v>1e-12</v>
      </c>
      <c r="Z65" s="380">
        <f ca="1">Drivers!Z81</f>
        <v>1e-12</v>
      </c>
      <c r="AA65" s="380">
        <f ca="1">Drivers!AA81</f>
        <v>1e-12</v>
      </c>
      <c r="AB65" s="380">
        <f ca="1">Drivers!AB81</f>
        <v>1e-12</v>
      </c>
      <c r="AC65" s="380">
        <f ca="1">Drivers!AC81</f>
        <v>1e-12</v>
      </c>
      <c r="AD65" s="492">
        <f ca="1">AD55/AD$51</f>
        <v>1e-12</v>
      </c>
      <c r="AE65" s="381">
        <f ca="1">Drivers!AE81</f>
        <v>1e-12</v>
      </c>
      <c r="AF65" s="381">
        <f ca="1">Drivers!AF81</f>
        <v>1e-12</v>
      </c>
      <c r="AG65" s="381">
        <f ca="1">Drivers!AG81</f>
        <v>1e-12</v>
      </c>
    </row>
    <row r="66" ht="14.25" customHeight="1" spans="1:33" x14ac:dyDescent="0.25" outlineLevel="1">
      <c r="C66" s="491" t="str">
        <f ca="1">C20</f>
        <v>Segment 5</v>
      </c>
      <c r="D66" s="16"/>
      <c r="E66" s="16"/>
      <c r="F66" s="377">
        <f t="shared" ref="F66:W66" si="62" ca="1">IFERROR(F56/F$51,"N/A")</f>
        <v>0</v>
      </c>
      <c r="G66" s="377">
        <f ca="1">IFERROR(G56/G$51,"N/A")</f>
      </c>
      <c r="H66" s="377">
        <f ca="1">IFERROR(H56/H$51,"N/A")</f>
      </c>
      <c r="I66" s="377">
        <f ca="1">IFERROR(I56/I$51,"N/A")</f>
      </c>
      <c r="J66" s="378">
        <f ca="1">IFERROR(J56/J$51,"N/A")</f>
      </c>
      <c r="K66" s="377">
        <f ca="1">IFERROR(K56/K$51,"N/A")</f>
      </c>
      <c r="L66" s="377">
        <f ca="1">IFERROR(L56/L$51,"N/A")</f>
      </c>
      <c r="M66" s="377">
        <f ca="1">IFERROR(M56/M$51,"N/A")</f>
      </c>
      <c r="N66" s="377">
        <f ca="1">IFERROR(N56/N$51,"N/A")</f>
      </c>
      <c r="O66" s="378">
        <f ca="1">IFERROR(O56/O$51,"N/A")</f>
      </c>
      <c r="P66" s="377">
        <f ca="1">IFERROR(P56/P$51,"N/A")</f>
      </c>
      <c r="Q66" s="377">
        <f ca="1">IFERROR(Q56/Q$51,"N/A")</f>
      </c>
      <c r="R66" s="377">
        <f ca="1">IFERROR(R56/R$51,"N/A")</f>
      </c>
      <c r="S66" s="377">
        <f ca="1">IFERROR(S56/S$51,"N/A")</f>
      </c>
      <c r="T66" s="378">
        <f ca="1">IFERROR(T56/T$51,"N/A")</f>
      </c>
      <c r="U66" s="377">
        <f ca="1">IFERROR(U56/U$51,"N/A")</f>
      </c>
      <c r="V66" s="377">
        <f ca="1">IFERROR(V56/V$51,"N/A")</f>
      </c>
      <c r="W66" s="377">
        <f ca="1">IFERROR(W56/W$51,"N/A")</f>
      </c>
      <c r="X66" s="380">
        <f ca="1">Drivers!X82</f>
        <v>1e-12</v>
      </c>
      <c r="Y66" s="492">
        <f ca="1">Y56/Y$51</f>
        <v>1e-12</v>
      </c>
      <c r="Z66" s="380">
        <f ca="1">Drivers!Z82</f>
        <v>1e-12</v>
      </c>
      <c r="AA66" s="380">
        <f ca="1">Drivers!AA82</f>
        <v>1e-12</v>
      </c>
      <c r="AB66" s="380">
        <f ca="1">Drivers!AB82</f>
        <v>1e-12</v>
      </c>
      <c r="AC66" s="380">
        <f ca="1">Drivers!AC82</f>
        <v>1e-12</v>
      </c>
      <c r="AD66" s="492">
        <f ca="1">AD56/AD$51</f>
        <v>1e-12</v>
      </c>
      <c r="AE66" s="381">
        <f ca="1">Drivers!AE82</f>
        <v>1e-12</v>
      </c>
      <c r="AF66" s="381">
        <f ca="1">Drivers!AF82</f>
        <v>1e-12</v>
      </c>
      <c r="AG66" s="381">
        <f ca="1">Drivers!AG82</f>
        <v>1e-12</v>
      </c>
    </row>
    <row r="67" ht="14.25" customHeight="1" spans="1:33" x14ac:dyDescent="0.25" outlineLevel="1">
      <c r="C67" s="491" t="str">
        <f ca="1">C21</f>
        <v>Segment 6</v>
      </c>
      <c r="D67" s="16"/>
      <c r="E67" s="16"/>
      <c r="F67" s="377">
        <f t="shared" ref="F67:W67" si="63" ca="1">IFERROR(F57/F$51,"N/A")</f>
        <v>0</v>
      </c>
      <c r="G67" s="377">
        <f ca="1">IFERROR(G57/G$51,"N/A")</f>
      </c>
      <c r="H67" s="377">
        <f ca="1">IFERROR(H57/H$51,"N/A")</f>
      </c>
      <c r="I67" s="377">
        <f ca="1">IFERROR(I57/I$51,"N/A")</f>
      </c>
      <c r="J67" s="378">
        <f ca="1">IFERROR(J57/J$51,"N/A")</f>
      </c>
      <c r="K67" s="377">
        <f ca="1">IFERROR(K57/K$51,"N/A")</f>
      </c>
      <c r="L67" s="377">
        <f ca="1">IFERROR(L57/L$51,"N/A")</f>
      </c>
      <c r="M67" s="377">
        <f ca="1">IFERROR(M57/M$51,"N/A")</f>
      </c>
      <c r="N67" s="377">
        <f ca="1">IFERROR(N57/N$51,"N/A")</f>
      </c>
      <c r="O67" s="378">
        <f ca="1">IFERROR(O57/O$51,"N/A")</f>
      </c>
      <c r="P67" s="377">
        <f ca="1">IFERROR(P57/P$51,"N/A")</f>
      </c>
      <c r="Q67" s="377">
        <f ca="1">IFERROR(Q57/Q$51,"N/A")</f>
      </c>
      <c r="R67" s="377">
        <f ca="1">IFERROR(R57/R$51,"N/A")</f>
      </c>
      <c r="S67" s="377">
        <f ca="1">IFERROR(S57/S$51,"N/A")</f>
      </c>
      <c r="T67" s="378">
        <f ca="1">IFERROR(T57/T$51,"N/A")</f>
      </c>
      <c r="U67" s="377">
        <f ca="1">IFERROR(U57/U$51,"N/A")</f>
      </c>
      <c r="V67" s="377">
        <f ca="1">IFERROR(V57/V$51,"N/A")</f>
      </c>
      <c r="W67" s="377">
        <f ca="1">IFERROR(W57/W$51,"N/A")</f>
      </c>
      <c r="X67" s="380">
        <f ca="1">Drivers!X83</f>
        <v>1e-12</v>
      </c>
      <c r="Y67" s="492">
        <f ca="1">Y57/Y$51</f>
        <v>1e-12</v>
      </c>
      <c r="Z67" s="380">
        <f ca="1">Drivers!Z83</f>
        <v>1e-12</v>
      </c>
      <c r="AA67" s="380">
        <f ca="1">Drivers!AA83</f>
        <v>1e-12</v>
      </c>
      <c r="AB67" s="380">
        <f ca="1">Drivers!AB83</f>
        <v>1e-12</v>
      </c>
      <c r="AC67" s="380">
        <f ca="1">Drivers!AC83</f>
        <v>1e-12</v>
      </c>
      <c r="AD67" s="492">
        <f ca="1">AD57/AD$51</f>
        <v>1e-12</v>
      </c>
      <c r="AE67" s="381">
        <f ca="1">Drivers!AE83</f>
        <v>1e-12</v>
      </c>
      <c r="AF67" s="381">
        <f ca="1">Drivers!AF83</f>
        <v>1e-12</v>
      </c>
      <c r="AG67" s="381">
        <f ca="1">Drivers!AG83</f>
        <v>1e-12</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64" ca="1">F51+F33</f>
        <v>21737</v>
      </c>
      <c r="G69" s="317">
        <f ca="1">G51+G33</f>
        <v>23454</v>
      </c>
      <c r="H69" s="317">
        <f ca="1">H51+H33</f>
        <v>23937</v>
      </c>
      <c r="I69" s="317">
        <f ca="1">I51+I33</f>
        <v>26730</v>
      </c>
      <c r="J69" s="287">
        <f ca="1">J51+J33</f>
        <v>95858</v>
      </c>
      <c r="K69" s="317">
        <f ca="1">K51+K33</f>
        <v>27897</v>
      </c>
      <c r="L69" s="317">
        <f ca="1">L51+L33</f>
        <v>29674</v>
      </c>
      <c r="M69" s="317">
        <f ca="1">M51+M33</f>
        <v>30856</v>
      </c>
      <c r="N69" s="317">
        <f ca="1">N51+N33</f>
        <v>32836</v>
      </c>
      <c r="O69" s="287">
        <f ca="1">O51+O33</f>
        <v>121263</v>
      </c>
      <c r="P69" s="317">
        <f ca="1">P51+P33</f>
        <v>32682</v>
      </c>
      <c r="Q69" s="317">
        <f ca="1">Q51+Q33</f>
        <v>33063</v>
      </c>
      <c r="R69" s="317">
        <f ca="1">R51+R33</f>
        <v>33527</v>
      </c>
      <c r="S69" s="317">
        <f ca="1">S51+S33</f>
        <v>40132</v>
      </c>
      <c r="T69" s="287">
        <f ca="1">T51+T33</f>
        <v>139404</v>
      </c>
      <c r="U69" s="317">
        <f ca="1">U51+U33</f>
        <v>40589</v>
      </c>
      <c r="V69" s="317">
        <f ca="1">V51+V33</f>
        <v>3386.56</v>
      </c>
      <c r="W69" s="317">
        <f ca="1">W51+W33</f>
        <v>3214</v>
      </c>
      <c r="X69" s="494">
        <f ca="1">X51+X33</f>
        <v>3161.5605</v>
      </c>
      <c r="Y69" s="287">
        <f ca="1">Y51+Y33</f>
        <v>12717.430499999999</v>
      </c>
      <c r="Z69" s="494">
        <f ca="1">Z51+Z33</f>
        <v>3928.6198385</v>
      </c>
      <c r="AA69" s="494">
        <f ca="1">AA51+AA33</f>
        <v>4583.5866585862495</v>
      </c>
      <c r="AB69" s="494">
        <f ca="1">AB51+AB33</f>
        <v>3435.0271126316907</v>
      </c>
      <c r="AC69" s="494">
        <f ca="1">AC51+AC33</f>
        <v>3649.335237575252</v>
      </c>
      <c r="AD69" s="287">
        <f ca="1">AD51+AD33</f>
        <v>15596.568847293192</v>
      </c>
      <c r="AE69" s="287">
        <f ca="1">AE51+AE33</f>
        <v>16340.631690771386</v>
      </c>
      <c r="AF69" s="287">
        <f ca="1">AF51+AF33</f>
        <v>16800.850281968527</v>
      </c>
      <c r="AG69" s="287">
        <f ca="1">AG51+AG33</f>
        <v>17382.419104547316</v>
      </c>
    </row>
    <row r="70" ht="14.25" customHeight="1" spans="1:33" x14ac:dyDescent="0.25">
      <c r="C70" s="139" t="str">
        <f t="shared" ref="C70:C75" si="65" ca="1">C16&amp;" EBITDA"</f>
        <v>Home Improvement Retail EBITDA</v>
      </c>
      <c r="D70" s="16"/>
      <c r="E70" s="16"/>
      <c r="F70" s="317">
        <f t="shared" ref="F70:AG70" si="66" ca="1">F52+F34</f>
        <v>21737</v>
      </c>
      <c r="G70" s="317">
        <f ca="1">G52+G34</f>
        <v>23454</v>
      </c>
      <c r="H70" s="317">
        <f ca="1">H52+H34</f>
        <v>23937</v>
      </c>
      <c r="I70" s="317">
        <f ca="1">I52+I34</f>
        <v>26730</v>
      </c>
      <c r="J70" s="495">
        <f ca="1">J52+J34</f>
        <v>95858</v>
      </c>
      <c r="K70" s="317">
        <f ca="1">K52+K34</f>
        <v>27897</v>
      </c>
      <c r="L70" s="317">
        <f ca="1">L52+L34</f>
        <v>29674</v>
      </c>
      <c r="M70" s="317">
        <f ca="1">M52+M34</f>
        <v>30856</v>
      </c>
      <c r="N70" s="317">
        <f ca="1">N52+N34</f>
        <v>32836</v>
      </c>
      <c r="O70" s="495">
        <f ca="1">O52+O34</f>
        <v>121263</v>
      </c>
      <c r="P70" s="317">
        <f ca="1">P52+P34</f>
        <v>32682</v>
      </c>
      <c r="Q70" s="317">
        <f ca="1">Q52+Q34</f>
        <v>33063</v>
      </c>
      <c r="R70" s="317">
        <f ca="1">R52+R34</f>
        <v>33527</v>
      </c>
      <c r="S70" s="317">
        <f ca="1">S52+S34</f>
        <v>40132</v>
      </c>
      <c r="T70" s="495">
        <f ca="1">T52+T34</f>
        <v>139404</v>
      </c>
      <c r="U70" s="317">
        <f ca="1">U52+U34</f>
        <v>40589</v>
      </c>
      <c r="V70" s="317">
        <f ca="1">V52+V34</f>
        <v>3386.56</v>
      </c>
      <c r="W70" s="317">
        <f ca="1">W52+W34</f>
        <v>3214</v>
      </c>
      <c r="X70" s="494">
        <f ca="1">X52+X34</f>
        <v>3161.5605</v>
      </c>
      <c r="Y70" s="495">
        <f ca="1">Y52+Y34</f>
        <v>12717.430499999999</v>
      </c>
      <c r="Z70" s="494">
        <f ca="1">Z52+Z34</f>
        <v>3928.6198385</v>
      </c>
      <c r="AA70" s="494">
        <f ca="1">AA52+AA34</f>
        <v>4583.5866585862495</v>
      </c>
      <c r="AB70" s="494">
        <f ca="1">AB52+AB34</f>
        <v>3435.0271126316907</v>
      </c>
      <c r="AC70" s="494">
        <f ca="1">AC52+AC34</f>
        <v>3649.335237575252</v>
      </c>
      <c r="AD70" s="495">
        <f ca="1">AD52+AD34</f>
        <v>15596.568847293192</v>
      </c>
      <c r="AE70" s="495">
        <f ca="1">AE52+AE34</f>
        <v>16340.631690771386</v>
      </c>
      <c r="AF70" s="495">
        <f ca="1">AF52+AF34</f>
        <v>16800.850281968527</v>
      </c>
      <c r="AG70" s="495">
        <f ca="1">AG52+AG34</f>
        <v>17382.419104547316</v>
      </c>
    </row>
    <row r="71" ht="14.25" customHeight="1" spans="1:33" x14ac:dyDescent="0.25">
      <c r="C71" s="139" t="str">
        <f ca="1">C17&amp;" EBITDA"</f>
        <v>Segment 2 EBITDA</v>
      </c>
      <c r="D71" s="16"/>
      <c r="E71" s="16"/>
      <c r="F71" s="317">
        <f t="shared" ref="F71:AG71" si="67" ca="1">F53+F35</f>
        <v>1e-12</v>
      </c>
      <c r="G71" s="317">
        <f ca="1">G53+G35</f>
        <v>1e-12</v>
      </c>
      <c r="H71" s="317">
        <f ca="1">H53+H35</f>
        <v>1e-12</v>
      </c>
      <c r="I71" s="317">
        <f ca="1">I53+I35</f>
        <v>1e-12</v>
      </c>
      <c r="J71" s="495">
        <f ca="1">J53+J35</f>
        <v>1e-12</v>
      </c>
      <c r="K71" s="317">
        <f ca="1">K53+K35</f>
        <v>1e-12</v>
      </c>
      <c r="L71" s="317">
        <f ca="1">L53+L35</f>
        <v>1e-12</v>
      </c>
      <c r="M71" s="317">
        <f ca="1">M53+M35</f>
        <v>1e-12</v>
      </c>
      <c r="N71" s="317">
        <f ca="1">N53+N35</f>
        <v>1e-12</v>
      </c>
      <c r="O71" s="495">
        <f ca="1">O53+O35</f>
        <v>1e-12</v>
      </c>
      <c r="P71" s="317">
        <f ca="1">P53+P35</f>
        <v>1e-12</v>
      </c>
      <c r="Q71" s="317">
        <f ca="1">Q53+Q35</f>
        <v>1e-12</v>
      </c>
      <c r="R71" s="317">
        <f ca="1">R53+R35</f>
        <v>1e-12</v>
      </c>
      <c r="S71" s="317">
        <f ca="1">S53+S35</f>
        <v>1e-12</v>
      </c>
      <c r="T71" s="495">
        <f ca="1">T53+T35</f>
        <v>1e-12</v>
      </c>
      <c r="U71" s="317">
        <f ca="1">U53+U35</f>
        <v>1e-12</v>
      </c>
      <c r="V71" s="317">
        <f ca="1">V53+V35</f>
        <v>1e-12</v>
      </c>
      <c r="W71" s="317">
        <f ca="1">W53+W35</f>
        <v>1e-12</v>
      </c>
      <c r="X71" s="494">
        <f ca="1">X53+X35</f>
        <v>1e-12</v>
      </c>
      <c r="Y71" s="495">
        <f ca="1">Y53+Y35</f>
        <v>1e-12</v>
      </c>
      <c r="Z71" s="494">
        <f ca="1">Z53+Z35</f>
        <v>1e-12</v>
      </c>
      <c r="AA71" s="494">
        <f ca="1">AA53+AA35</f>
        <v>1e-12</v>
      </c>
      <c r="AB71" s="494">
        <f ca="1">AB53+AB35</f>
        <v>1e-12</v>
      </c>
      <c r="AC71" s="494">
        <f ca="1">AC53+AC35</f>
        <v>1e-12</v>
      </c>
      <c r="AD71" s="495">
        <f ca="1">AD53+AD35</f>
        <v>1e-12</v>
      </c>
      <c r="AE71" s="495">
        <f ca="1">AE53+AE35</f>
        <v>1e-12</v>
      </c>
      <c r="AF71" s="495">
        <f ca="1">AF53+AF35</f>
        <v>1e-12</v>
      </c>
      <c r="AG71" s="495">
        <f ca="1">AG53+AG35</f>
        <v>1e-12</v>
      </c>
    </row>
    <row r="72" ht="14.25" customHeight="1" spans="1:33" x14ac:dyDescent="0.25">
      <c r="C72" s="139" t="str">
        <f ca="1">C18&amp;" EBITDA"</f>
        <v>Segment 3 EBITDA</v>
      </c>
      <c r="D72" s="16"/>
      <c r="E72" s="16"/>
      <c r="F72" s="317">
        <f t="shared" ref="F72:AG72" si="68" ca="1">F54+F36</f>
        <v>1e-12</v>
      </c>
      <c r="G72" s="317">
        <f ca="1">G54+G36</f>
        <v>1e-12</v>
      </c>
      <c r="H72" s="317">
        <f ca="1">H54+H36</f>
        <v>1e-12</v>
      </c>
      <c r="I72" s="317">
        <f ca="1">I54+I36</f>
        <v>1e-12</v>
      </c>
      <c r="J72" s="495">
        <f ca="1">J54+J36</f>
        <v>1e-12</v>
      </c>
      <c r="K72" s="317">
        <f ca="1">K54+K36</f>
        <v>1e-12</v>
      </c>
      <c r="L72" s="317">
        <f ca="1">L54+L36</f>
        <v>1e-12</v>
      </c>
      <c r="M72" s="317">
        <f ca="1">M54+M36</f>
        <v>1e-12</v>
      </c>
      <c r="N72" s="317">
        <f ca="1">N54+N36</f>
        <v>1e-12</v>
      </c>
      <c r="O72" s="495">
        <f ca="1">O54+O36</f>
        <v>1e-12</v>
      </c>
      <c r="P72" s="317">
        <f ca="1">P54+P36</f>
        <v>1e-12</v>
      </c>
      <c r="Q72" s="317">
        <f ca="1">Q54+Q36</f>
        <v>1e-12</v>
      </c>
      <c r="R72" s="317">
        <f ca="1">R54+R36</f>
        <v>1e-12</v>
      </c>
      <c r="S72" s="317">
        <f ca="1">S54+S36</f>
        <v>1e-12</v>
      </c>
      <c r="T72" s="495">
        <f ca="1">T54+T36</f>
        <v>1e-12</v>
      </c>
      <c r="U72" s="317">
        <f ca="1">U54+U36</f>
        <v>1e-12</v>
      </c>
      <c r="V72" s="317">
        <f ca="1">V54+V36</f>
        <v>1e-12</v>
      </c>
      <c r="W72" s="317">
        <f ca="1">W54+W36</f>
        <v>1e-12</v>
      </c>
      <c r="X72" s="494">
        <f ca="1">X54+X36</f>
        <v>1e-12</v>
      </c>
      <c r="Y72" s="495">
        <f ca="1">Y54+Y36</f>
        <v>1e-12</v>
      </c>
      <c r="Z72" s="494">
        <f ca="1">Z54+Z36</f>
        <v>1e-12</v>
      </c>
      <c r="AA72" s="494">
        <f ca="1">AA54+AA36</f>
        <v>1e-12</v>
      </c>
      <c r="AB72" s="494">
        <f ca="1">AB54+AB36</f>
        <v>1e-12</v>
      </c>
      <c r="AC72" s="494">
        <f ca="1">AC54+AC36</f>
        <v>1e-12</v>
      </c>
      <c r="AD72" s="495">
        <f ca="1">AD54+AD36</f>
        <v>1e-12</v>
      </c>
      <c r="AE72" s="495">
        <f ca="1">AE54+AE36</f>
        <v>1e-12</v>
      </c>
      <c r="AF72" s="495">
        <f ca="1">AF54+AF36</f>
        <v>1e-12</v>
      </c>
      <c r="AG72" s="495">
        <f ca="1">AG54+AG36</f>
        <v>1e-12</v>
      </c>
    </row>
    <row r="73" ht="14.25" customHeight="1" spans="1:33" x14ac:dyDescent="0.25">
      <c r="C73" s="139" t="str">
        <f ca="1">C19&amp;" EBITDA"</f>
        <v>Segment 4 EBITDA</v>
      </c>
      <c r="D73" s="16"/>
      <c r="E73" s="16"/>
      <c r="F73" s="317">
        <f t="shared" ref="F73:AG73" si="69" ca="1">F55+F37</f>
        <v>1e-12</v>
      </c>
      <c r="G73" s="317">
        <f ca="1">G55+G37</f>
        <v>1e-12</v>
      </c>
      <c r="H73" s="317">
        <f ca="1">H55+H37</f>
        <v>1e-12</v>
      </c>
      <c r="I73" s="317">
        <f ca="1">I55+I37</f>
        <v>1e-12</v>
      </c>
      <c r="J73" s="495">
        <f ca="1">J55+J37</f>
        <v>1e-12</v>
      </c>
      <c r="K73" s="317">
        <f ca="1">K55+K37</f>
        <v>1e-12</v>
      </c>
      <c r="L73" s="317">
        <f ca="1">L55+L37</f>
        <v>1e-12</v>
      </c>
      <c r="M73" s="317">
        <f ca="1">M55+M37</f>
        <v>1e-12</v>
      </c>
      <c r="N73" s="317">
        <f ca="1">N55+N37</f>
        <v>1e-12</v>
      </c>
      <c r="O73" s="495">
        <f ca="1">O55+O37</f>
        <v>1e-12</v>
      </c>
      <c r="P73" s="317">
        <f ca="1">P55+P37</f>
        <v>1e-12</v>
      </c>
      <c r="Q73" s="317">
        <f ca="1">Q55+Q37</f>
        <v>1e-12</v>
      </c>
      <c r="R73" s="317">
        <f ca="1">R55+R37</f>
        <v>1e-12</v>
      </c>
      <c r="S73" s="317">
        <f ca="1">S55+S37</f>
        <v>1e-12</v>
      </c>
      <c r="T73" s="495">
        <f ca="1">T55+T37</f>
        <v>1e-12</v>
      </c>
      <c r="U73" s="317">
        <f ca="1">U55+U37</f>
        <v>1e-12</v>
      </c>
      <c r="V73" s="317">
        <f ca="1">V55+V37</f>
        <v>1e-12</v>
      </c>
      <c r="W73" s="317">
        <f ca="1">W55+W37</f>
        <v>1e-12</v>
      </c>
      <c r="X73" s="494">
        <f ca="1">X55+X37</f>
        <v>1e-12</v>
      </c>
      <c r="Y73" s="495">
        <f ca="1">Y55+Y37</f>
        <v>1e-12</v>
      </c>
      <c r="Z73" s="494">
        <f ca="1">Z55+Z37</f>
        <v>1e-12</v>
      </c>
      <c r="AA73" s="494">
        <f ca="1">AA55+AA37</f>
        <v>1e-12</v>
      </c>
      <c r="AB73" s="494">
        <f ca="1">AB55+AB37</f>
        <v>1e-12</v>
      </c>
      <c r="AC73" s="494">
        <f ca="1">AC55+AC37</f>
        <v>1e-12</v>
      </c>
      <c r="AD73" s="495">
        <f ca="1">AD55+AD37</f>
        <v>1e-12</v>
      </c>
      <c r="AE73" s="495">
        <f ca="1">AE55+AE37</f>
        <v>1e-12</v>
      </c>
      <c r="AF73" s="495">
        <f ca="1">AF55+AF37</f>
        <v>1e-12</v>
      </c>
      <c r="AG73" s="495">
        <f ca="1">AG55+AG37</f>
        <v>1e-12</v>
      </c>
    </row>
    <row r="74" ht="14.25" customHeight="1" spans="1:33" x14ac:dyDescent="0.25" outlineLevel="1">
      <c r="C74" s="139" t="str">
        <f ca="1">C20&amp;" EBITDA"</f>
        <v>Segment 5 EBITDA</v>
      </c>
      <c r="D74" s="16"/>
      <c r="E74" s="16"/>
      <c r="F74" s="317">
        <f t="shared" ref="F74:AG74" si="70" ca="1">F56+F38</f>
        <v>1e-12</v>
      </c>
      <c r="G74" s="317">
        <f ca="1">G56+G38</f>
        <v>1e-12</v>
      </c>
      <c r="H74" s="317">
        <f ca="1">H56+H38</f>
        <v>1e-12</v>
      </c>
      <c r="I74" s="317">
        <f ca="1">I56+I38</f>
        <v>1e-12</v>
      </c>
      <c r="J74" s="495">
        <f ca="1">J56+J38</f>
        <v>1e-12</v>
      </c>
      <c r="K74" s="317">
        <f ca="1">K56+K38</f>
        <v>1e-12</v>
      </c>
      <c r="L74" s="317">
        <f ca="1">L56+L38</f>
        <v>1e-12</v>
      </c>
      <c r="M74" s="317">
        <f ca="1">M56+M38</f>
        <v>1e-12</v>
      </c>
      <c r="N74" s="317">
        <f ca="1">N56+N38</f>
        <v>1e-12</v>
      </c>
      <c r="O74" s="495">
        <f ca="1">O56+O38</f>
        <v>1e-12</v>
      </c>
      <c r="P74" s="317">
        <f ca="1">P56+P38</f>
        <v>1e-12</v>
      </c>
      <c r="Q74" s="317">
        <f ca="1">Q56+Q38</f>
        <v>1e-12</v>
      </c>
      <c r="R74" s="317">
        <f ca="1">R56+R38</f>
        <v>1e-12</v>
      </c>
      <c r="S74" s="317">
        <f ca="1">S56+S38</f>
        <v>1e-12</v>
      </c>
      <c r="T74" s="495">
        <f ca="1">T56+T38</f>
        <v>1e-12</v>
      </c>
      <c r="U74" s="317">
        <f ca="1">U56+U38</f>
        <v>1e-12</v>
      </c>
      <c r="V74" s="317">
        <f ca="1">V56+V38</f>
        <v>1e-12</v>
      </c>
      <c r="W74" s="317">
        <f ca="1">W56+W38</f>
        <v>1e-12</v>
      </c>
      <c r="X74" s="494">
        <f ca="1">X56+X38</f>
        <v>1e-12</v>
      </c>
      <c r="Y74" s="495">
        <f ca="1">Y56+Y38</f>
        <v>1e-12</v>
      </c>
      <c r="Z74" s="494">
        <f ca="1">Z56+Z38</f>
        <v>1e-12</v>
      </c>
      <c r="AA74" s="494">
        <f ca="1">AA56+AA38</f>
        <v>1e-12</v>
      </c>
      <c r="AB74" s="494">
        <f ca="1">AB56+AB38</f>
        <v>1e-12</v>
      </c>
      <c r="AC74" s="494">
        <f ca="1">AC56+AC38</f>
        <v>1e-12</v>
      </c>
      <c r="AD74" s="495">
        <f ca="1">AD56+AD38</f>
        <v>1e-12</v>
      </c>
      <c r="AE74" s="495">
        <f ca="1">AE56+AE38</f>
        <v>1e-12</v>
      </c>
      <c r="AF74" s="495">
        <f ca="1">AF56+AF38</f>
        <v>1e-12</v>
      </c>
      <c r="AG74" s="495">
        <f ca="1">AG56+AG38</f>
        <v>1e-12</v>
      </c>
    </row>
    <row r="75" ht="14.25" customHeight="1" spans="1:33" x14ac:dyDescent="0.25" outlineLevel="1">
      <c r="C75" s="139" t="str">
        <f ca="1">C21&amp;" EBITDA"</f>
        <v>Segment 6 EBITDA</v>
      </c>
      <c r="D75" s="16"/>
      <c r="E75" s="16"/>
      <c r="F75" s="317">
        <f t="shared" ref="F75:AG75" si="71" ca="1">F57+F39</f>
        <v>1e-12</v>
      </c>
      <c r="G75" s="317">
        <f ca="1">G57+G39</f>
        <v>1e-12</v>
      </c>
      <c r="H75" s="317">
        <f ca="1">H57+H39</f>
        <v>1e-12</v>
      </c>
      <c r="I75" s="317">
        <f ca="1">I57+I39</f>
        <v>1e-12</v>
      </c>
      <c r="J75" s="495">
        <f ca="1">J57+J39</f>
        <v>1e-12</v>
      </c>
      <c r="K75" s="317">
        <f ca="1">K57+K39</f>
        <v>1e-12</v>
      </c>
      <c r="L75" s="317">
        <f ca="1">L57+L39</f>
        <v>1e-12</v>
      </c>
      <c r="M75" s="317">
        <f ca="1">M57+M39</f>
        <v>1e-12</v>
      </c>
      <c r="N75" s="317">
        <f ca="1">N57+N39</f>
        <v>1e-12</v>
      </c>
      <c r="O75" s="495">
        <f ca="1">O57+O39</f>
        <v>1e-12</v>
      </c>
      <c r="P75" s="317">
        <f ca="1">P57+P39</f>
        <v>1e-12</v>
      </c>
      <c r="Q75" s="317">
        <f ca="1">Q57+Q39</f>
        <v>1e-12</v>
      </c>
      <c r="R75" s="317">
        <f ca="1">R57+R39</f>
        <v>1e-12</v>
      </c>
      <c r="S75" s="317">
        <f ca="1">S57+S39</f>
        <v>1e-12</v>
      </c>
      <c r="T75" s="495">
        <f ca="1">T57+T39</f>
        <v>1e-12</v>
      </c>
      <c r="U75" s="317">
        <f ca="1">U57+U39</f>
        <v>1e-12</v>
      </c>
      <c r="V75" s="317">
        <f ca="1">V57+V39</f>
        <v>1e-12</v>
      </c>
      <c r="W75" s="317">
        <f ca="1">W57+W39</f>
        <v>1e-12</v>
      </c>
      <c r="X75" s="494">
        <f ca="1">X57+X39</f>
        <v>1e-12</v>
      </c>
      <c r="Y75" s="495">
        <f ca="1">Y57+Y39</f>
        <v>1e-12</v>
      </c>
      <c r="Z75" s="494">
        <f ca="1">Z57+Z39</f>
        <v>1e-12</v>
      </c>
      <c r="AA75" s="494">
        <f ca="1">AA57+AA39</f>
        <v>1e-12</v>
      </c>
      <c r="AB75" s="494">
        <f ca="1">AB57+AB39</f>
        <v>1e-12</v>
      </c>
      <c r="AC75" s="494">
        <f ca="1">AC57+AC39</f>
        <v>1e-12</v>
      </c>
      <c r="AD75" s="495">
        <f ca="1">AD57+AD39</f>
        <v>1e-12</v>
      </c>
      <c r="AE75" s="495">
        <f ca="1">AE57+AE39</f>
        <v>1e-12</v>
      </c>
      <c r="AF75" s="495">
        <f ca="1">AF57+AF39</f>
        <v>1e-12</v>
      </c>
      <c r="AG75" s="495">
        <f ca="1">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72" ca="1">C16</f>
        <v>Home Improvement Retail</v>
      </c>
      <c r="D78" s="16"/>
      <c r="E78" s="16"/>
      <c r="F78" s="377">
        <f t="shared" ref="F78:AG78" si="73" ca="1">IFERROR(F70/F$69,"N/A")</f>
        <v>1</v>
      </c>
      <c r="G78" s="377">
        <f ca="1">IFERROR(G70/G$69,"N/A")</f>
        <v>1</v>
      </c>
      <c r="H78" s="377">
        <f ca="1">IFERROR(H70/H$69,"N/A")</f>
        <v>1</v>
      </c>
      <c r="I78" s="377">
        <f ca="1">IFERROR(I70/I$69,"N/A")</f>
        <v>1</v>
      </c>
      <c r="J78" s="378">
        <f ca="1">IFERROR(J70/J$69,"N/A")</f>
        <v>1</v>
      </c>
      <c r="K78" s="377">
        <f ca="1">IFERROR(K70/K$69,"N/A")</f>
        <v>1</v>
      </c>
      <c r="L78" s="377">
        <f ca="1">IFERROR(L70/L$69,"N/A")</f>
        <v>1</v>
      </c>
      <c r="M78" s="377">
        <f ca="1">IFERROR(M70/M$69,"N/A")</f>
        <v>1</v>
      </c>
      <c r="N78" s="377">
        <f ca="1">IFERROR(N70/N$69,"N/A")</f>
        <v>1</v>
      </c>
      <c r="O78" s="378">
        <f ca="1">IFERROR(O70/O$69,"N/A")</f>
        <v>1</v>
      </c>
      <c r="P78" s="377">
        <f ca="1">IFERROR(P70/P$69,"N/A")</f>
        <v>1</v>
      </c>
      <c r="Q78" s="377">
        <f ca="1">IFERROR(Q70/Q$69,"N/A")</f>
        <v>1</v>
      </c>
      <c r="R78" s="377">
        <f ca="1">IFERROR(R70/R$69,"N/A")</f>
        <v>1</v>
      </c>
      <c r="S78" s="377">
        <f ca="1">IFERROR(S70/S$69,"N/A")</f>
        <v>1</v>
      </c>
      <c r="T78" s="378">
        <f ca="1">IFERROR(T70/T$69,"N/A")</f>
        <v>1</v>
      </c>
      <c r="U78" s="377">
        <f ca="1">IFERROR(U70/U$69,"N/A")</f>
        <v>1</v>
      </c>
      <c r="V78" s="377">
        <f ca="1">IFERROR(V70/V$69,"N/A")</f>
        <v>1</v>
      </c>
      <c r="W78" s="377">
        <f ca="1">IFERROR(W70/W$69,"N/A")</f>
        <v>1</v>
      </c>
      <c r="X78" s="379">
        <f ca="1">IFERROR(X70/X$69,"N/A")</f>
        <v>1</v>
      </c>
      <c r="Y78" s="378">
        <f ca="1">IFERROR(Y70/Y$69,"N/A")</f>
        <v>1</v>
      </c>
      <c r="Z78" s="379">
        <f ca="1">IFERROR(Z70/Z$69,"N/A")</f>
        <v>1</v>
      </c>
      <c r="AA78" s="379">
        <f ca="1">IFERROR(AA70/AA$69,"N/A")</f>
        <v>1</v>
      </c>
      <c r="AB78" s="379">
        <f ca="1">IFERROR(AB70/AB$69,"N/A")</f>
        <v>1</v>
      </c>
      <c r="AC78" s="379">
        <f ca="1">IFERROR(AC70/AC$69,"N/A")</f>
        <v>1</v>
      </c>
      <c r="AD78" s="378">
        <f ca="1">IFERROR(AD70/AD$69,"N/A")</f>
        <v>1</v>
      </c>
      <c r="AE78" s="378">
        <f ca="1">IFERROR(AE70/AE$69,"N/A")</f>
        <v>1</v>
      </c>
      <c r="AF78" s="378">
        <f ca="1">IFERROR(AF70/AF$69,"N/A")</f>
        <v>1</v>
      </c>
      <c r="AG78" s="378">
        <f ca="1">IFERROR(AG70/AG$69,"N/A")</f>
        <v>1</v>
      </c>
    </row>
    <row r="79" ht="14.25" customHeight="1" spans="1:33" x14ac:dyDescent="0.25">
      <c r="C79" s="139" t="str">
        <f ca="1">C17</f>
        <v>Segment 2</v>
      </c>
      <c r="D79" s="16"/>
      <c r="E79" s="16"/>
      <c r="F79" s="377">
        <f t="shared" ref="F79:AG79" si="74" ca="1">IFERROR(F71/F$69,"N/A")</f>
        <v>0</v>
      </c>
      <c r="G79" s="377">
        <f ca="1">IFERROR(G71/G$69,"N/A")</f>
      </c>
      <c r="H79" s="377">
        <f ca="1">IFERROR(H71/H$69,"N/A")</f>
      </c>
      <c r="I79" s="377">
        <f ca="1">IFERROR(I71/I$69,"N/A")</f>
      </c>
      <c r="J79" s="378">
        <f ca="1">IFERROR(J71/J$69,"N/A")</f>
      </c>
      <c r="K79" s="377">
        <f ca="1">IFERROR(K71/K$69,"N/A")</f>
      </c>
      <c r="L79" s="377">
        <f ca="1">IFERROR(L71/L$69,"N/A")</f>
      </c>
      <c r="M79" s="377">
        <f ca="1">IFERROR(M71/M$69,"N/A")</f>
      </c>
      <c r="N79" s="377">
        <f ca="1">IFERROR(N71/N$69,"N/A")</f>
      </c>
      <c r="O79" s="378">
        <f ca="1">IFERROR(O71/O$69,"N/A")</f>
      </c>
      <c r="P79" s="377">
        <f ca="1">IFERROR(P71/P$69,"N/A")</f>
      </c>
      <c r="Q79" s="377">
        <f ca="1">IFERROR(Q71/Q$69,"N/A")</f>
      </c>
      <c r="R79" s="377">
        <f ca="1">IFERROR(R71/R$69,"N/A")</f>
      </c>
      <c r="S79" s="377">
        <f ca="1">IFERROR(S71/S$69,"N/A")</f>
      </c>
      <c r="T79" s="378">
        <f ca="1">IFERROR(T71/T$69,"N/A")</f>
      </c>
      <c r="U79" s="377">
        <f ca="1">IFERROR(U71/U$69,"N/A")</f>
      </c>
      <c r="V79" s="377">
        <f ca="1">IFERROR(V71/V$69,"N/A")</f>
      </c>
      <c r="W79" s="377">
        <f ca="1">IFERROR(W71/W$69,"N/A")</f>
      </c>
      <c r="X79" s="379">
        <f ca="1">IFERROR(X71/X$69,"N/A")</f>
      </c>
      <c r="Y79" s="378">
        <f ca="1">IFERROR(Y71/Y$69,"N/A")</f>
      </c>
      <c r="Z79" s="379">
        <f ca="1">IFERROR(Z71/Z$69,"N/A")</f>
      </c>
      <c r="AA79" s="379">
        <f ca="1">IFERROR(AA71/AA$69,"N/A")</f>
      </c>
      <c r="AB79" s="379">
        <f ca="1">IFERROR(AB71/AB$69,"N/A")</f>
      </c>
      <c r="AC79" s="379">
        <f ca="1">IFERROR(AC71/AC$69,"N/A")</f>
      </c>
      <c r="AD79" s="378">
        <f ca="1">IFERROR(AD71/AD$69,"N/A")</f>
      </c>
      <c r="AE79" s="378">
        <f ca="1">IFERROR(AE71/AE$69,"N/A")</f>
      </c>
      <c r="AF79" s="378">
        <f ca="1">IFERROR(AF71/AF$69,"N/A")</f>
      </c>
      <c r="AG79" s="378">
        <f ca="1">IFERROR(AG71/AG$69,"N/A")</f>
      </c>
    </row>
    <row r="80" ht="14.25" customHeight="1" spans="1:33" x14ac:dyDescent="0.25">
      <c r="C80" s="139" t="str">
        <f ca="1">C18</f>
        <v>Segment 3</v>
      </c>
      <c r="D80" s="16"/>
      <c r="E80" s="16"/>
      <c r="F80" s="377">
        <f t="shared" ref="F80:AG80" si="75" ca="1">IFERROR(F72/F$69,"N/A")</f>
        <v>0</v>
      </c>
      <c r="G80" s="377">
        <f ca="1">IFERROR(G72/G$69,"N/A")</f>
      </c>
      <c r="H80" s="377">
        <f ca="1">IFERROR(H72/H$69,"N/A")</f>
      </c>
      <c r="I80" s="377">
        <f ca="1">IFERROR(I72/I$69,"N/A")</f>
      </c>
      <c r="J80" s="378">
        <f ca="1">IFERROR(J72/J$69,"N/A")</f>
      </c>
      <c r="K80" s="377">
        <f ca="1">IFERROR(K72/K$69,"N/A")</f>
      </c>
      <c r="L80" s="377">
        <f ca="1">IFERROR(L72/L$69,"N/A")</f>
      </c>
      <c r="M80" s="377">
        <f ca="1">IFERROR(M72/M$69,"N/A")</f>
      </c>
      <c r="N80" s="377">
        <f ca="1">IFERROR(N72/N$69,"N/A")</f>
      </c>
      <c r="O80" s="378">
        <f ca="1">IFERROR(O72/O$69,"N/A")</f>
      </c>
      <c r="P80" s="377">
        <f ca="1">IFERROR(P72/P$69,"N/A")</f>
      </c>
      <c r="Q80" s="377">
        <f ca="1">IFERROR(Q72/Q$69,"N/A")</f>
      </c>
      <c r="R80" s="377">
        <f ca="1">IFERROR(R72/R$69,"N/A")</f>
      </c>
      <c r="S80" s="377">
        <f ca="1">IFERROR(S72/S$69,"N/A")</f>
      </c>
      <c r="T80" s="378">
        <f ca="1">IFERROR(T72/T$69,"N/A")</f>
      </c>
      <c r="U80" s="377">
        <f ca="1">IFERROR(U72/U$69,"N/A")</f>
      </c>
      <c r="V80" s="377">
        <f ca="1">IFERROR(V72/V$69,"N/A")</f>
      </c>
      <c r="W80" s="377">
        <f ca="1">IFERROR(W72/W$69,"N/A")</f>
      </c>
      <c r="X80" s="379">
        <f ca="1">IFERROR(X72/X$69,"N/A")</f>
      </c>
      <c r="Y80" s="378">
        <f ca="1">IFERROR(Y72/Y$69,"N/A")</f>
      </c>
      <c r="Z80" s="379">
        <f ca="1">IFERROR(Z72/Z$69,"N/A")</f>
      </c>
      <c r="AA80" s="379">
        <f ca="1">IFERROR(AA72/AA$69,"N/A")</f>
      </c>
      <c r="AB80" s="379">
        <f ca="1">IFERROR(AB72/AB$69,"N/A")</f>
      </c>
      <c r="AC80" s="379">
        <f ca="1">IFERROR(AC72/AC$69,"N/A")</f>
      </c>
      <c r="AD80" s="378">
        <f ca="1">IFERROR(AD72/AD$69,"N/A")</f>
      </c>
      <c r="AE80" s="378">
        <f ca="1">IFERROR(AE72/AE$69,"N/A")</f>
      </c>
      <c r="AF80" s="378">
        <f ca="1">IFERROR(AF72/AF$69,"N/A")</f>
      </c>
      <c r="AG80" s="378">
        <f ca="1">IFERROR(AG72/AG$69,"N/A")</f>
      </c>
    </row>
    <row r="81" ht="14.25" customHeight="1" spans="1:33" x14ac:dyDescent="0.25">
      <c r="C81" s="139" t="str">
        <f ca="1">C19</f>
        <v>Segment 4</v>
      </c>
      <c r="D81" s="16"/>
      <c r="E81" s="16"/>
      <c r="F81" s="377">
        <f t="shared" ref="F81:AG81" si="76" ca="1">IFERROR(F73/F$69,"N/A")</f>
        <v>0</v>
      </c>
      <c r="G81" s="377">
        <f ca="1">IFERROR(G73/G$69,"N/A")</f>
      </c>
      <c r="H81" s="377">
        <f ca="1">IFERROR(H73/H$69,"N/A")</f>
      </c>
      <c r="I81" s="377">
        <f ca="1">IFERROR(I73/I$69,"N/A")</f>
      </c>
      <c r="J81" s="378">
        <f ca="1">IFERROR(J73/J$69,"N/A")</f>
      </c>
      <c r="K81" s="377">
        <f ca="1">IFERROR(K73/K$69,"N/A")</f>
      </c>
      <c r="L81" s="377">
        <f ca="1">IFERROR(L73/L$69,"N/A")</f>
      </c>
      <c r="M81" s="377">
        <f ca="1">IFERROR(M73/M$69,"N/A")</f>
      </c>
      <c r="N81" s="377">
        <f ca="1">IFERROR(N73/N$69,"N/A")</f>
      </c>
      <c r="O81" s="378">
        <f ca="1">IFERROR(O73/O$69,"N/A")</f>
      </c>
      <c r="P81" s="377">
        <f ca="1">IFERROR(P73/P$69,"N/A")</f>
      </c>
      <c r="Q81" s="377">
        <f ca="1">IFERROR(Q73/Q$69,"N/A")</f>
      </c>
      <c r="R81" s="377">
        <f ca="1">IFERROR(R73/R$69,"N/A")</f>
      </c>
      <c r="S81" s="377">
        <f ca="1">IFERROR(S73/S$69,"N/A")</f>
      </c>
      <c r="T81" s="378">
        <f ca="1">IFERROR(T73/T$69,"N/A")</f>
      </c>
      <c r="U81" s="377">
        <f ca="1">IFERROR(U73/U$69,"N/A")</f>
      </c>
      <c r="V81" s="377">
        <f ca="1">IFERROR(V73/V$69,"N/A")</f>
      </c>
      <c r="W81" s="377">
        <f ca="1">IFERROR(W73/W$69,"N/A")</f>
      </c>
      <c r="X81" s="379">
        <f ca="1">IFERROR(X73/X$69,"N/A")</f>
      </c>
      <c r="Y81" s="378">
        <f ca="1">IFERROR(Y73/Y$69,"N/A")</f>
      </c>
      <c r="Z81" s="379">
        <f ca="1">IFERROR(Z73/Z$69,"N/A")</f>
      </c>
      <c r="AA81" s="379">
        <f ca="1">IFERROR(AA73/AA$69,"N/A")</f>
      </c>
      <c r="AB81" s="379">
        <f ca="1">IFERROR(AB73/AB$69,"N/A")</f>
      </c>
      <c r="AC81" s="379">
        <f ca="1">IFERROR(AC73/AC$69,"N/A")</f>
      </c>
      <c r="AD81" s="378">
        <f ca="1">IFERROR(AD73/AD$69,"N/A")</f>
      </c>
      <c r="AE81" s="378">
        <f ca="1">IFERROR(AE73/AE$69,"N/A")</f>
      </c>
      <c r="AF81" s="378">
        <f ca="1">IFERROR(AF73/AF$69,"N/A")</f>
      </c>
      <c r="AG81" s="378">
        <f ca="1">IFERROR(AG73/AG$69,"N/A")</f>
      </c>
    </row>
    <row r="82" ht="14.25" customHeight="1" spans="1:33" x14ac:dyDescent="0.25" outlineLevel="1">
      <c r="C82" s="139" t="str">
        <f ca="1">C20</f>
        <v>Segment 5</v>
      </c>
      <c r="D82" s="16"/>
      <c r="E82" s="16"/>
      <c r="F82" s="377">
        <f t="shared" ref="F82:AG82" si="77" ca="1">IFERROR(F74/F$69,"N/A")</f>
        <v>0</v>
      </c>
      <c r="G82" s="377">
        <f ca="1">IFERROR(G74/G$69,"N/A")</f>
      </c>
      <c r="H82" s="377">
        <f ca="1">IFERROR(H74/H$69,"N/A")</f>
      </c>
      <c r="I82" s="377">
        <f ca="1">IFERROR(I74/I$69,"N/A")</f>
      </c>
      <c r="J82" s="378">
        <f ca="1">IFERROR(J74/J$69,"N/A")</f>
      </c>
      <c r="K82" s="377">
        <f ca="1">IFERROR(K74/K$69,"N/A")</f>
      </c>
      <c r="L82" s="377">
        <f ca="1">IFERROR(L74/L$69,"N/A")</f>
      </c>
      <c r="M82" s="377">
        <f ca="1">IFERROR(M74/M$69,"N/A")</f>
      </c>
      <c r="N82" s="377">
        <f ca="1">IFERROR(N74/N$69,"N/A")</f>
      </c>
      <c r="O82" s="378">
        <f ca="1">IFERROR(O74/O$69,"N/A")</f>
      </c>
      <c r="P82" s="377">
        <f ca="1">IFERROR(P74/P$69,"N/A")</f>
      </c>
      <c r="Q82" s="377">
        <f ca="1">IFERROR(Q74/Q$69,"N/A")</f>
      </c>
      <c r="R82" s="377">
        <f ca="1">IFERROR(R74/R$69,"N/A")</f>
      </c>
      <c r="S82" s="377">
        <f ca="1">IFERROR(S74/S$69,"N/A")</f>
      </c>
      <c r="T82" s="378">
        <f ca="1">IFERROR(T74/T$69,"N/A")</f>
      </c>
      <c r="U82" s="377">
        <f ca="1">IFERROR(U74/U$69,"N/A")</f>
      </c>
      <c r="V82" s="377">
        <f ca="1">IFERROR(V74/V$69,"N/A")</f>
      </c>
      <c r="W82" s="377">
        <f ca="1">IFERROR(W74/W$69,"N/A")</f>
      </c>
      <c r="X82" s="379">
        <f ca="1">IFERROR(X74/X$69,"N/A")</f>
      </c>
      <c r="Y82" s="378">
        <f ca="1">IFERROR(Y74/Y$69,"N/A")</f>
      </c>
      <c r="Z82" s="379">
        <f ca="1">IFERROR(Z74/Z$69,"N/A")</f>
      </c>
      <c r="AA82" s="379">
        <f ca="1">IFERROR(AA74/AA$69,"N/A")</f>
      </c>
      <c r="AB82" s="379">
        <f ca="1">IFERROR(AB74/AB$69,"N/A")</f>
      </c>
      <c r="AC82" s="379">
        <f ca="1">IFERROR(AC74/AC$69,"N/A")</f>
      </c>
      <c r="AD82" s="378">
        <f ca="1">IFERROR(AD74/AD$69,"N/A")</f>
      </c>
      <c r="AE82" s="378">
        <f ca="1">IFERROR(AE74/AE$69,"N/A")</f>
      </c>
      <c r="AF82" s="378">
        <f ca="1">IFERROR(AF74/AF$69,"N/A")</f>
      </c>
      <c r="AG82" s="378">
        <f ca="1">IFERROR(AG74/AG$69,"N/A")</f>
      </c>
    </row>
    <row r="83" ht="14.25" customHeight="1" spans="1:33" x14ac:dyDescent="0.25" outlineLevel="1">
      <c r="C83" s="139" t="str">
        <f ca="1">C21</f>
        <v>Segment 6</v>
      </c>
      <c r="D83" s="16"/>
      <c r="E83" s="16"/>
      <c r="F83" s="377">
        <f t="shared" ref="F83:AG83" si="78" ca="1">IFERROR(F75/F$69,"N/A")</f>
        <v>0</v>
      </c>
      <c r="G83" s="377">
        <f ca="1">IFERROR(G75/G$69,"N/A")</f>
      </c>
      <c r="H83" s="377">
        <f ca="1">IFERROR(H75/H$69,"N/A")</f>
      </c>
      <c r="I83" s="377">
        <f ca="1">IFERROR(I75/I$69,"N/A")</f>
      </c>
      <c r="J83" s="378">
        <f ca="1">IFERROR(J75/J$69,"N/A")</f>
      </c>
      <c r="K83" s="377">
        <f ca="1">IFERROR(K75/K$69,"N/A")</f>
      </c>
      <c r="L83" s="377">
        <f ca="1">IFERROR(L75/L$69,"N/A")</f>
      </c>
      <c r="M83" s="377">
        <f ca="1">IFERROR(M75/M$69,"N/A")</f>
      </c>
      <c r="N83" s="377">
        <f ca="1">IFERROR(N75/N$69,"N/A")</f>
      </c>
      <c r="O83" s="378">
        <f ca="1">IFERROR(O75/O$69,"N/A")</f>
      </c>
      <c r="P83" s="377">
        <f ca="1">IFERROR(P75/P$69,"N/A")</f>
      </c>
      <c r="Q83" s="377">
        <f ca="1">IFERROR(Q75/Q$69,"N/A")</f>
      </c>
      <c r="R83" s="377">
        <f ca="1">IFERROR(R75/R$69,"N/A")</f>
      </c>
      <c r="S83" s="377">
        <f ca="1">IFERROR(S75/S$69,"N/A")</f>
      </c>
      <c r="T83" s="378">
        <f ca="1">IFERROR(T75/T$69,"N/A")</f>
      </c>
      <c r="U83" s="377">
        <f ca="1">IFERROR(U75/U$69,"N/A")</f>
      </c>
      <c r="V83" s="377">
        <f ca="1">IFERROR(V75/V$69,"N/A")</f>
      </c>
      <c r="W83" s="377">
        <f ca="1">IFERROR(W75/W$69,"N/A")</f>
      </c>
      <c r="X83" s="379">
        <f ca="1">IFERROR(X75/X$69,"N/A")</f>
      </c>
      <c r="Y83" s="378">
        <f ca="1">IFERROR(Y75/Y$69,"N/A")</f>
      </c>
      <c r="Z83" s="379">
        <f ca="1">IFERROR(Z75/Z$69,"N/A")</f>
      </c>
      <c r="AA83" s="379">
        <f ca="1">IFERROR(AA75/AA$69,"N/A")</f>
      </c>
      <c r="AB83" s="379">
        <f ca="1">IFERROR(AB75/AB$69,"N/A")</f>
      </c>
      <c r="AC83" s="379">
        <f ca="1">IFERROR(AC75/AC$69,"N/A")</f>
      </c>
      <c r="AD83" s="378">
        <f ca="1">IFERROR(AD75/AD$69,"N/A")</f>
      </c>
      <c r="AE83" s="378">
        <f ca="1">IFERROR(AE75/AE$69,"N/A")</f>
      </c>
      <c r="AF83" s="378">
        <f ca="1">IFERROR(AF75/AF$69,"N/A")</f>
      </c>
      <c r="AG83" s="378">
        <f ca="1">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79" ca="1">SUM(F89:F93)</f>
        <v>1e-12</v>
      </c>
      <c r="G88" s="498">
        <f ca="1">SUM(G89:G93)</f>
        <v>1e-12</v>
      </c>
      <c r="H88" s="498">
        <f ca="1">SUM(H89:H93)</f>
        <v>1e-12</v>
      </c>
      <c r="I88" s="498">
        <f ca="1">SUM(I89:I93)</f>
        <v>1e-12</v>
      </c>
      <c r="J88" s="287">
        <f t="shared" ref="J88:J93" si="80" ca="1">SUM(F88:I88)</f>
        <v>1e-12</v>
      </c>
      <c r="K88" s="498">
        <f t="shared" ref="K88:N88" si="81" ca="1">SUM(K89:K93)</f>
        <v>1e-12</v>
      </c>
      <c r="L88" s="498">
        <f ca="1">SUM(L89:L93)</f>
        <v>1e-12</v>
      </c>
      <c r="M88" s="498">
        <f ca="1">SUM(M89:M93)</f>
        <v>1e-12</v>
      </c>
      <c r="N88" s="498">
        <f ca="1">SUM(N89:N93)</f>
        <v>1e-12</v>
      </c>
      <c r="O88" s="287">
        <f t="shared" ref="O88:O93" si="82" ca="1">SUM(K88:N88)</f>
        <v>1e-12</v>
      </c>
      <c r="P88" s="498">
        <f t="shared" ref="P88:S88" si="83" ca="1">SUM(P89:P93)</f>
        <v>1e-12</v>
      </c>
      <c r="Q88" s="498">
        <f ca="1">SUM(Q89:Q93)</f>
        <v>1e-12</v>
      </c>
      <c r="R88" s="498">
        <f ca="1">SUM(R89:R93)</f>
        <v>1e-12</v>
      </c>
      <c r="S88" s="498">
        <f ca="1">SUM(S89:S93)</f>
        <v>1e-12</v>
      </c>
      <c r="T88" s="287">
        <f t="shared" ref="T88:T93" si="84" ca="1">SUM(P88:S88)</f>
        <v>1e-12</v>
      </c>
      <c r="U88" s="498">
        <f t="shared" ref="U88:X88" si="85" ca="1">SUM(U89:U93)</f>
        <v>1e-12</v>
      </c>
      <c r="V88" s="498">
        <f ca="1">SUM(V89:V93)</f>
        <v>1e-12</v>
      </c>
      <c r="W88" s="498">
        <f ca="1">SUM(W89:W93)</f>
        <v>1e-12</v>
      </c>
      <c r="X88" s="499">
        <f ca="1">SUM(X89:X93)</f>
        <v>1e-12</v>
      </c>
      <c r="Y88" s="287">
        <f t="shared" ref="Y88:Y93" si="86" ca="1">SUM(U88:X88)</f>
        <v>1e-12</v>
      </c>
      <c r="Z88" s="499">
        <f t="shared" ref="Z88:AC88" si="87" ca="1">SUM(Z89:Z93)</f>
        <v>1e-12</v>
      </c>
      <c r="AA88" s="499">
        <f ca="1">SUM(AA89:AA93)</f>
        <v>1e-12</v>
      </c>
      <c r="AB88" s="499">
        <f ca="1">SUM(AB89:AB93)</f>
        <v>1e-12</v>
      </c>
      <c r="AC88" s="499">
        <f ca="1">SUM(AC89:AC93)</f>
        <v>1e-12</v>
      </c>
      <c r="AD88" s="287">
        <f t="shared" ref="AD88:AD93" si="88" ca="1">SUM(Z88:AC88)</f>
        <v>1e-12</v>
      </c>
      <c r="AE88" s="500">
        <f t="shared" ref="AE88:AG88" si="89" ca="1">SUM(AE89:AE93)</f>
        <v>1e-12</v>
      </c>
      <c r="AF88" s="500">
        <f ca="1">SUM(AF89:AF93)</f>
        <v>1e-12</v>
      </c>
      <c r="AG88" s="500">
        <f ca="1">SUM(AG89:AG93)</f>
        <v>1e-12</v>
      </c>
    </row>
    <row r="89" ht="14.25" customHeight="1" hidden="1" spans="1:33" x14ac:dyDescent="0.25" outlineLevel="1">
      <c r="C89" s="476" t="s">
        <v>465</v>
      </c>
      <c r="D89" s="16"/>
      <c r="E89" s="16"/>
      <c r="F89" s="469">
        <v>0</v>
      </c>
      <c r="G89" s="469">
        <v>0</v>
      </c>
      <c r="H89" s="469">
        <v>0</v>
      </c>
      <c r="I89" s="469">
        <v>0</v>
      </c>
      <c r="J89" s="470">
        <f ca="1">SUM(F89:I89)</f>
        <v>1e-12</v>
      </c>
      <c r="K89" s="469">
        <v>0</v>
      </c>
      <c r="L89" s="469">
        <v>0</v>
      </c>
      <c r="M89" s="469">
        <v>0</v>
      </c>
      <c r="N89" s="469">
        <v>0</v>
      </c>
      <c r="O89" s="470">
        <f ca="1">SUM(K89:N89)</f>
        <v>1e-12</v>
      </c>
      <c r="P89" s="469">
        <v>0</v>
      </c>
      <c r="Q89" s="469">
        <v>0</v>
      </c>
      <c r="R89" s="469">
        <v>0</v>
      </c>
      <c r="S89" s="469">
        <v>0</v>
      </c>
      <c r="T89" s="470">
        <f ca="1">SUM(P89:S89)</f>
        <v>1e-12</v>
      </c>
      <c r="U89" s="469">
        <v>0</v>
      </c>
      <c r="V89" s="469">
        <v>0</v>
      </c>
      <c r="W89" s="469">
        <v>0</v>
      </c>
      <c r="X89" s="477">
        <v>0</v>
      </c>
      <c r="Y89" s="470">
        <f ca="1">SUM(U89:X89)</f>
        <v>1e-12</v>
      </c>
      <c r="Z89" s="477">
        <v>0</v>
      </c>
      <c r="AA89" s="477">
        <v>0</v>
      </c>
      <c r="AB89" s="477">
        <v>0</v>
      </c>
      <c r="AC89" s="477">
        <v>0</v>
      </c>
      <c r="AD89" s="470">
        <f ca="1">SUM(Z89:AC89)</f>
        <v>1e-12</v>
      </c>
      <c r="AE89" s="478">
        <v>0</v>
      </c>
      <c r="AF89" s="478">
        <v>0</v>
      </c>
      <c r="AG89" s="478">
        <v>0</v>
      </c>
    </row>
    <row r="90" ht="14.25" customHeight="1" hidden="1" spans="1:33" x14ac:dyDescent="0.25" outlineLevel="1">
      <c r="C90" s="476" t="s">
        <v>466</v>
      </c>
      <c r="D90" s="16"/>
      <c r="E90" s="16"/>
      <c r="F90" s="469">
        <v>0</v>
      </c>
      <c r="G90" s="469">
        <v>0</v>
      </c>
      <c r="H90" s="469">
        <v>0</v>
      </c>
      <c r="I90" s="469">
        <v>0</v>
      </c>
      <c r="J90" s="470">
        <f ca="1">SUM(F90:I90)</f>
        <v>1e-12</v>
      </c>
      <c r="K90" s="469">
        <v>0</v>
      </c>
      <c r="L90" s="469">
        <v>0</v>
      </c>
      <c r="M90" s="469">
        <v>0</v>
      </c>
      <c r="N90" s="469">
        <v>0</v>
      </c>
      <c r="O90" s="470">
        <f ca="1">SUM(K90:N90)</f>
        <v>1e-12</v>
      </c>
      <c r="P90" s="469">
        <v>0</v>
      </c>
      <c r="Q90" s="469">
        <v>0</v>
      </c>
      <c r="R90" s="469">
        <v>0</v>
      </c>
      <c r="S90" s="469">
        <v>0</v>
      </c>
      <c r="T90" s="470">
        <f ca="1">SUM(P90:S90)</f>
        <v>1e-12</v>
      </c>
      <c r="U90" s="469">
        <v>0</v>
      </c>
      <c r="V90" s="469">
        <v>0</v>
      </c>
      <c r="W90" s="469">
        <v>0</v>
      </c>
      <c r="X90" s="477">
        <v>0</v>
      </c>
      <c r="Y90" s="470">
        <f ca="1">SUM(U90:X90)</f>
        <v>1e-12</v>
      </c>
      <c r="Z90" s="477">
        <v>0</v>
      </c>
      <c r="AA90" s="477">
        <v>0</v>
      </c>
      <c r="AB90" s="477">
        <v>0</v>
      </c>
      <c r="AC90" s="477">
        <v>0</v>
      </c>
      <c r="AD90" s="470">
        <f ca="1">SUM(Z90:AC90)</f>
        <v>1e-12</v>
      </c>
      <c r="AE90" s="478">
        <v>0</v>
      </c>
      <c r="AF90" s="478">
        <v>0</v>
      </c>
      <c r="AG90" s="478">
        <v>0</v>
      </c>
    </row>
    <row r="91" ht="14.25" customHeight="1" hidden="1" spans="1:33" x14ac:dyDescent="0.25" outlineLevel="1">
      <c r="C91" s="476" t="s">
        <v>467</v>
      </c>
      <c r="D91" s="16"/>
      <c r="E91" s="16"/>
      <c r="F91" s="469">
        <v>0</v>
      </c>
      <c r="G91" s="469">
        <v>0</v>
      </c>
      <c r="H91" s="469">
        <v>0</v>
      </c>
      <c r="I91" s="469">
        <v>0</v>
      </c>
      <c r="J91" s="470">
        <f ca="1">SUM(F91:I91)</f>
        <v>1e-12</v>
      </c>
      <c r="K91" s="469">
        <v>0</v>
      </c>
      <c r="L91" s="469">
        <v>0</v>
      </c>
      <c r="M91" s="469">
        <v>0</v>
      </c>
      <c r="N91" s="469">
        <v>0</v>
      </c>
      <c r="O91" s="470">
        <f ca="1">SUM(K91:N91)</f>
        <v>1e-12</v>
      </c>
      <c r="P91" s="469">
        <v>0</v>
      </c>
      <c r="Q91" s="469">
        <v>0</v>
      </c>
      <c r="R91" s="469">
        <v>0</v>
      </c>
      <c r="S91" s="469">
        <v>0</v>
      </c>
      <c r="T91" s="470">
        <f ca="1">SUM(P91:S91)</f>
        <v>1e-12</v>
      </c>
      <c r="U91" s="469">
        <v>0</v>
      </c>
      <c r="V91" s="469">
        <v>0</v>
      </c>
      <c r="W91" s="469">
        <v>0</v>
      </c>
      <c r="X91" s="477">
        <v>0</v>
      </c>
      <c r="Y91" s="470">
        <f ca="1">SUM(U91:X91)</f>
        <v>1e-12</v>
      </c>
      <c r="Z91" s="477">
        <v>0</v>
      </c>
      <c r="AA91" s="477">
        <v>0</v>
      </c>
      <c r="AB91" s="477">
        <v>0</v>
      </c>
      <c r="AC91" s="477">
        <v>0</v>
      </c>
      <c r="AD91" s="470">
        <f ca="1">SUM(Z91:AC91)</f>
        <v>1e-12</v>
      </c>
      <c r="AE91" s="478">
        <v>0</v>
      </c>
      <c r="AF91" s="478">
        <v>0</v>
      </c>
      <c r="AG91" s="478">
        <v>0</v>
      </c>
    </row>
    <row r="92" ht="14.25" customHeight="1" hidden="1" spans="1:33" x14ac:dyDescent="0.25" outlineLevel="1">
      <c r="C92" s="476" t="s">
        <v>468</v>
      </c>
      <c r="D92" s="16"/>
      <c r="E92" s="16"/>
      <c r="F92" s="469">
        <v>0</v>
      </c>
      <c r="G92" s="469">
        <v>0</v>
      </c>
      <c r="H92" s="469">
        <v>0</v>
      </c>
      <c r="I92" s="469">
        <v>0</v>
      </c>
      <c r="J92" s="470">
        <f ca="1">SUM(F92:I92)</f>
        <v>1e-12</v>
      </c>
      <c r="K92" s="469">
        <v>0</v>
      </c>
      <c r="L92" s="469">
        <v>0</v>
      </c>
      <c r="M92" s="469">
        <v>0</v>
      </c>
      <c r="N92" s="469">
        <v>0</v>
      </c>
      <c r="O92" s="470">
        <f ca="1">SUM(K92:N92)</f>
        <v>1e-12</v>
      </c>
      <c r="P92" s="469">
        <v>0</v>
      </c>
      <c r="Q92" s="469">
        <v>0</v>
      </c>
      <c r="R92" s="469">
        <v>0</v>
      </c>
      <c r="S92" s="469">
        <v>0</v>
      </c>
      <c r="T92" s="470">
        <f ca="1">SUM(P92:S92)</f>
        <v>1e-12</v>
      </c>
      <c r="U92" s="469">
        <v>0</v>
      </c>
      <c r="V92" s="469">
        <v>0</v>
      </c>
      <c r="W92" s="469">
        <v>0</v>
      </c>
      <c r="X92" s="477">
        <v>0</v>
      </c>
      <c r="Y92" s="470">
        <f ca="1">SUM(U92:X92)</f>
        <v>1e-12</v>
      </c>
      <c r="Z92" s="477">
        <v>0</v>
      </c>
      <c r="AA92" s="477">
        <v>0</v>
      </c>
      <c r="AB92" s="477">
        <v>0</v>
      </c>
      <c r="AC92" s="477">
        <v>0</v>
      </c>
      <c r="AD92" s="470">
        <f ca="1">SUM(Z92:AC92)</f>
        <v>1e-12</v>
      </c>
      <c r="AE92" s="478">
        <v>0</v>
      </c>
      <c r="AF92" s="478">
        <v>0</v>
      </c>
      <c r="AG92" s="478">
        <v>0</v>
      </c>
    </row>
    <row r="93" ht="14.25" customHeight="1" hidden="1" spans="1:33" x14ac:dyDescent="0.25" outlineLevel="1">
      <c r="C93" s="476" t="s">
        <v>469</v>
      </c>
      <c r="D93" s="16"/>
      <c r="E93" s="16"/>
      <c r="F93" s="469">
        <v>0</v>
      </c>
      <c r="G93" s="469">
        <v>0</v>
      </c>
      <c r="H93" s="469">
        <v>0</v>
      </c>
      <c r="I93" s="469">
        <v>0</v>
      </c>
      <c r="J93" s="470">
        <f ca="1">SUM(F93:I93)</f>
        <v>1e-12</v>
      </c>
      <c r="K93" s="469">
        <v>0</v>
      </c>
      <c r="L93" s="469">
        <v>0</v>
      </c>
      <c r="M93" s="469">
        <v>0</v>
      </c>
      <c r="N93" s="469">
        <v>0</v>
      </c>
      <c r="O93" s="470">
        <f ca="1">SUM(K93:N93)</f>
        <v>1e-12</v>
      </c>
      <c r="P93" s="469">
        <v>0</v>
      </c>
      <c r="Q93" s="469">
        <v>0</v>
      </c>
      <c r="R93" s="469">
        <v>0</v>
      </c>
      <c r="S93" s="469">
        <v>0</v>
      </c>
      <c r="T93" s="470">
        <f ca="1">SUM(P93:S93)</f>
        <v>1e-12</v>
      </c>
      <c r="U93" s="469">
        <v>0</v>
      </c>
      <c r="V93" s="469">
        <v>0</v>
      </c>
      <c r="W93" s="469">
        <v>0</v>
      </c>
      <c r="X93" s="477">
        <v>0</v>
      </c>
      <c r="Y93" s="470">
        <f ca="1">SUM(U93:X93)</f>
        <v>1e-12</v>
      </c>
      <c r="Z93" s="477">
        <v>0</v>
      </c>
      <c r="AA93" s="477">
        <v>0</v>
      </c>
      <c r="AB93" s="477">
        <v>0</v>
      </c>
      <c r="AC93" s="477">
        <v>0</v>
      </c>
      <c r="AD93" s="470">
        <f ca="1">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 ca="1">C$89</f>
        <v>North America</v>
      </c>
      <c r="D96" s="16"/>
      <c r="E96" s="16"/>
      <c r="F96" s="319" t="str">
        <f t="shared" ref="F96:AG96" si="90" ca="1">IFERROR(F89/F$88,"N/A")</f>
        <v>N/A</v>
      </c>
      <c r="G96" s="319" t="str">
        <f ca="1">IFERROR(G89/G$88,"N/A")</f>
        <v>N/A</v>
      </c>
      <c r="H96" s="319" t="str">
        <f ca="1">IFERROR(H89/H$88,"N/A")</f>
        <v>N/A</v>
      </c>
      <c r="I96" s="319" t="str">
        <f ca="1">IFERROR(I89/I$88,"N/A")</f>
        <v>N/A</v>
      </c>
      <c r="J96" s="168" t="str">
        <f ca="1">IFERROR(J89/J$88,"N/A")</f>
        <v>N/A</v>
      </c>
      <c r="K96" s="377" t="str">
        <f ca="1">IFERROR(K89/K$88,"N/A")</f>
        <v>N/A</v>
      </c>
      <c r="L96" s="377" t="str">
        <f ca="1">IFERROR(L89/L$88,"N/A")</f>
        <v>N/A</v>
      </c>
      <c r="M96" s="377" t="str">
        <f ca="1">IFERROR(M89/M$88,"N/A")</f>
        <v>N/A</v>
      </c>
      <c r="N96" s="377" t="str">
        <f ca="1">IFERROR(N89/N$88,"N/A")</f>
        <v>N/A</v>
      </c>
      <c r="O96" s="378" t="str">
        <f ca="1">IFERROR(O89/O$88,"N/A")</f>
        <v>N/A</v>
      </c>
      <c r="P96" s="377" t="str">
        <f ca="1">IFERROR(P89/P$88,"N/A")</f>
        <v>N/A</v>
      </c>
      <c r="Q96" s="377" t="str">
        <f ca="1">IFERROR(Q89/Q$88,"N/A")</f>
        <v>N/A</v>
      </c>
      <c r="R96" s="377" t="str">
        <f ca="1">IFERROR(R89/R$88,"N/A")</f>
        <v>N/A</v>
      </c>
      <c r="S96" s="377" t="str">
        <f ca="1">IFERROR(S89/S$88,"N/A")</f>
        <v>N/A</v>
      </c>
      <c r="T96" s="378" t="str">
        <f ca="1">IFERROR(T89/T$88,"N/A")</f>
        <v>N/A</v>
      </c>
      <c r="U96" s="377" t="str">
        <f ca="1">IFERROR(U89/U$88,"N/A")</f>
        <v>N/A</v>
      </c>
      <c r="V96" s="377" t="str">
        <f ca="1">IFERROR(V89/V$88,"N/A")</f>
        <v>N/A</v>
      </c>
      <c r="W96" s="377" t="str">
        <f ca="1">IFERROR(W89/W$88,"N/A")</f>
        <v>N/A</v>
      </c>
      <c r="X96" s="379" t="str">
        <f ca="1">IFERROR(X89/X$88,"N/A")</f>
        <v>N/A</v>
      </c>
      <c r="Y96" s="378" t="str">
        <f ca="1">IFERROR(Y89/Y$88,"N/A")</f>
        <v>N/A</v>
      </c>
      <c r="Z96" s="379" t="str">
        <f ca="1">IFERROR(Z89/Z$88,"N/A")</f>
        <v>N/A</v>
      </c>
      <c r="AA96" s="379" t="str">
        <f ca="1">IFERROR(AA89/AA$88,"N/A")</f>
        <v>N/A</v>
      </c>
      <c r="AB96" s="379" t="str">
        <f ca="1">IFERROR(AB89/AB$88,"N/A")</f>
        <v>N/A</v>
      </c>
      <c r="AC96" s="379" t="str">
        <f ca="1">IFERROR(AC89/AC$88,"N/A")</f>
        <v>N/A</v>
      </c>
      <c r="AD96" s="378" t="str">
        <f ca="1">IFERROR(AD89/AD$88,"N/A")</f>
        <v>N/A</v>
      </c>
      <c r="AE96" s="378" t="str">
        <f ca="1">IFERROR(AE89/AE$88,"N/A")</f>
        <v>N/A</v>
      </c>
      <c r="AF96" s="378" t="str">
        <f ca="1">IFERROR(AF89/AF$88,"N/A")</f>
        <v>N/A</v>
      </c>
      <c r="AG96" s="378" t="str">
        <f ca="1">IFERROR(AG89/AG$88,"N/A")</f>
        <v>N/A</v>
      </c>
    </row>
    <row r="97" ht="14.25" customHeight="1" hidden="1" spans="1:33" x14ac:dyDescent="0.25" outlineLevel="1">
      <c r="C97" s="139" t="str">
        <f ca="1">C$90</f>
        <v>Europe</v>
      </c>
      <c r="D97" s="16"/>
      <c r="E97" s="16"/>
      <c r="F97" s="319" t="str">
        <f t="shared" ref="F97:AG97" si="91" ca="1">IFERROR(F90/F$88,"N/A")</f>
        <v>N/A</v>
      </c>
      <c r="G97" s="319" t="str">
        <f ca="1">IFERROR(G90/G$88,"N/A")</f>
        <v>N/A</v>
      </c>
      <c r="H97" s="319" t="str">
        <f ca="1">IFERROR(H90/H$88,"N/A")</f>
        <v>N/A</v>
      </c>
      <c r="I97" s="319" t="str">
        <f ca="1">IFERROR(I90/I$88,"N/A")</f>
        <v>N/A</v>
      </c>
      <c r="J97" s="168" t="str">
        <f ca="1">IFERROR(J90/J$88,"N/A")</f>
        <v>N/A</v>
      </c>
      <c r="K97" s="377" t="str">
        <f ca="1">IFERROR(K90/K$88,"N/A")</f>
        <v>N/A</v>
      </c>
      <c r="L97" s="377" t="str">
        <f ca="1">IFERROR(L90/L$88,"N/A")</f>
        <v>N/A</v>
      </c>
      <c r="M97" s="377" t="str">
        <f ca="1">IFERROR(M90/M$88,"N/A")</f>
        <v>N/A</v>
      </c>
      <c r="N97" s="377" t="str">
        <f ca="1">IFERROR(N90/N$88,"N/A")</f>
        <v>N/A</v>
      </c>
      <c r="O97" s="378" t="str">
        <f ca="1">IFERROR(O90/O$88,"N/A")</f>
        <v>N/A</v>
      </c>
      <c r="P97" s="377" t="str">
        <f ca="1">IFERROR(P90/P$88,"N/A")</f>
        <v>N/A</v>
      </c>
      <c r="Q97" s="377" t="str">
        <f ca="1">IFERROR(Q90/Q$88,"N/A")</f>
        <v>N/A</v>
      </c>
      <c r="R97" s="377" t="str">
        <f ca="1">IFERROR(R90/R$88,"N/A")</f>
        <v>N/A</v>
      </c>
      <c r="S97" s="377" t="str">
        <f ca="1">IFERROR(S90/S$88,"N/A")</f>
        <v>N/A</v>
      </c>
      <c r="T97" s="378" t="str">
        <f ca="1">IFERROR(T90/T$88,"N/A")</f>
        <v>N/A</v>
      </c>
      <c r="U97" s="377" t="str">
        <f ca="1">IFERROR(U90/U$88,"N/A")</f>
        <v>N/A</v>
      </c>
      <c r="V97" s="377" t="str">
        <f ca="1">IFERROR(V90/V$88,"N/A")</f>
        <v>N/A</v>
      </c>
      <c r="W97" s="377" t="str">
        <f ca="1">IFERROR(W90/W$88,"N/A")</f>
        <v>N/A</v>
      </c>
      <c r="X97" s="379" t="str">
        <f ca="1">IFERROR(X90/X$88,"N/A")</f>
        <v>N/A</v>
      </c>
      <c r="Y97" s="378" t="str">
        <f ca="1">IFERROR(Y90/Y$88,"N/A")</f>
        <v>N/A</v>
      </c>
      <c r="Z97" s="379" t="str">
        <f ca="1">IFERROR(Z90/Z$88,"N/A")</f>
        <v>N/A</v>
      </c>
      <c r="AA97" s="379" t="str">
        <f ca="1">IFERROR(AA90/AA$88,"N/A")</f>
        <v>N/A</v>
      </c>
      <c r="AB97" s="379" t="str">
        <f ca="1">IFERROR(AB90/AB$88,"N/A")</f>
        <v>N/A</v>
      </c>
      <c r="AC97" s="379" t="str">
        <f ca="1">IFERROR(AC90/AC$88,"N/A")</f>
        <v>N/A</v>
      </c>
      <c r="AD97" s="378" t="str">
        <f ca="1">IFERROR(AD90/AD$88,"N/A")</f>
        <v>N/A</v>
      </c>
      <c r="AE97" s="378" t="str">
        <f ca="1">IFERROR(AE90/AE$88,"N/A")</f>
        <v>N/A</v>
      </c>
      <c r="AF97" s="378" t="str">
        <f ca="1">IFERROR(AF90/AF$88,"N/A")</f>
        <v>N/A</v>
      </c>
      <c r="AG97" s="378" t="str">
        <f ca="1">IFERROR(AG90/AG$88,"N/A")</f>
        <v>N/A</v>
      </c>
    </row>
    <row r="98" ht="14.25" customHeight="1" hidden="1" spans="1:33" x14ac:dyDescent="0.25" outlineLevel="1">
      <c r="C98" s="139" t="str">
        <f ca="1">C$91</f>
        <v>South America</v>
      </c>
      <c r="D98" s="16"/>
      <c r="E98" s="16"/>
      <c r="F98" s="319" t="str">
        <f t="shared" ref="F98:AG98" si="92" ca="1">IFERROR(F91/F$88,"N/A")</f>
        <v>N/A</v>
      </c>
      <c r="G98" s="319" t="str">
        <f ca="1">IFERROR(G91/G$88,"N/A")</f>
        <v>N/A</v>
      </c>
      <c r="H98" s="319" t="str">
        <f ca="1">IFERROR(H91/H$88,"N/A")</f>
        <v>N/A</v>
      </c>
      <c r="I98" s="319" t="str">
        <f ca="1">IFERROR(I91/I$88,"N/A")</f>
        <v>N/A</v>
      </c>
      <c r="J98" s="168" t="str">
        <f ca="1">IFERROR(J91/J$88,"N/A")</f>
        <v>N/A</v>
      </c>
      <c r="K98" s="377" t="str">
        <f ca="1">IFERROR(K91/K$88,"N/A")</f>
        <v>N/A</v>
      </c>
      <c r="L98" s="377" t="str">
        <f ca="1">IFERROR(L91/L$88,"N/A")</f>
        <v>N/A</v>
      </c>
      <c r="M98" s="377" t="str">
        <f ca="1">IFERROR(M91/M$88,"N/A")</f>
        <v>N/A</v>
      </c>
      <c r="N98" s="377" t="str">
        <f ca="1">IFERROR(N91/N$88,"N/A")</f>
        <v>N/A</v>
      </c>
      <c r="O98" s="378" t="str">
        <f ca="1">IFERROR(O91/O$88,"N/A")</f>
        <v>N/A</v>
      </c>
      <c r="P98" s="377" t="str">
        <f ca="1">IFERROR(P91/P$88,"N/A")</f>
        <v>N/A</v>
      </c>
      <c r="Q98" s="377" t="str">
        <f ca="1">IFERROR(Q91/Q$88,"N/A")</f>
        <v>N/A</v>
      </c>
      <c r="R98" s="377" t="str">
        <f ca="1">IFERROR(R91/R$88,"N/A")</f>
        <v>N/A</v>
      </c>
      <c r="S98" s="377" t="str">
        <f ca="1">IFERROR(S91/S$88,"N/A")</f>
        <v>N/A</v>
      </c>
      <c r="T98" s="378" t="str">
        <f ca="1">IFERROR(T91/T$88,"N/A")</f>
        <v>N/A</v>
      </c>
      <c r="U98" s="377" t="str">
        <f ca="1">IFERROR(U91/U$88,"N/A")</f>
        <v>N/A</v>
      </c>
      <c r="V98" s="377" t="str">
        <f ca="1">IFERROR(V91/V$88,"N/A")</f>
        <v>N/A</v>
      </c>
      <c r="W98" s="377" t="str">
        <f ca="1">IFERROR(W91/W$88,"N/A")</f>
        <v>N/A</v>
      </c>
      <c r="X98" s="379" t="str">
        <f ca="1">IFERROR(X91/X$88,"N/A")</f>
        <v>N/A</v>
      </c>
      <c r="Y98" s="378" t="str">
        <f ca="1">IFERROR(Y91/Y$88,"N/A")</f>
        <v>N/A</v>
      </c>
      <c r="Z98" s="379" t="str">
        <f ca="1">IFERROR(Z91/Z$88,"N/A")</f>
        <v>N/A</v>
      </c>
      <c r="AA98" s="379" t="str">
        <f ca="1">IFERROR(AA91/AA$88,"N/A")</f>
        <v>N/A</v>
      </c>
      <c r="AB98" s="379" t="str">
        <f ca="1">IFERROR(AB91/AB$88,"N/A")</f>
        <v>N/A</v>
      </c>
      <c r="AC98" s="379" t="str">
        <f ca="1">IFERROR(AC91/AC$88,"N/A")</f>
        <v>N/A</v>
      </c>
      <c r="AD98" s="378" t="str">
        <f ca="1">IFERROR(AD91/AD$88,"N/A")</f>
        <v>N/A</v>
      </c>
      <c r="AE98" s="378" t="str">
        <f ca="1">IFERROR(AE91/AE$88,"N/A")</f>
        <v>N/A</v>
      </c>
      <c r="AF98" s="378" t="str">
        <f ca="1">IFERROR(AF91/AF$88,"N/A")</f>
        <v>N/A</v>
      </c>
      <c r="AG98" s="378" t="str">
        <f ca="1">IFERROR(AG91/AG$88,"N/A")</f>
        <v>N/A</v>
      </c>
    </row>
    <row r="99" ht="14.25" customHeight="1" hidden="1" spans="1:33" x14ac:dyDescent="0.25" outlineLevel="1">
      <c r="C99" s="139" t="str">
        <f ca="1">C$92</f>
        <v>Middle East &amp; Africa</v>
      </c>
      <c r="D99" s="16"/>
      <c r="E99" s="16"/>
      <c r="F99" s="319" t="str">
        <f t="shared" ref="F99:AG99" si="93" ca="1">IFERROR(F92/F$88,"N/A")</f>
        <v>N/A</v>
      </c>
      <c r="G99" s="319" t="str">
        <f ca="1">IFERROR(G92/G$88,"N/A")</f>
        <v>N/A</v>
      </c>
      <c r="H99" s="319" t="str">
        <f ca="1">IFERROR(H92/H$88,"N/A")</f>
        <v>N/A</v>
      </c>
      <c r="I99" s="319" t="str">
        <f ca="1">IFERROR(I92/I$88,"N/A")</f>
        <v>N/A</v>
      </c>
      <c r="J99" s="168" t="str">
        <f ca="1">IFERROR(J92/J$88,"N/A")</f>
        <v>N/A</v>
      </c>
      <c r="K99" s="377" t="str">
        <f ca="1">IFERROR(K92/K$88,"N/A")</f>
        <v>N/A</v>
      </c>
      <c r="L99" s="377" t="str">
        <f ca="1">IFERROR(L92/L$88,"N/A")</f>
        <v>N/A</v>
      </c>
      <c r="M99" s="377" t="str">
        <f ca="1">IFERROR(M92/M$88,"N/A")</f>
        <v>N/A</v>
      </c>
      <c r="N99" s="377" t="str">
        <f ca="1">IFERROR(N92/N$88,"N/A")</f>
        <v>N/A</v>
      </c>
      <c r="O99" s="378" t="str">
        <f ca="1">IFERROR(O92/O$88,"N/A")</f>
        <v>N/A</v>
      </c>
      <c r="P99" s="377" t="str">
        <f ca="1">IFERROR(P92/P$88,"N/A")</f>
        <v>N/A</v>
      </c>
      <c r="Q99" s="377" t="str">
        <f ca="1">IFERROR(Q92/Q$88,"N/A")</f>
        <v>N/A</v>
      </c>
      <c r="R99" s="377" t="str">
        <f ca="1">IFERROR(R92/R$88,"N/A")</f>
        <v>N/A</v>
      </c>
      <c r="S99" s="377" t="str">
        <f ca="1">IFERROR(S92/S$88,"N/A")</f>
        <v>N/A</v>
      </c>
      <c r="T99" s="378" t="str">
        <f ca="1">IFERROR(T92/T$88,"N/A")</f>
        <v>N/A</v>
      </c>
      <c r="U99" s="377" t="str">
        <f ca="1">IFERROR(U92/U$88,"N/A")</f>
        <v>N/A</v>
      </c>
      <c r="V99" s="377" t="str">
        <f ca="1">IFERROR(V92/V$88,"N/A")</f>
        <v>N/A</v>
      </c>
      <c r="W99" s="377" t="str">
        <f ca="1">IFERROR(W92/W$88,"N/A")</f>
        <v>N/A</v>
      </c>
      <c r="X99" s="379" t="str">
        <f ca="1">IFERROR(X92/X$88,"N/A")</f>
        <v>N/A</v>
      </c>
      <c r="Y99" s="378" t="str">
        <f ca="1">IFERROR(Y92/Y$88,"N/A")</f>
        <v>N/A</v>
      </c>
      <c r="Z99" s="379" t="str">
        <f ca="1">IFERROR(Z92/Z$88,"N/A")</f>
        <v>N/A</v>
      </c>
      <c r="AA99" s="379" t="str">
        <f ca="1">IFERROR(AA92/AA$88,"N/A")</f>
        <v>N/A</v>
      </c>
      <c r="AB99" s="379" t="str">
        <f ca="1">IFERROR(AB92/AB$88,"N/A")</f>
        <v>N/A</v>
      </c>
      <c r="AC99" s="379" t="str">
        <f ca="1">IFERROR(AC92/AC$88,"N/A")</f>
        <v>N/A</v>
      </c>
      <c r="AD99" s="378" t="str">
        <f ca="1">IFERROR(AD92/AD$88,"N/A")</f>
        <v>N/A</v>
      </c>
      <c r="AE99" s="378" t="str">
        <f ca="1">IFERROR(AE92/AE$88,"N/A")</f>
        <v>N/A</v>
      </c>
      <c r="AF99" s="378" t="str">
        <f ca="1">IFERROR(AF92/AF$88,"N/A")</f>
        <v>N/A</v>
      </c>
      <c r="AG99" s="378" t="str">
        <f ca="1">IFERROR(AG92/AG$88,"N/A")</f>
        <v>N/A</v>
      </c>
    </row>
    <row r="100" ht="14.25" customHeight="1" hidden="1" spans="1:33" x14ac:dyDescent="0.25" outlineLevel="1">
      <c r="C100" s="139" t="str">
        <f ca="1">C$93</f>
        <v>Asia Pacific</v>
      </c>
      <c r="D100" s="16"/>
      <c r="E100" s="16"/>
      <c r="F100" s="319" t="str">
        <f t="shared" ref="F100:AG100" si="94" ca="1">IFERROR(F93/F$88,"N/A")</f>
        <v>N/A</v>
      </c>
      <c r="G100" s="319" t="str">
        <f ca="1">IFERROR(G93/G$88,"N/A")</f>
        <v>N/A</v>
      </c>
      <c r="H100" s="319" t="str">
        <f ca="1">IFERROR(H93/H$88,"N/A")</f>
        <v>N/A</v>
      </c>
      <c r="I100" s="319" t="str">
        <f ca="1">IFERROR(I93/I$88,"N/A")</f>
        <v>N/A</v>
      </c>
      <c r="J100" s="168" t="str">
        <f ca="1">IFERROR(J93/J$88,"N/A")</f>
        <v>N/A</v>
      </c>
      <c r="K100" s="377" t="str">
        <f ca="1">IFERROR(K93/K$88,"N/A")</f>
        <v>N/A</v>
      </c>
      <c r="L100" s="377" t="str">
        <f ca="1">IFERROR(L93/L$88,"N/A")</f>
        <v>N/A</v>
      </c>
      <c r="M100" s="377" t="str">
        <f ca="1">IFERROR(M93/M$88,"N/A")</f>
        <v>N/A</v>
      </c>
      <c r="N100" s="377" t="str">
        <f ca="1">IFERROR(N93/N$88,"N/A")</f>
        <v>N/A</v>
      </c>
      <c r="O100" s="378" t="str">
        <f ca="1">IFERROR(O93/O$88,"N/A")</f>
        <v>N/A</v>
      </c>
      <c r="P100" s="377" t="str">
        <f ca="1">IFERROR(P93/P$88,"N/A")</f>
        <v>N/A</v>
      </c>
      <c r="Q100" s="377" t="str">
        <f ca="1">IFERROR(Q93/Q$88,"N/A")</f>
        <v>N/A</v>
      </c>
      <c r="R100" s="377" t="str">
        <f ca="1">IFERROR(R93/R$88,"N/A")</f>
        <v>N/A</v>
      </c>
      <c r="S100" s="377" t="str">
        <f ca="1">IFERROR(S93/S$88,"N/A")</f>
        <v>N/A</v>
      </c>
      <c r="T100" s="378" t="str">
        <f ca="1">IFERROR(T93/T$88,"N/A")</f>
        <v>N/A</v>
      </c>
      <c r="U100" s="377" t="str">
        <f ca="1">IFERROR(U93/U$88,"N/A")</f>
        <v>N/A</v>
      </c>
      <c r="V100" s="377" t="str">
        <f ca="1">IFERROR(V93/V$88,"N/A")</f>
        <v>N/A</v>
      </c>
      <c r="W100" s="377" t="str">
        <f ca="1">IFERROR(W93/W$88,"N/A")</f>
        <v>N/A</v>
      </c>
      <c r="X100" s="379" t="str">
        <f ca="1">IFERROR(X93/X$88,"N/A")</f>
        <v>N/A</v>
      </c>
      <c r="Y100" s="378" t="str">
        <f ca="1">IFERROR(Y93/Y$88,"N/A")</f>
        <v>N/A</v>
      </c>
      <c r="Z100" s="379" t="str">
        <f ca="1">IFERROR(Z93/Z$88,"N/A")</f>
        <v>N/A</v>
      </c>
      <c r="AA100" s="379" t="str">
        <f ca="1">IFERROR(AA93/AA$88,"N/A")</f>
        <v>N/A</v>
      </c>
      <c r="AB100" s="379" t="str">
        <f ca="1">IFERROR(AB93/AB$88,"N/A")</f>
        <v>N/A</v>
      </c>
      <c r="AC100" s="379" t="str">
        <f ca="1">IFERROR(AC93/AC$88,"N/A")</f>
        <v>N/A</v>
      </c>
      <c r="AD100" s="378" t="str">
        <f ca="1">IFERROR(AD93/AD$88,"N/A")</f>
        <v>N/A</v>
      </c>
      <c r="AE100" s="378" t="str">
        <f ca="1">IFERROR(AE93/AE$88,"N/A")</f>
        <v>N/A</v>
      </c>
      <c r="AF100" s="378" t="str">
        <f ca="1">IFERROR(AF93/AF$88,"N/A")</f>
        <v>N/A</v>
      </c>
      <c r="AG100" s="378" t="str">
        <f ca="1">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 ca="1">'Segment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 ca="1">C$89</f>
        <v>North America</v>
      </c>
      <c r="D103" s="16"/>
      <c r="E103" s="16"/>
      <c r="F103" s="469">
        <v>0</v>
      </c>
      <c r="G103" s="469">
        <v>0</v>
      </c>
      <c r="H103" s="469">
        <v>0</v>
      </c>
      <c r="I103" s="469">
        <v>0</v>
      </c>
      <c r="J103" s="470">
        <f t="shared" ref="J103:J107" si="95" ca="1">SUM(F103:I103)</f>
        <v>1e-12</v>
      </c>
      <c r="K103" s="469">
        <v>0</v>
      </c>
      <c r="L103" s="469">
        <v>0</v>
      </c>
      <c r="M103" s="469">
        <v>0</v>
      </c>
      <c r="N103" s="469">
        <v>0</v>
      </c>
      <c r="O103" s="470">
        <f t="shared" ref="O103:O107" si="96" ca="1">SUM(K103:N103)</f>
        <v>1e-12</v>
      </c>
      <c r="P103" s="469">
        <v>0</v>
      </c>
      <c r="Q103" s="469">
        <v>0</v>
      </c>
      <c r="R103" s="469">
        <v>0</v>
      </c>
      <c r="S103" s="469">
        <v>0</v>
      </c>
      <c r="T103" s="470">
        <f t="shared" ref="T103:T107" si="97" ca="1">SUM(P103:S103)</f>
        <v>1e-12</v>
      </c>
      <c r="U103" s="469">
        <v>0</v>
      </c>
      <c r="V103" s="469">
        <v>0</v>
      </c>
      <c r="W103" s="469">
        <v>0</v>
      </c>
      <c r="X103" s="477">
        <v>0</v>
      </c>
      <c r="Y103" s="470">
        <f t="shared" ref="Y103:Y107" si="98" ca="1">SUM(U103:X103)</f>
        <v>1e-12</v>
      </c>
      <c r="Z103" s="477">
        <v>0</v>
      </c>
      <c r="AA103" s="477">
        <v>0</v>
      </c>
      <c r="AB103" s="477">
        <v>0</v>
      </c>
      <c r="AC103" s="477">
        <v>0</v>
      </c>
      <c r="AD103" s="470">
        <f t="shared" ref="AD103:AD107" si="99" ca="1">SUM(Z103:AC103)</f>
        <v>1e-12</v>
      </c>
      <c r="AE103" s="478">
        <v>0</v>
      </c>
      <c r="AF103" s="478">
        <v>0</v>
      </c>
      <c r="AG103" s="478">
        <v>0</v>
      </c>
    </row>
    <row r="104" ht="14.25" customHeight="1" hidden="1" spans="1:33" x14ac:dyDescent="0.25" outlineLevel="1">
      <c r="C104" s="139" t="str">
        <f ca="1">C$90</f>
        <v>Europe</v>
      </c>
      <c r="D104" s="16"/>
      <c r="E104" s="16"/>
      <c r="F104" s="469">
        <v>0</v>
      </c>
      <c r="G104" s="469">
        <v>0</v>
      </c>
      <c r="H104" s="469">
        <v>0</v>
      </c>
      <c r="I104" s="469">
        <v>0</v>
      </c>
      <c r="J104" s="470">
        <f ca="1">SUM(F104:I104)</f>
        <v>1e-12</v>
      </c>
      <c r="K104" s="469">
        <v>0</v>
      </c>
      <c r="L104" s="469">
        <v>0</v>
      </c>
      <c r="M104" s="469">
        <v>0</v>
      </c>
      <c r="N104" s="469">
        <v>0</v>
      </c>
      <c r="O104" s="470">
        <f ca="1">SUM(K104:N104)</f>
        <v>1e-12</v>
      </c>
      <c r="P104" s="469">
        <v>0</v>
      </c>
      <c r="Q104" s="469">
        <v>0</v>
      </c>
      <c r="R104" s="469">
        <v>0</v>
      </c>
      <c r="S104" s="469">
        <v>0</v>
      </c>
      <c r="T104" s="470">
        <f ca="1">SUM(P104:S104)</f>
        <v>1e-12</v>
      </c>
      <c r="U104" s="469">
        <v>0</v>
      </c>
      <c r="V104" s="469">
        <v>0</v>
      </c>
      <c r="W104" s="469">
        <v>0</v>
      </c>
      <c r="X104" s="477">
        <v>0</v>
      </c>
      <c r="Y104" s="470">
        <f ca="1">SUM(U104:X104)</f>
        <v>1e-12</v>
      </c>
      <c r="Z104" s="477">
        <v>0</v>
      </c>
      <c r="AA104" s="477">
        <v>0</v>
      </c>
      <c r="AB104" s="477">
        <v>0</v>
      </c>
      <c r="AC104" s="477">
        <v>0</v>
      </c>
      <c r="AD104" s="470">
        <f ca="1">SUM(Z104:AC104)</f>
        <v>1e-12</v>
      </c>
      <c r="AE104" s="478">
        <v>0</v>
      </c>
      <c r="AF104" s="478">
        <v>0</v>
      </c>
      <c r="AG104" s="478">
        <v>0</v>
      </c>
    </row>
    <row r="105" ht="14.25" customHeight="1" hidden="1" spans="1:33" x14ac:dyDescent="0.25" outlineLevel="1">
      <c r="C105" s="139" t="str">
        <f ca="1">C$91</f>
        <v>South America</v>
      </c>
      <c r="D105" s="16"/>
      <c r="E105" s="16"/>
      <c r="F105" s="469">
        <v>0</v>
      </c>
      <c r="G105" s="469">
        <v>0</v>
      </c>
      <c r="H105" s="469">
        <v>0</v>
      </c>
      <c r="I105" s="469">
        <v>0</v>
      </c>
      <c r="J105" s="470">
        <f ca="1">SUM(F105:I105)</f>
        <v>1e-12</v>
      </c>
      <c r="K105" s="469">
        <v>0</v>
      </c>
      <c r="L105" s="469">
        <v>0</v>
      </c>
      <c r="M105" s="469">
        <v>0</v>
      </c>
      <c r="N105" s="469">
        <v>0</v>
      </c>
      <c r="O105" s="470">
        <f ca="1">SUM(K105:N105)</f>
        <v>1e-12</v>
      </c>
      <c r="P105" s="469">
        <v>0</v>
      </c>
      <c r="Q105" s="469">
        <v>0</v>
      </c>
      <c r="R105" s="469">
        <v>0</v>
      </c>
      <c r="S105" s="469">
        <v>0</v>
      </c>
      <c r="T105" s="470">
        <f ca="1">SUM(P105:S105)</f>
        <v>1e-12</v>
      </c>
      <c r="U105" s="469">
        <v>0</v>
      </c>
      <c r="V105" s="469">
        <v>0</v>
      </c>
      <c r="W105" s="469">
        <v>0</v>
      </c>
      <c r="X105" s="477">
        <v>0</v>
      </c>
      <c r="Y105" s="470">
        <f ca="1">SUM(U105:X105)</f>
        <v>1e-12</v>
      </c>
      <c r="Z105" s="477">
        <v>0</v>
      </c>
      <c r="AA105" s="477">
        <v>0</v>
      </c>
      <c r="AB105" s="477">
        <v>0</v>
      </c>
      <c r="AC105" s="477">
        <v>0</v>
      </c>
      <c r="AD105" s="470">
        <f ca="1">SUM(Z105:AC105)</f>
        <v>1e-12</v>
      </c>
      <c r="AE105" s="478">
        <v>0</v>
      </c>
      <c r="AF105" s="478">
        <v>0</v>
      </c>
      <c r="AG105" s="478">
        <v>0</v>
      </c>
    </row>
    <row r="106" ht="14.25" customHeight="1" hidden="1" spans="1:33" x14ac:dyDescent="0.25" outlineLevel="1">
      <c r="C106" s="139" t="str">
        <f ca="1">C$92</f>
        <v>Middle East &amp; Africa</v>
      </c>
      <c r="D106" s="16"/>
      <c r="E106" s="16"/>
      <c r="F106" s="469">
        <v>0</v>
      </c>
      <c r="G106" s="469">
        <v>0</v>
      </c>
      <c r="H106" s="469">
        <v>0</v>
      </c>
      <c r="I106" s="469">
        <v>0</v>
      </c>
      <c r="J106" s="470">
        <f ca="1">SUM(F106:I106)</f>
        <v>1e-12</v>
      </c>
      <c r="K106" s="469">
        <v>0</v>
      </c>
      <c r="L106" s="469">
        <v>0</v>
      </c>
      <c r="M106" s="469">
        <v>0</v>
      </c>
      <c r="N106" s="469">
        <v>0</v>
      </c>
      <c r="O106" s="470">
        <f ca="1">SUM(K106:N106)</f>
        <v>1e-12</v>
      </c>
      <c r="P106" s="469">
        <v>0</v>
      </c>
      <c r="Q106" s="469">
        <v>0</v>
      </c>
      <c r="R106" s="469">
        <v>0</v>
      </c>
      <c r="S106" s="469">
        <v>0</v>
      </c>
      <c r="T106" s="470">
        <f ca="1">SUM(P106:S106)</f>
        <v>1e-12</v>
      </c>
      <c r="U106" s="469">
        <v>0</v>
      </c>
      <c r="V106" s="469">
        <v>0</v>
      </c>
      <c r="W106" s="469">
        <v>0</v>
      </c>
      <c r="X106" s="477">
        <v>0</v>
      </c>
      <c r="Y106" s="470">
        <f ca="1">SUM(U106:X106)</f>
        <v>1e-12</v>
      </c>
      <c r="Z106" s="477">
        <v>0</v>
      </c>
      <c r="AA106" s="477">
        <v>0</v>
      </c>
      <c r="AB106" s="477">
        <v>0</v>
      </c>
      <c r="AC106" s="477">
        <v>0</v>
      </c>
      <c r="AD106" s="470">
        <f ca="1">SUM(Z106:AC106)</f>
        <v>1e-12</v>
      </c>
      <c r="AE106" s="478">
        <v>0</v>
      </c>
      <c r="AF106" s="478">
        <v>0</v>
      </c>
      <c r="AG106" s="478">
        <v>0</v>
      </c>
    </row>
    <row r="107" ht="14.25" customHeight="1" hidden="1" spans="1:33" x14ac:dyDescent="0.25" outlineLevel="1">
      <c r="C107" s="139" t="str">
        <f ca="1">C$93</f>
        <v>Asia Pacific</v>
      </c>
      <c r="D107" s="16"/>
      <c r="E107" s="16"/>
      <c r="F107" s="469">
        <v>0</v>
      </c>
      <c r="G107" s="469">
        <v>0</v>
      </c>
      <c r="H107" s="469">
        <v>0</v>
      </c>
      <c r="I107" s="469">
        <v>0</v>
      </c>
      <c r="J107" s="470">
        <f ca="1">SUM(F107:I107)</f>
        <v>1e-12</v>
      </c>
      <c r="K107" s="469">
        <v>0</v>
      </c>
      <c r="L107" s="469">
        <v>0</v>
      </c>
      <c r="M107" s="469">
        <v>0</v>
      </c>
      <c r="N107" s="469">
        <v>0</v>
      </c>
      <c r="O107" s="470">
        <f ca="1">SUM(K107:N107)</f>
        <v>1e-12</v>
      </c>
      <c r="P107" s="469">
        <v>0</v>
      </c>
      <c r="Q107" s="469">
        <v>0</v>
      </c>
      <c r="R107" s="469">
        <v>0</v>
      </c>
      <c r="S107" s="469">
        <v>0</v>
      </c>
      <c r="T107" s="470">
        <f ca="1">SUM(P107:S107)</f>
        <v>1e-12</v>
      </c>
      <c r="U107" s="469">
        <v>0</v>
      </c>
      <c r="V107" s="469">
        <v>0</v>
      </c>
      <c r="W107" s="469">
        <v>0</v>
      </c>
      <c r="X107" s="477">
        <v>0</v>
      </c>
      <c r="Y107" s="470">
        <f ca="1">SUM(U107:X107)</f>
        <v>1e-12</v>
      </c>
      <c r="Z107" s="477">
        <v>0</v>
      </c>
      <c r="AA107" s="477">
        <v>0</v>
      </c>
      <c r="AB107" s="477">
        <v>0</v>
      </c>
      <c r="AC107" s="477">
        <v>0</v>
      </c>
      <c r="AD107" s="470">
        <f ca="1">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 ca="1">'Segment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 ca="1">C$89</f>
        <v>North America</v>
      </c>
      <c r="D110" s="16"/>
      <c r="E110" s="16"/>
      <c r="F110" s="469">
        <v>0</v>
      </c>
      <c r="G110" s="469">
        <v>0</v>
      </c>
      <c r="H110" s="469">
        <v>0</v>
      </c>
      <c r="I110" s="469">
        <v>0</v>
      </c>
      <c r="J110" s="470">
        <f t="shared" ref="J110:J114" si="100" ca="1">SUM(F110:I110)</f>
        <v>1e-12</v>
      </c>
      <c r="K110" s="469">
        <v>0</v>
      </c>
      <c r="L110" s="469">
        <v>0</v>
      </c>
      <c r="M110" s="469">
        <v>0</v>
      </c>
      <c r="N110" s="469">
        <v>0</v>
      </c>
      <c r="O110" s="470">
        <f t="shared" ref="O110:O114" si="101" ca="1">SUM(K110:N110)</f>
        <v>1e-12</v>
      </c>
      <c r="P110" s="469">
        <v>0</v>
      </c>
      <c r="Q110" s="469">
        <v>0</v>
      </c>
      <c r="R110" s="469">
        <v>0</v>
      </c>
      <c r="S110" s="469">
        <v>0</v>
      </c>
      <c r="T110" s="470">
        <f t="shared" ref="T110:T114" si="102" ca="1">SUM(P110:S110)</f>
        <v>1e-12</v>
      </c>
      <c r="U110" s="469">
        <v>0</v>
      </c>
      <c r="V110" s="469">
        <v>0</v>
      </c>
      <c r="W110" s="469">
        <v>0</v>
      </c>
      <c r="X110" s="477">
        <v>0</v>
      </c>
      <c r="Y110" s="470">
        <f t="shared" ref="Y110:Y114" si="103" ca="1">SUM(U110:X110)</f>
        <v>1e-12</v>
      </c>
      <c r="Z110" s="477">
        <v>0</v>
      </c>
      <c r="AA110" s="477">
        <v>0</v>
      </c>
      <c r="AB110" s="477">
        <v>0</v>
      </c>
      <c r="AC110" s="477">
        <v>0</v>
      </c>
      <c r="AD110" s="470">
        <f t="shared" ref="AD110:AD114" si="104" ca="1">SUM(Z110:AC110)</f>
        <v>1e-12</v>
      </c>
      <c r="AE110" s="478">
        <v>0</v>
      </c>
      <c r="AF110" s="478">
        <v>0</v>
      </c>
      <c r="AG110" s="478">
        <v>0</v>
      </c>
    </row>
    <row r="111" ht="14.25" customHeight="1" hidden="1" spans="1:33" x14ac:dyDescent="0.25" outlineLevel="1">
      <c r="C111" s="139" t="str">
        <f ca="1">C$90</f>
        <v>Europe</v>
      </c>
      <c r="D111" s="16"/>
      <c r="E111" s="16"/>
      <c r="F111" s="469">
        <v>0</v>
      </c>
      <c r="G111" s="469">
        <v>0</v>
      </c>
      <c r="H111" s="469">
        <v>0</v>
      </c>
      <c r="I111" s="469">
        <v>0</v>
      </c>
      <c r="J111" s="470">
        <f ca="1">SUM(F111:I111)</f>
        <v>1e-12</v>
      </c>
      <c r="K111" s="469">
        <v>0</v>
      </c>
      <c r="L111" s="469">
        <v>0</v>
      </c>
      <c r="M111" s="469">
        <v>0</v>
      </c>
      <c r="N111" s="469">
        <v>0</v>
      </c>
      <c r="O111" s="470">
        <f ca="1">SUM(K111:N111)</f>
        <v>1e-12</v>
      </c>
      <c r="P111" s="469">
        <v>0</v>
      </c>
      <c r="Q111" s="469">
        <v>0</v>
      </c>
      <c r="R111" s="469">
        <v>0</v>
      </c>
      <c r="S111" s="469">
        <v>0</v>
      </c>
      <c r="T111" s="470">
        <f ca="1">SUM(P111:S111)</f>
        <v>1e-12</v>
      </c>
      <c r="U111" s="469">
        <v>0</v>
      </c>
      <c r="V111" s="469">
        <v>0</v>
      </c>
      <c r="W111" s="469">
        <v>0</v>
      </c>
      <c r="X111" s="477">
        <v>0</v>
      </c>
      <c r="Y111" s="470">
        <f ca="1">SUM(U111:X111)</f>
        <v>1e-12</v>
      </c>
      <c r="Z111" s="477">
        <v>0</v>
      </c>
      <c r="AA111" s="477">
        <v>0</v>
      </c>
      <c r="AB111" s="477">
        <v>0</v>
      </c>
      <c r="AC111" s="477">
        <v>0</v>
      </c>
      <c r="AD111" s="470">
        <f ca="1">SUM(Z111:AC111)</f>
        <v>1e-12</v>
      </c>
      <c r="AE111" s="478">
        <v>0</v>
      </c>
      <c r="AF111" s="478">
        <v>0</v>
      </c>
      <c r="AG111" s="478">
        <v>0</v>
      </c>
    </row>
    <row r="112" ht="14.25" customHeight="1" hidden="1" spans="1:33" x14ac:dyDescent="0.25" outlineLevel="1">
      <c r="C112" s="139" t="str">
        <f ca="1">C$91</f>
        <v>South America</v>
      </c>
      <c r="D112" s="16"/>
      <c r="E112" s="16"/>
      <c r="F112" s="469">
        <v>0</v>
      </c>
      <c r="G112" s="469">
        <v>0</v>
      </c>
      <c r="H112" s="469">
        <v>0</v>
      </c>
      <c r="I112" s="469">
        <v>0</v>
      </c>
      <c r="J112" s="470">
        <f ca="1">SUM(F112:I112)</f>
        <v>1e-12</v>
      </c>
      <c r="K112" s="469">
        <v>0</v>
      </c>
      <c r="L112" s="469">
        <v>0</v>
      </c>
      <c r="M112" s="469">
        <v>0</v>
      </c>
      <c r="N112" s="469">
        <v>0</v>
      </c>
      <c r="O112" s="470">
        <f ca="1">SUM(K112:N112)</f>
        <v>1e-12</v>
      </c>
      <c r="P112" s="469">
        <v>0</v>
      </c>
      <c r="Q112" s="469">
        <v>0</v>
      </c>
      <c r="R112" s="469">
        <v>0</v>
      </c>
      <c r="S112" s="469">
        <v>0</v>
      </c>
      <c r="T112" s="470">
        <f ca="1">SUM(P112:S112)</f>
        <v>1e-12</v>
      </c>
      <c r="U112" s="469">
        <v>0</v>
      </c>
      <c r="V112" s="469">
        <v>0</v>
      </c>
      <c r="W112" s="469">
        <v>0</v>
      </c>
      <c r="X112" s="477">
        <v>0</v>
      </c>
      <c r="Y112" s="470">
        <f ca="1">SUM(U112:X112)</f>
        <v>1e-12</v>
      </c>
      <c r="Z112" s="477">
        <v>0</v>
      </c>
      <c r="AA112" s="477">
        <v>0</v>
      </c>
      <c r="AB112" s="477">
        <v>0</v>
      </c>
      <c r="AC112" s="477">
        <v>0</v>
      </c>
      <c r="AD112" s="470">
        <f ca="1">SUM(Z112:AC112)</f>
        <v>1e-12</v>
      </c>
      <c r="AE112" s="478">
        <v>0</v>
      </c>
      <c r="AF112" s="478">
        <v>0</v>
      </c>
      <c r="AG112" s="478">
        <v>0</v>
      </c>
    </row>
    <row r="113" ht="14.25" customHeight="1" hidden="1" spans="1:33" x14ac:dyDescent="0.25" outlineLevel="1">
      <c r="C113" s="139" t="str">
        <f ca="1">C$92</f>
        <v>Middle East &amp; Africa</v>
      </c>
      <c r="D113" s="16"/>
      <c r="E113" s="16"/>
      <c r="F113" s="469">
        <v>0</v>
      </c>
      <c r="G113" s="469">
        <v>0</v>
      </c>
      <c r="H113" s="469">
        <v>0</v>
      </c>
      <c r="I113" s="469">
        <v>0</v>
      </c>
      <c r="J113" s="470">
        <f ca="1">SUM(F113:I113)</f>
        <v>1e-12</v>
      </c>
      <c r="K113" s="469">
        <v>0</v>
      </c>
      <c r="L113" s="469">
        <v>0</v>
      </c>
      <c r="M113" s="469">
        <v>0</v>
      </c>
      <c r="N113" s="469">
        <v>0</v>
      </c>
      <c r="O113" s="470">
        <f ca="1">SUM(K113:N113)</f>
        <v>1e-12</v>
      </c>
      <c r="P113" s="469">
        <v>0</v>
      </c>
      <c r="Q113" s="469">
        <v>0</v>
      </c>
      <c r="R113" s="469">
        <v>0</v>
      </c>
      <c r="S113" s="469">
        <v>0</v>
      </c>
      <c r="T113" s="470">
        <f ca="1">SUM(P113:S113)</f>
        <v>1e-12</v>
      </c>
      <c r="U113" s="469">
        <v>0</v>
      </c>
      <c r="V113" s="469">
        <v>0</v>
      </c>
      <c r="W113" s="469">
        <v>0</v>
      </c>
      <c r="X113" s="477">
        <v>0</v>
      </c>
      <c r="Y113" s="470">
        <f ca="1">SUM(U113:X113)</f>
        <v>1e-12</v>
      </c>
      <c r="Z113" s="477">
        <v>0</v>
      </c>
      <c r="AA113" s="477">
        <v>0</v>
      </c>
      <c r="AB113" s="477">
        <v>0</v>
      </c>
      <c r="AC113" s="477">
        <v>0</v>
      </c>
      <c r="AD113" s="470">
        <f ca="1">SUM(Z113:AC113)</f>
        <v>1e-12</v>
      </c>
      <c r="AE113" s="478">
        <v>0</v>
      </c>
      <c r="AF113" s="478">
        <v>0</v>
      </c>
      <c r="AG113" s="478">
        <v>0</v>
      </c>
    </row>
    <row r="114" ht="14.25" customHeight="1" hidden="1" spans="1:33" x14ac:dyDescent="0.25" outlineLevel="1">
      <c r="C114" s="139" t="str">
        <f ca="1">C$93</f>
        <v>Asia Pacific</v>
      </c>
      <c r="D114" s="16"/>
      <c r="E114" s="16"/>
      <c r="F114" s="469">
        <v>0</v>
      </c>
      <c r="G114" s="469">
        <v>0</v>
      </c>
      <c r="H114" s="469">
        <v>0</v>
      </c>
      <c r="I114" s="469">
        <v>0</v>
      </c>
      <c r="J114" s="470">
        <f ca="1">SUM(F114:I114)</f>
        <v>1e-12</v>
      </c>
      <c r="K114" s="469">
        <v>0</v>
      </c>
      <c r="L114" s="469">
        <v>0</v>
      </c>
      <c r="M114" s="469">
        <v>0</v>
      </c>
      <c r="N114" s="469">
        <v>0</v>
      </c>
      <c r="O114" s="470">
        <f ca="1">SUM(K114:N114)</f>
        <v>1e-12</v>
      </c>
      <c r="P114" s="469">
        <v>0</v>
      </c>
      <c r="Q114" s="469">
        <v>0</v>
      </c>
      <c r="R114" s="469">
        <v>0</v>
      </c>
      <c r="S114" s="469">
        <v>0</v>
      </c>
      <c r="T114" s="470">
        <f ca="1">SUM(P114:S114)</f>
        <v>1e-12</v>
      </c>
      <c r="U114" s="469">
        <v>0</v>
      </c>
      <c r="V114" s="469">
        <v>0</v>
      </c>
      <c r="W114" s="469">
        <v>0</v>
      </c>
      <c r="X114" s="477">
        <v>0</v>
      </c>
      <c r="Y114" s="470">
        <f ca="1">SUM(U114:X114)</f>
        <v>1e-12</v>
      </c>
      <c r="Z114" s="477">
        <v>0</v>
      </c>
      <c r="AA114" s="477">
        <v>0</v>
      </c>
      <c r="AB114" s="477">
        <v>0</v>
      </c>
      <c r="AC114" s="477">
        <v>0</v>
      </c>
      <c r="AD114" s="470">
        <f ca="1">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 ca="1">'Segment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 ca="1">C$89</f>
        <v>North America</v>
      </c>
      <c r="D117" s="16"/>
      <c r="E117" s="16"/>
      <c r="F117" s="469">
        <v>0</v>
      </c>
      <c r="G117" s="469">
        <v>0</v>
      </c>
      <c r="H117" s="469">
        <v>0</v>
      </c>
      <c r="I117" s="469">
        <v>0</v>
      </c>
      <c r="J117" s="470">
        <f t="shared" ref="J117:J121" si="105" ca="1">SUM(F117:I117)</f>
        <v>1e-12</v>
      </c>
      <c r="K117" s="469">
        <v>0</v>
      </c>
      <c r="L117" s="469">
        <v>0</v>
      </c>
      <c r="M117" s="469">
        <v>0</v>
      </c>
      <c r="N117" s="469">
        <v>0</v>
      </c>
      <c r="O117" s="470">
        <f t="shared" ref="O117:O121" si="106" ca="1">SUM(K117:N117)</f>
        <v>1e-12</v>
      </c>
      <c r="P117" s="469">
        <v>0</v>
      </c>
      <c r="Q117" s="469">
        <v>0</v>
      </c>
      <c r="R117" s="469">
        <v>0</v>
      </c>
      <c r="S117" s="469">
        <v>0</v>
      </c>
      <c r="T117" s="470">
        <f t="shared" ref="T117:T121" si="107" ca="1">SUM(P117:S117)</f>
        <v>1e-12</v>
      </c>
      <c r="U117" s="469">
        <v>0</v>
      </c>
      <c r="V117" s="469">
        <v>0</v>
      </c>
      <c r="W117" s="469">
        <v>0</v>
      </c>
      <c r="X117" s="477">
        <v>0</v>
      </c>
      <c r="Y117" s="470">
        <f t="shared" ref="Y117:Y121" si="108" ca="1">SUM(U117:X117)</f>
        <v>1e-12</v>
      </c>
      <c r="Z117" s="477">
        <v>0</v>
      </c>
      <c r="AA117" s="477">
        <v>0</v>
      </c>
      <c r="AB117" s="477">
        <v>0</v>
      </c>
      <c r="AC117" s="477">
        <v>0</v>
      </c>
      <c r="AD117" s="470">
        <f t="shared" ref="AD117:AD121" si="109" ca="1">SUM(Z117:AC117)</f>
        <v>1e-12</v>
      </c>
      <c r="AE117" s="478">
        <v>0</v>
      </c>
      <c r="AF117" s="478">
        <v>0</v>
      </c>
      <c r="AG117" s="478">
        <v>0</v>
      </c>
    </row>
    <row r="118" ht="14.25" customHeight="1" hidden="1" spans="1:33" x14ac:dyDescent="0.25" outlineLevel="1">
      <c r="C118" s="139" t="str">
        <f ca="1">C$90</f>
        <v>Europe</v>
      </c>
      <c r="D118" s="16"/>
      <c r="E118" s="16"/>
      <c r="F118" s="469">
        <v>0</v>
      </c>
      <c r="G118" s="469">
        <v>0</v>
      </c>
      <c r="H118" s="469">
        <v>0</v>
      </c>
      <c r="I118" s="469">
        <v>0</v>
      </c>
      <c r="J118" s="470">
        <f ca="1">SUM(F118:I118)</f>
        <v>1e-12</v>
      </c>
      <c r="K118" s="469">
        <v>0</v>
      </c>
      <c r="L118" s="469">
        <v>0</v>
      </c>
      <c r="M118" s="469">
        <v>0</v>
      </c>
      <c r="N118" s="469">
        <v>0</v>
      </c>
      <c r="O118" s="470">
        <f ca="1">SUM(K118:N118)</f>
        <v>1e-12</v>
      </c>
      <c r="P118" s="469">
        <v>0</v>
      </c>
      <c r="Q118" s="469">
        <v>0</v>
      </c>
      <c r="R118" s="469">
        <v>0</v>
      </c>
      <c r="S118" s="469">
        <v>0</v>
      </c>
      <c r="T118" s="470">
        <f ca="1">SUM(P118:S118)</f>
        <v>1e-12</v>
      </c>
      <c r="U118" s="469">
        <v>0</v>
      </c>
      <c r="V118" s="469">
        <v>0</v>
      </c>
      <c r="W118" s="469">
        <v>0</v>
      </c>
      <c r="X118" s="477">
        <v>0</v>
      </c>
      <c r="Y118" s="470">
        <f ca="1">SUM(U118:X118)</f>
        <v>1e-12</v>
      </c>
      <c r="Z118" s="477">
        <v>0</v>
      </c>
      <c r="AA118" s="477">
        <v>0</v>
      </c>
      <c r="AB118" s="477">
        <v>0</v>
      </c>
      <c r="AC118" s="477">
        <v>0</v>
      </c>
      <c r="AD118" s="470">
        <f ca="1">SUM(Z118:AC118)</f>
        <v>1e-12</v>
      </c>
      <c r="AE118" s="478">
        <v>0</v>
      </c>
      <c r="AF118" s="478">
        <v>0</v>
      </c>
      <c r="AG118" s="478">
        <v>0</v>
      </c>
    </row>
    <row r="119" ht="14.25" customHeight="1" hidden="1" spans="1:33" x14ac:dyDescent="0.25" outlineLevel="1">
      <c r="C119" s="139" t="str">
        <f ca="1">C$91</f>
        <v>South America</v>
      </c>
      <c r="D119" s="16"/>
      <c r="E119" s="16"/>
      <c r="F119" s="469">
        <v>0</v>
      </c>
      <c r="G119" s="469">
        <v>0</v>
      </c>
      <c r="H119" s="469">
        <v>0</v>
      </c>
      <c r="I119" s="469">
        <v>0</v>
      </c>
      <c r="J119" s="470">
        <f ca="1">SUM(F119:I119)</f>
        <v>1e-12</v>
      </c>
      <c r="K119" s="469">
        <v>0</v>
      </c>
      <c r="L119" s="469">
        <v>0</v>
      </c>
      <c r="M119" s="469">
        <v>0</v>
      </c>
      <c r="N119" s="469">
        <v>0</v>
      </c>
      <c r="O119" s="470">
        <f ca="1">SUM(K119:N119)</f>
        <v>1e-12</v>
      </c>
      <c r="P119" s="469">
        <v>0</v>
      </c>
      <c r="Q119" s="469">
        <v>0</v>
      </c>
      <c r="R119" s="469">
        <v>0</v>
      </c>
      <c r="S119" s="469">
        <v>0</v>
      </c>
      <c r="T119" s="470">
        <f ca="1">SUM(P119:S119)</f>
        <v>1e-12</v>
      </c>
      <c r="U119" s="469">
        <v>0</v>
      </c>
      <c r="V119" s="469">
        <v>0</v>
      </c>
      <c r="W119" s="469">
        <v>0</v>
      </c>
      <c r="X119" s="477">
        <v>0</v>
      </c>
      <c r="Y119" s="470">
        <f ca="1">SUM(U119:X119)</f>
        <v>1e-12</v>
      </c>
      <c r="Z119" s="477">
        <v>0</v>
      </c>
      <c r="AA119" s="477">
        <v>0</v>
      </c>
      <c r="AB119" s="477">
        <v>0</v>
      </c>
      <c r="AC119" s="477">
        <v>0</v>
      </c>
      <c r="AD119" s="470">
        <f ca="1">SUM(Z119:AC119)</f>
        <v>1e-12</v>
      </c>
      <c r="AE119" s="478">
        <v>0</v>
      </c>
      <c r="AF119" s="478">
        <v>0</v>
      </c>
      <c r="AG119" s="478">
        <v>0</v>
      </c>
    </row>
    <row r="120" ht="14.25" customHeight="1" hidden="1" spans="1:33" x14ac:dyDescent="0.25" outlineLevel="1">
      <c r="C120" s="139" t="str">
        <f ca="1">C$92</f>
        <v>Middle East &amp; Africa</v>
      </c>
      <c r="D120" s="16"/>
      <c r="E120" s="16"/>
      <c r="F120" s="469">
        <v>0</v>
      </c>
      <c r="G120" s="469">
        <v>0</v>
      </c>
      <c r="H120" s="469">
        <v>0</v>
      </c>
      <c r="I120" s="469">
        <v>0</v>
      </c>
      <c r="J120" s="470">
        <f ca="1">SUM(F120:I120)</f>
        <v>1e-12</v>
      </c>
      <c r="K120" s="469">
        <v>0</v>
      </c>
      <c r="L120" s="469">
        <v>0</v>
      </c>
      <c r="M120" s="469">
        <v>0</v>
      </c>
      <c r="N120" s="469">
        <v>0</v>
      </c>
      <c r="O120" s="470">
        <f ca="1">SUM(K120:N120)</f>
        <v>1e-12</v>
      </c>
      <c r="P120" s="469">
        <v>0</v>
      </c>
      <c r="Q120" s="469">
        <v>0</v>
      </c>
      <c r="R120" s="469">
        <v>0</v>
      </c>
      <c r="S120" s="469">
        <v>0</v>
      </c>
      <c r="T120" s="470">
        <f ca="1">SUM(P120:S120)</f>
        <v>1e-12</v>
      </c>
      <c r="U120" s="469">
        <v>0</v>
      </c>
      <c r="V120" s="469">
        <v>0</v>
      </c>
      <c r="W120" s="469">
        <v>0</v>
      </c>
      <c r="X120" s="477">
        <v>0</v>
      </c>
      <c r="Y120" s="470">
        <f ca="1">SUM(U120:X120)</f>
        <v>1e-12</v>
      </c>
      <c r="Z120" s="477">
        <v>0</v>
      </c>
      <c r="AA120" s="477">
        <v>0</v>
      </c>
      <c r="AB120" s="477">
        <v>0</v>
      </c>
      <c r="AC120" s="477">
        <v>0</v>
      </c>
      <c r="AD120" s="470">
        <f ca="1">SUM(Z120:AC120)</f>
        <v>1e-12</v>
      </c>
      <c r="AE120" s="478">
        <v>0</v>
      </c>
      <c r="AF120" s="478">
        <v>0</v>
      </c>
      <c r="AG120" s="478">
        <v>0</v>
      </c>
    </row>
    <row r="121" ht="14.25" customHeight="1" hidden="1" spans="1:33" x14ac:dyDescent="0.25" outlineLevel="1">
      <c r="C121" s="139" t="str">
        <f ca="1">C$93</f>
        <v>Asia Pacific</v>
      </c>
      <c r="D121" s="16"/>
      <c r="E121" s="16"/>
      <c r="F121" s="469">
        <v>0</v>
      </c>
      <c r="G121" s="469">
        <v>0</v>
      </c>
      <c r="H121" s="469">
        <v>0</v>
      </c>
      <c r="I121" s="469">
        <v>0</v>
      </c>
      <c r="J121" s="470">
        <f ca="1">SUM(F121:I121)</f>
        <v>1e-12</v>
      </c>
      <c r="K121" s="469">
        <v>0</v>
      </c>
      <c r="L121" s="469">
        <v>0</v>
      </c>
      <c r="M121" s="469">
        <v>0</v>
      </c>
      <c r="N121" s="469">
        <v>0</v>
      </c>
      <c r="O121" s="470">
        <f ca="1">SUM(K121:N121)</f>
        <v>1e-12</v>
      </c>
      <c r="P121" s="469">
        <v>0</v>
      </c>
      <c r="Q121" s="469">
        <v>0</v>
      </c>
      <c r="R121" s="469">
        <v>0</v>
      </c>
      <c r="S121" s="469">
        <v>0</v>
      </c>
      <c r="T121" s="470">
        <f ca="1">SUM(P121:S121)</f>
        <v>1e-12</v>
      </c>
      <c r="U121" s="469">
        <v>0</v>
      </c>
      <c r="V121" s="469">
        <v>0</v>
      </c>
      <c r="W121" s="469">
        <v>0</v>
      </c>
      <c r="X121" s="477">
        <v>0</v>
      </c>
      <c r="Y121" s="470">
        <f ca="1">SUM(U121:X121)</f>
        <v>1e-12</v>
      </c>
      <c r="Z121" s="477">
        <v>0</v>
      </c>
      <c r="AA121" s="477">
        <v>0</v>
      </c>
      <c r="AB121" s="477">
        <v>0</v>
      </c>
      <c r="AC121" s="477">
        <v>0</v>
      </c>
      <c r="AD121" s="470">
        <f ca="1">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 ca="1">'Segment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 ca="1">C$89</f>
        <v>North America</v>
      </c>
      <c r="D124" s="16"/>
      <c r="E124" s="16"/>
      <c r="F124" s="469">
        <v>0</v>
      </c>
      <c r="G124" s="469">
        <v>0</v>
      </c>
      <c r="H124" s="469">
        <v>0</v>
      </c>
      <c r="I124" s="469">
        <v>0</v>
      </c>
      <c r="J124" s="470">
        <f t="shared" ref="J124:J128" si="110" ca="1">SUM(F124:I124)</f>
        <v>1e-12</v>
      </c>
      <c r="K124" s="469">
        <v>0</v>
      </c>
      <c r="L124" s="469">
        <v>0</v>
      </c>
      <c r="M124" s="469">
        <v>0</v>
      </c>
      <c r="N124" s="469">
        <v>0</v>
      </c>
      <c r="O124" s="470">
        <f t="shared" ref="O124:O128" si="111" ca="1">SUM(K124:N124)</f>
        <v>1e-12</v>
      </c>
      <c r="P124" s="469">
        <v>0</v>
      </c>
      <c r="Q124" s="469">
        <v>0</v>
      </c>
      <c r="R124" s="469">
        <v>0</v>
      </c>
      <c r="S124" s="469">
        <v>0</v>
      </c>
      <c r="T124" s="470">
        <f t="shared" ref="T124:T128" si="112" ca="1">SUM(P124:S124)</f>
        <v>1e-12</v>
      </c>
      <c r="U124" s="469">
        <v>0</v>
      </c>
      <c r="V124" s="469">
        <v>0</v>
      </c>
      <c r="W124" s="469">
        <v>0</v>
      </c>
      <c r="X124" s="477">
        <v>0</v>
      </c>
      <c r="Y124" s="470">
        <f t="shared" ref="Y124:Y128" si="113" ca="1">SUM(U124:X124)</f>
        <v>1e-12</v>
      </c>
      <c r="Z124" s="477">
        <v>0</v>
      </c>
      <c r="AA124" s="477">
        <v>0</v>
      </c>
      <c r="AB124" s="477">
        <v>0</v>
      </c>
      <c r="AC124" s="477">
        <v>0</v>
      </c>
      <c r="AD124" s="470">
        <f t="shared" ref="AD124:AD128" si="114" ca="1">SUM(Z124:AC124)</f>
        <v>1e-12</v>
      </c>
      <c r="AE124" s="478">
        <v>0</v>
      </c>
      <c r="AF124" s="478">
        <v>0</v>
      </c>
      <c r="AG124" s="478">
        <v>0</v>
      </c>
    </row>
    <row r="125" ht="14.25" customHeight="1" hidden="1" spans="1:33" x14ac:dyDescent="0.25" outlineLevel="1">
      <c r="C125" s="139" t="str">
        <f ca="1">C$90</f>
        <v>Europe</v>
      </c>
      <c r="D125" s="16"/>
      <c r="E125" s="16"/>
      <c r="F125" s="469">
        <v>0</v>
      </c>
      <c r="G125" s="469">
        <v>0</v>
      </c>
      <c r="H125" s="469">
        <v>0</v>
      </c>
      <c r="I125" s="469">
        <v>0</v>
      </c>
      <c r="J125" s="470">
        <f ca="1">SUM(F125:I125)</f>
        <v>1e-12</v>
      </c>
      <c r="K125" s="469">
        <v>0</v>
      </c>
      <c r="L125" s="469">
        <v>0</v>
      </c>
      <c r="M125" s="469">
        <v>0</v>
      </c>
      <c r="N125" s="469">
        <v>0</v>
      </c>
      <c r="O125" s="470">
        <f ca="1">SUM(K125:N125)</f>
        <v>1e-12</v>
      </c>
      <c r="P125" s="469">
        <v>0</v>
      </c>
      <c r="Q125" s="469">
        <v>0</v>
      </c>
      <c r="R125" s="469">
        <v>0</v>
      </c>
      <c r="S125" s="469">
        <v>0</v>
      </c>
      <c r="T125" s="470">
        <f ca="1">SUM(P125:S125)</f>
        <v>1e-12</v>
      </c>
      <c r="U125" s="469">
        <v>0</v>
      </c>
      <c r="V125" s="469">
        <v>0</v>
      </c>
      <c r="W125" s="469">
        <v>0</v>
      </c>
      <c r="X125" s="477">
        <v>0</v>
      </c>
      <c r="Y125" s="470">
        <f ca="1">SUM(U125:X125)</f>
        <v>1e-12</v>
      </c>
      <c r="Z125" s="477">
        <v>0</v>
      </c>
      <c r="AA125" s="477">
        <v>0</v>
      </c>
      <c r="AB125" s="477">
        <v>0</v>
      </c>
      <c r="AC125" s="477">
        <v>0</v>
      </c>
      <c r="AD125" s="470">
        <f ca="1">SUM(Z125:AC125)</f>
        <v>1e-12</v>
      </c>
      <c r="AE125" s="478">
        <v>0</v>
      </c>
      <c r="AF125" s="478">
        <v>0</v>
      </c>
      <c r="AG125" s="478">
        <v>0</v>
      </c>
    </row>
    <row r="126" ht="14.25" customHeight="1" hidden="1" spans="1:33" x14ac:dyDescent="0.25" outlineLevel="1">
      <c r="C126" s="139" t="str">
        <f ca="1">C$91</f>
        <v>South America</v>
      </c>
      <c r="D126" s="16"/>
      <c r="E126" s="16"/>
      <c r="F126" s="469">
        <v>0</v>
      </c>
      <c r="G126" s="469">
        <v>0</v>
      </c>
      <c r="H126" s="469">
        <v>0</v>
      </c>
      <c r="I126" s="469">
        <v>0</v>
      </c>
      <c r="J126" s="470">
        <f ca="1">SUM(F126:I126)</f>
        <v>1e-12</v>
      </c>
      <c r="K126" s="469">
        <v>0</v>
      </c>
      <c r="L126" s="469">
        <v>0</v>
      </c>
      <c r="M126" s="469">
        <v>0</v>
      </c>
      <c r="N126" s="469">
        <v>0</v>
      </c>
      <c r="O126" s="470">
        <f ca="1">SUM(K126:N126)</f>
        <v>1e-12</v>
      </c>
      <c r="P126" s="469">
        <v>0</v>
      </c>
      <c r="Q126" s="469">
        <v>0</v>
      </c>
      <c r="R126" s="469">
        <v>0</v>
      </c>
      <c r="S126" s="469">
        <v>0</v>
      </c>
      <c r="T126" s="470">
        <f ca="1">SUM(P126:S126)</f>
        <v>1e-12</v>
      </c>
      <c r="U126" s="469">
        <v>0</v>
      </c>
      <c r="V126" s="469">
        <v>0</v>
      </c>
      <c r="W126" s="469">
        <v>0</v>
      </c>
      <c r="X126" s="477">
        <v>0</v>
      </c>
      <c r="Y126" s="470">
        <f ca="1">SUM(U126:X126)</f>
        <v>1e-12</v>
      </c>
      <c r="Z126" s="477">
        <v>0</v>
      </c>
      <c r="AA126" s="477">
        <v>0</v>
      </c>
      <c r="AB126" s="477">
        <v>0</v>
      </c>
      <c r="AC126" s="477">
        <v>0</v>
      </c>
      <c r="AD126" s="470">
        <f ca="1">SUM(Z126:AC126)</f>
        <v>1e-12</v>
      </c>
      <c r="AE126" s="478">
        <v>0</v>
      </c>
      <c r="AF126" s="478">
        <v>0</v>
      </c>
      <c r="AG126" s="478">
        <v>0</v>
      </c>
    </row>
    <row r="127" ht="14.25" customHeight="1" hidden="1" spans="1:33" x14ac:dyDescent="0.25" outlineLevel="1">
      <c r="C127" s="139" t="str">
        <f ca="1">C$92</f>
        <v>Middle East &amp; Africa</v>
      </c>
      <c r="D127" s="16"/>
      <c r="E127" s="16"/>
      <c r="F127" s="469">
        <v>0</v>
      </c>
      <c r="G127" s="469">
        <v>0</v>
      </c>
      <c r="H127" s="469">
        <v>0</v>
      </c>
      <c r="I127" s="469">
        <v>0</v>
      </c>
      <c r="J127" s="470">
        <f ca="1">SUM(F127:I127)</f>
        <v>1e-12</v>
      </c>
      <c r="K127" s="469">
        <v>0</v>
      </c>
      <c r="L127" s="469">
        <v>0</v>
      </c>
      <c r="M127" s="469">
        <v>0</v>
      </c>
      <c r="N127" s="469">
        <v>0</v>
      </c>
      <c r="O127" s="470">
        <f ca="1">SUM(K127:N127)</f>
        <v>1e-12</v>
      </c>
      <c r="P127" s="469">
        <v>0</v>
      </c>
      <c r="Q127" s="469">
        <v>0</v>
      </c>
      <c r="R127" s="469">
        <v>0</v>
      </c>
      <c r="S127" s="469">
        <v>0</v>
      </c>
      <c r="T127" s="470">
        <f ca="1">SUM(P127:S127)</f>
        <v>1e-12</v>
      </c>
      <c r="U127" s="469">
        <v>0</v>
      </c>
      <c r="V127" s="469">
        <v>0</v>
      </c>
      <c r="W127" s="469">
        <v>0</v>
      </c>
      <c r="X127" s="477">
        <v>0</v>
      </c>
      <c r="Y127" s="470">
        <f ca="1">SUM(U127:X127)</f>
        <v>1e-12</v>
      </c>
      <c r="Z127" s="477">
        <v>0</v>
      </c>
      <c r="AA127" s="477">
        <v>0</v>
      </c>
      <c r="AB127" s="477">
        <v>0</v>
      </c>
      <c r="AC127" s="477">
        <v>0</v>
      </c>
      <c r="AD127" s="470">
        <f ca="1">SUM(Z127:AC127)</f>
        <v>1e-12</v>
      </c>
      <c r="AE127" s="478">
        <v>0</v>
      </c>
      <c r="AF127" s="478">
        <v>0</v>
      </c>
      <c r="AG127" s="478">
        <v>0</v>
      </c>
    </row>
    <row r="128" ht="14.25" customHeight="1" hidden="1" spans="1:33" x14ac:dyDescent="0.25" outlineLevel="1">
      <c r="C128" s="139" t="str">
        <f ca="1">C$93</f>
        <v>Asia Pacific</v>
      </c>
      <c r="D128" s="16"/>
      <c r="E128" s="16"/>
      <c r="F128" s="469">
        <v>0</v>
      </c>
      <c r="G128" s="469">
        <v>0</v>
      </c>
      <c r="H128" s="469">
        <v>0</v>
      </c>
      <c r="I128" s="469">
        <v>0</v>
      </c>
      <c r="J128" s="470">
        <f ca="1">SUM(F128:I128)</f>
        <v>1e-12</v>
      </c>
      <c r="K128" s="469">
        <v>0</v>
      </c>
      <c r="L128" s="469">
        <v>0</v>
      </c>
      <c r="M128" s="469">
        <v>0</v>
      </c>
      <c r="N128" s="469">
        <v>0</v>
      </c>
      <c r="O128" s="470">
        <f ca="1">SUM(K128:N128)</f>
        <v>1e-12</v>
      </c>
      <c r="P128" s="469">
        <v>0</v>
      </c>
      <c r="Q128" s="469">
        <v>0</v>
      </c>
      <c r="R128" s="469">
        <v>0</v>
      </c>
      <c r="S128" s="469">
        <v>0</v>
      </c>
      <c r="T128" s="470">
        <f ca="1">SUM(P128:S128)</f>
        <v>1e-12</v>
      </c>
      <c r="U128" s="469">
        <v>0</v>
      </c>
      <c r="V128" s="469">
        <v>0</v>
      </c>
      <c r="W128" s="469">
        <v>0</v>
      </c>
      <c r="X128" s="477">
        <v>0</v>
      </c>
      <c r="Y128" s="470">
        <f ca="1">SUM(U128:X128)</f>
        <v>1e-12</v>
      </c>
      <c r="Z128" s="477">
        <v>0</v>
      </c>
      <c r="AA128" s="477">
        <v>0</v>
      </c>
      <c r="AB128" s="477">
        <v>0</v>
      </c>
      <c r="AC128" s="477">
        <v>0</v>
      </c>
      <c r="AD128" s="470">
        <f ca="1">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 ca="1">'Segment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 ca="1">C$89</f>
        <v>North America</v>
      </c>
      <c r="D131" s="16"/>
      <c r="E131" s="16"/>
      <c r="F131" s="469">
        <v>0</v>
      </c>
      <c r="G131" s="469">
        <v>0</v>
      </c>
      <c r="H131" s="469">
        <v>0</v>
      </c>
      <c r="I131" s="469">
        <v>0</v>
      </c>
      <c r="J131" s="470">
        <f t="shared" ref="J131:J135" si="115" ca="1">SUM(F131:I131)</f>
        <v>1e-12</v>
      </c>
      <c r="K131" s="469">
        <v>0</v>
      </c>
      <c r="L131" s="469">
        <v>0</v>
      </c>
      <c r="M131" s="469">
        <v>0</v>
      </c>
      <c r="N131" s="469">
        <v>0</v>
      </c>
      <c r="O131" s="470">
        <f t="shared" ref="O131:O135" si="116" ca="1">SUM(K131:N131)</f>
        <v>1e-12</v>
      </c>
      <c r="P131" s="469">
        <v>0</v>
      </c>
      <c r="Q131" s="469">
        <v>0</v>
      </c>
      <c r="R131" s="469">
        <v>0</v>
      </c>
      <c r="S131" s="469">
        <v>0</v>
      </c>
      <c r="T131" s="470">
        <f t="shared" ref="T131:T135" si="117" ca="1">SUM(P131:S131)</f>
        <v>1e-12</v>
      </c>
      <c r="U131" s="469">
        <v>0</v>
      </c>
      <c r="V131" s="469">
        <v>0</v>
      </c>
      <c r="W131" s="469">
        <v>0</v>
      </c>
      <c r="X131" s="477">
        <v>0</v>
      </c>
      <c r="Y131" s="470">
        <f t="shared" ref="Y131:Y135" si="118" ca="1">SUM(U131:X131)</f>
        <v>1e-12</v>
      </c>
      <c r="Z131" s="477">
        <v>0</v>
      </c>
      <c r="AA131" s="477">
        <v>0</v>
      </c>
      <c r="AB131" s="477">
        <v>0</v>
      </c>
      <c r="AC131" s="477">
        <v>0</v>
      </c>
      <c r="AD131" s="470">
        <f t="shared" ref="AD131:AD135" si="119" ca="1">SUM(Z131:AC131)</f>
        <v>1e-12</v>
      </c>
      <c r="AE131" s="478">
        <v>0</v>
      </c>
      <c r="AF131" s="478">
        <v>0</v>
      </c>
      <c r="AG131" s="478">
        <v>0</v>
      </c>
    </row>
    <row r="132" ht="14.25" customHeight="1" hidden="1" spans="1:33" x14ac:dyDescent="0.25" outlineLevel="1">
      <c r="C132" s="139" t="str">
        <f ca="1">C$90</f>
        <v>Europe</v>
      </c>
      <c r="D132" s="16"/>
      <c r="E132" s="16"/>
      <c r="F132" s="469">
        <v>0</v>
      </c>
      <c r="G132" s="469">
        <v>0</v>
      </c>
      <c r="H132" s="469">
        <v>0</v>
      </c>
      <c r="I132" s="469">
        <v>0</v>
      </c>
      <c r="J132" s="470">
        <f ca="1">SUM(F132:I132)</f>
        <v>1e-12</v>
      </c>
      <c r="K132" s="469">
        <v>0</v>
      </c>
      <c r="L132" s="469">
        <v>0</v>
      </c>
      <c r="M132" s="469">
        <v>0</v>
      </c>
      <c r="N132" s="469">
        <v>0</v>
      </c>
      <c r="O132" s="470">
        <f ca="1">SUM(K132:N132)</f>
        <v>1e-12</v>
      </c>
      <c r="P132" s="469">
        <v>0</v>
      </c>
      <c r="Q132" s="469">
        <v>0</v>
      </c>
      <c r="R132" s="469">
        <v>0</v>
      </c>
      <c r="S132" s="469">
        <v>0</v>
      </c>
      <c r="T132" s="470">
        <f ca="1">SUM(P132:S132)</f>
        <v>1e-12</v>
      </c>
      <c r="U132" s="469">
        <v>0</v>
      </c>
      <c r="V132" s="469">
        <v>0</v>
      </c>
      <c r="W132" s="469">
        <v>0</v>
      </c>
      <c r="X132" s="477">
        <v>0</v>
      </c>
      <c r="Y132" s="470">
        <f ca="1">SUM(U132:X132)</f>
        <v>1e-12</v>
      </c>
      <c r="Z132" s="477">
        <v>0</v>
      </c>
      <c r="AA132" s="477">
        <v>0</v>
      </c>
      <c r="AB132" s="477">
        <v>0</v>
      </c>
      <c r="AC132" s="477">
        <v>0</v>
      </c>
      <c r="AD132" s="470">
        <f ca="1">SUM(Z132:AC132)</f>
        <v>1e-12</v>
      </c>
      <c r="AE132" s="478">
        <v>0</v>
      </c>
      <c r="AF132" s="478">
        <v>0</v>
      </c>
      <c r="AG132" s="478">
        <v>0</v>
      </c>
    </row>
    <row r="133" ht="14.25" customHeight="1" hidden="1" spans="1:33" x14ac:dyDescent="0.25" outlineLevel="1">
      <c r="C133" s="139" t="str">
        <f ca="1">C$91</f>
        <v>South America</v>
      </c>
      <c r="D133" s="16"/>
      <c r="E133" s="16"/>
      <c r="F133" s="469">
        <v>0</v>
      </c>
      <c r="G133" s="469">
        <v>0</v>
      </c>
      <c r="H133" s="469">
        <v>0</v>
      </c>
      <c r="I133" s="469">
        <v>0</v>
      </c>
      <c r="J133" s="470">
        <f ca="1">SUM(F133:I133)</f>
        <v>1e-12</v>
      </c>
      <c r="K133" s="469">
        <v>0</v>
      </c>
      <c r="L133" s="469">
        <v>0</v>
      </c>
      <c r="M133" s="469">
        <v>0</v>
      </c>
      <c r="N133" s="469">
        <v>0</v>
      </c>
      <c r="O133" s="470">
        <f ca="1">SUM(K133:N133)</f>
        <v>1e-12</v>
      </c>
      <c r="P133" s="469">
        <v>0</v>
      </c>
      <c r="Q133" s="469">
        <v>0</v>
      </c>
      <c r="R133" s="469">
        <v>0</v>
      </c>
      <c r="S133" s="469">
        <v>0</v>
      </c>
      <c r="T133" s="470">
        <f ca="1">SUM(P133:S133)</f>
        <v>1e-12</v>
      </c>
      <c r="U133" s="469">
        <v>0</v>
      </c>
      <c r="V133" s="469">
        <v>0</v>
      </c>
      <c r="W133" s="469">
        <v>0</v>
      </c>
      <c r="X133" s="477">
        <v>0</v>
      </c>
      <c r="Y133" s="470">
        <f ca="1">SUM(U133:X133)</f>
        <v>1e-12</v>
      </c>
      <c r="Z133" s="477">
        <v>0</v>
      </c>
      <c r="AA133" s="477">
        <v>0</v>
      </c>
      <c r="AB133" s="477">
        <v>0</v>
      </c>
      <c r="AC133" s="477">
        <v>0</v>
      </c>
      <c r="AD133" s="470">
        <f ca="1">SUM(Z133:AC133)</f>
        <v>1e-12</v>
      </c>
      <c r="AE133" s="478">
        <v>0</v>
      </c>
      <c r="AF133" s="478">
        <v>0</v>
      </c>
      <c r="AG133" s="478">
        <v>0</v>
      </c>
    </row>
    <row r="134" ht="14.25" customHeight="1" hidden="1" spans="1:33" x14ac:dyDescent="0.25" outlineLevel="1">
      <c r="C134" s="139" t="str">
        <f ca="1">C$92</f>
        <v>Middle East &amp; Africa</v>
      </c>
      <c r="D134" s="16"/>
      <c r="E134" s="16"/>
      <c r="F134" s="469">
        <v>0</v>
      </c>
      <c r="G134" s="469">
        <v>0</v>
      </c>
      <c r="H134" s="469">
        <v>0</v>
      </c>
      <c r="I134" s="469">
        <v>0</v>
      </c>
      <c r="J134" s="470">
        <f ca="1">SUM(F134:I134)</f>
        <v>1e-12</v>
      </c>
      <c r="K134" s="469">
        <v>0</v>
      </c>
      <c r="L134" s="469">
        <v>0</v>
      </c>
      <c r="M134" s="469">
        <v>0</v>
      </c>
      <c r="N134" s="469">
        <v>0</v>
      </c>
      <c r="O134" s="470">
        <f ca="1">SUM(K134:N134)</f>
        <v>1e-12</v>
      </c>
      <c r="P134" s="469">
        <v>0</v>
      </c>
      <c r="Q134" s="469">
        <v>0</v>
      </c>
      <c r="R134" s="469">
        <v>0</v>
      </c>
      <c r="S134" s="469">
        <v>0</v>
      </c>
      <c r="T134" s="470">
        <f ca="1">SUM(P134:S134)</f>
        <v>1e-12</v>
      </c>
      <c r="U134" s="469">
        <v>0</v>
      </c>
      <c r="V134" s="469">
        <v>0</v>
      </c>
      <c r="W134" s="469">
        <v>0</v>
      </c>
      <c r="X134" s="477">
        <v>0</v>
      </c>
      <c r="Y134" s="470">
        <f ca="1">SUM(U134:X134)</f>
        <v>1e-12</v>
      </c>
      <c r="Z134" s="477">
        <v>0</v>
      </c>
      <c r="AA134" s="477">
        <v>0</v>
      </c>
      <c r="AB134" s="477">
        <v>0</v>
      </c>
      <c r="AC134" s="477">
        <v>0</v>
      </c>
      <c r="AD134" s="470">
        <f ca="1">SUM(Z134:AC134)</f>
        <v>1e-12</v>
      </c>
      <c r="AE134" s="478">
        <v>0</v>
      </c>
      <c r="AF134" s="478">
        <v>0</v>
      </c>
      <c r="AG134" s="478">
        <v>0</v>
      </c>
    </row>
    <row r="135" ht="14.25" customHeight="1" hidden="1" spans="1:33" x14ac:dyDescent="0.25" outlineLevel="1">
      <c r="C135" s="139" t="str">
        <f ca="1">C$93</f>
        <v>Asia Pacific</v>
      </c>
      <c r="D135" s="16"/>
      <c r="E135" s="16"/>
      <c r="F135" s="469">
        <v>0</v>
      </c>
      <c r="G135" s="469">
        <v>0</v>
      </c>
      <c r="H135" s="469">
        <v>0</v>
      </c>
      <c r="I135" s="469">
        <v>0</v>
      </c>
      <c r="J135" s="470">
        <f ca="1">SUM(F135:I135)</f>
        <v>1e-12</v>
      </c>
      <c r="K135" s="469">
        <v>0</v>
      </c>
      <c r="L135" s="469">
        <v>0</v>
      </c>
      <c r="M135" s="469">
        <v>0</v>
      </c>
      <c r="N135" s="469">
        <v>0</v>
      </c>
      <c r="O135" s="470">
        <f ca="1">SUM(K135:N135)</f>
        <v>1e-12</v>
      </c>
      <c r="P135" s="469">
        <v>0</v>
      </c>
      <c r="Q135" s="469">
        <v>0</v>
      </c>
      <c r="R135" s="469">
        <v>0</v>
      </c>
      <c r="S135" s="469">
        <v>0</v>
      </c>
      <c r="T135" s="470">
        <f ca="1">SUM(P135:S135)</f>
        <v>1e-12</v>
      </c>
      <c r="U135" s="469">
        <v>0</v>
      </c>
      <c r="V135" s="469">
        <v>0</v>
      </c>
      <c r="W135" s="469">
        <v>0</v>
      </c>
      <c r="X135" s="477">
        <v>0</v>
      </c>
      <c r="Y135" s="470">
        <f ca="1">SUM(U135:X135)</f>
        <v>1e-12</v>
      </c>
      <c r="Z135" s="477">
        <v>0</v>
      </c>
      <c r="AA135" s="477">
        <v>0</v>
      </c>
      <c r="AB135" s="477">
        <v>0</v>
      </c>
      <c r="AC135" s="477">
        <v>0</v>
      </c>
      <c r="AD135" s="470">
        <f ca="1">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 ca="1">'Segment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 ca="1">C$89</f>
        <v>North America</v>
      </c>
      <c r="D138" s="16"/>
      <c r="E138" s="16"/>
      <c r="F138" s="469">
        <v>0</v>
      </c>
      <c r="G138" s="469">
        <v>0</v>
      </c>
      <c r="H138" s="469">
        <v>0</v>
      </c>
      <c r="I138" s="469">
        <v>0</v>
      </c>
      <c r="J138" s="470">
        <f t="shared" ref="J138:J142" si="120" ca="1">SUM(F138:I138)</f>
        <v>1e-12</v>
      </c>
      <c r="K138" s="469">
        <v>0</v>
      </c>
      <c r="L138" s="469">
        <v>0</v>
      </c>
      <c r="M138" s="469">
        <v>0</v>
      </c>
      <c r="N138" s="469">
        <v>0</v>
      </c>
      <c r="O138" s="470">
        <f t="shared" ref="O138:O142" si="121" ca="1">SUM(K138:N138)</f>
        <v>1e-12</v>
      </c>
      <c r="P138" s="469">
        <v>0</v>
      </c>
      <c r="Q138" s="469">
        <v>0</v>
      </c>
      <c r="R138" s="469">
        <v>0</v>
      </c>
      <c r="S138" s="469">
        <v>0</v>
      </c>
      <c r="T138" s="470">
        <f t="shared" ref="T138:T142" si="122" ca="1">SUM(P138:S138)</f>
        <v>1e-12</v>
      </c>
      <c r="U138" s="469">
        <v>0</v>
      </c>
      <c r="V138" s="469">
        <v>0</v>
      </c>
      <c r="W138" s="469">
        <v>0</v>
      </c>
      <c r="X138" s="477">
        <v>0</v>
      </c>
      <c r="Y138" s="470">
        <f t="shared" ref="Y138:Y142" si="123" ca="1">SUM(U138:X138)</f>
        <v>1e-12</v>
      </c>
      <c r="Z138" s="477">
        <v>0</v>
      </c>
      <c r="AA138" s="477">
        <v>0</v>
      </c>
      <c r="AB138" s="477">
        <v>0</v>
      </c>
      <c r="AC138" s="477">
        <v>0</v>
      </c>
      <c r="AD138" s="470">
        <f t="shared" ref="AD138:AD142" si="124" ca="1">SUM(Z138:AC138)</f>
        <v>1e-12</v>
      </c>
      <c r="AE138" s="478">
        <v>0</v>
      </c>
      <c r="AF138" s="478">
        <v>0</v>
      </c>
      <c r="AG138" s="478">
        <v>0</v>
      </c>
    </row>
    <row r="139" ht="14.25" customHeight="1" hidden="1" spans="1:33" x14ac:dyDescent="0.25" outlineLevel="1">
      <c r="C139" s="139" t="str">
        <f ca="1">C$90</f>
        <v>Europe</v>
      </c>
      <c r="D139" s="16"/>
      <c r="E139" s="16"/>
      <c r="F139" s="469">
        <v>0</v>
      </c>
      <c r="G139" s="469">
        <v>0</v>
      </c>
      <c r="H139" s="469">
        <v>0</v>
      </c>
      <c r="I139" s="469">
        <v>0</v>
      </c>
      <c r="J139" s="470">
        <f ca="1">SUM(F139:I139)</f>
        <v>1e-12</v>
      </c>
      <c r="K139" s="469">
        <v>0</v>
      </c>
      <c r="L139" s="469">
        <v>0</v>
      </c>
      <c r="M139" s="469">
        <v>0</v>
      </c>
      <c r="N139" s="469">
        <v>0</v>
      </c>
      <c r="O139" s="470">
        <f ca="1">SUM(K139:N139)</f>
        <v>1e-12</v>
      </c>
      <c r="P139" s="469">
        <v>0</v>
      </c>
      <c r="Q139" s="469">
        <v>0</v>
      </c>
      <c r="R139" s="469">
        <v>0</v>
      </c>
      <c r="S139" s="469">
        <v>0</v>
      </c>
      <c r="T139" s="470">
        <f ca="1">SUM(P139:S139)</f>
        <v>1e-12</v>
      </c>
      <c r="U139" s="469">
        <v>0</v>
      </c>
      <c r="V139" s="469">
        <v>0</v>
      </c>
      <c r="W139" s="469">
        <v>0</v>
      </c>
      <c r="X139" s="477">
        <v>0</v>
      </c>
      <c r="Y139" s="470">
        <f ca="1">SUM(U139:X139)</f>
        <v>1e-12</v>
      </c>
      <c r="Z139" s="477">
        <v>0</v>
      </c>
      <c r="AA139" s="477">
        <v>0</v>
      </c>
      <c r="AB139" s="477">
        <v>0</v>
      </c>
      <c r="AC139" s="477">
        <v>0</v>
      </c>
      <c r="AD139" s="470">
        <f ca="1">SUM(Z139:AC139)</f>
        <v>1e-12</v>
      </c>
      <c r="AE139" s="478">
        <v>0</v>
      </c>
      <c r="AF139" s="478">
        <v>0</v>
      </c>
      <c r="AG139" s="478">
        <v>0</v>
      </c>
    </row>
    <row r="140" ht="14.25" customHeight="1" hidden="1" spans="1:33" x14ac:dyDescent="0.25" outlineLevel="1">
      <c r="C140" s="139" t="str">
        <f ca="1">C$91</f>
        <v>South America</v>
      </c>
      <c r="D140" s="16"/>
      <c r="E140" s="16"/>
      <c r="F140" s="469">
        <v>0</v>
      </c>
      <c r="G140" s="469">
        <v>0</v>
      </c>
      <c r="H140" s="469">
        <v>0</v>
      </c>
      <c r="I140" s="469">
        <v>0</v>
      </c>
      <c r="J140" s="470">
        <f ca="1">SUM(F140:I140)</f>
        <v>1e-12</v>
      </c>
      <c r="K140" s="469">
        <v>0</v>
      </c>
      <c r="L140" s="469">
        <v>0</v>
      </c>
      <c r="M140" s="469">
        <v>0</v>
      </c>
      <c r="N140" s="469">
        <v>0</v>
      </c>
      <c r="O140" s="470">
        <f ca="1">SUM(K140:N140)</f>
        <v>1e-12</v>
      </c>
      <c r="P140" s="469">
        <v>0</v>
      </c>
      <c r="Q140" s="469">
        <v>0</v>
      </c>
      <c r="R140" s="469">
        <v>0</v>
      </c>
      <c r="S140" s="469">
        <v>0</v>
      </c>
      <c r="T140" s="470">
        <f ca="1">SUM(P140:S140)</f>
        <v>1e-12</v>
      </c>
      <c r="U140" s="469">
        <v>0</v>
      </c>
      <c r="V140" s="469">
        <v>0</v>
      </c>
      <c r="W140" s="469">
        <v>0</v>
      </c>
      <c r="X140" s="477">
        <v>0</v>
      </c>
      <c r="Y140" s="470">
        <f ca="1">SUM(U140:X140)</f>
        <v>1e-12</v>
      </c>
      <c r="Z140" s="477">
        <v>0</v>
      </c>
      <c r="AA140" s="477">
        <v>0</v>
      </c>
      <c r="AB140" s="477">
        <v>0</v>
      </c>
      <c r="AC140" s="477">
        <v>0</v>
      </c>
      <c r="AD140" s="470">
        <f ca="1">SUM(Z140:AC140)</f>
        <v>1e-12</v>
      </c>
      <c r="AE140" s="478">
        <v>0</v>
      </c>
      <c r="AF140" s="478">
        <v>0</v>
      </c>
      <c r="AG140" s="478">
        <v>0</v>
      </c>
    </row>
    <row r="141" ht="14.25" customHeight="1" hidden="1" spans="1:33" x14ac:dyDescent="0.25" outlineLevel="1">
      <c r="C141" s="139" t="str">
        <f ca="1">C$92</f>
        <v>Middle East &amp; Africa</v>
      </c>
      <c r="D141" s="16"/>
      <c r="E141" s="16"/>
      <c r="F141" s="469">
        <v>0</v>
      </c>
      <c r="G141" s="469">
        <v>0</v>
      </c>
      <c r="H141" s="469">
        <v>0</v>
      </c>
      <c r="I141" s="469">
        <v>0</v>
      </c>
      <c r="J141" s="470">
        <f ca="1">SUM(F141:I141)</f>
        <v>1e-12</v>
      </c>
      <c r="K141" s="469">
        <v>0</v>
      </c>
      <c r="L141" s="469">
        <v>0</v>
      </c>
      <c r="M141" s="469">
        <v>0</v>
      </c>
      <c r="N141" s="469">
        <v>0</v>
      </c>
      <c r="O141" s="470">
        <f ca="1">SUM(K141:N141)</f>
        <v>1e-12</v>
      </c>
      <c r="P141" s="469">
        <v>0</v>
      </c>
      <c r="Q141" s="469">
        <v>0</v>
      </c>
      <c r="R141" s="469">
        <v>0</v>
      </c>
      <c r="S141" s="469">
        <v>0</v>
      </c>
      <c r="T141" s="470">
        <f ca="1">SUM(P141:S141)</f>
        <v>1e-12</v>
      </c>
      <c r="U141" s="469">
        <v>0</v>
      </c>
      <c r="V141" s="469">
        <v>0</v>
      </c>
      <c r="W141" s="469">
        <v>0</v>
      </c>
      <c r="X141" s="477">
        <v>0</v>
      </c>
      <c r="Y141" s="470">
        <f ca="1">SUM(U141:X141)</f>
        <v>1e-12</v>
      </c>
      <c r="Z141" s="477">
        <v>0</v>
      </c>
      <c r="AA141" s="477">
        <v>0</v>
      </c>
      <c r="AB141" s="477">
        <v>0</v>
      </c>
      <c r="AC141" s="477">
        <v>0</v>
      </c>
      <c r="AD141" s="470">
        <f ca="1">SUM(Z141:AC141)</f>
        <v>1e-12</v>
      </c>
      <c r="AE141" s="478">
        <v>0</v>
      </c>
      <c r="AF141" s="478">
        <v>0</v>
      </c>
      <c r="AG141" s="478">
        <v>0</v>
      </c>
    </row>
    <row r="142" ht="14.25" customHeight="1" hidden="1" spans="1:33" x14ac:dyDescent="0.25" outlineLevel="1">
      <c r="C142" s="139" t="str">
        <f ca="1">C$93</f>
        <v>Asia Pacific</v>
      </c>
      <c r="D142" s="16"/>
      <c r="E142" s="16"/>
      <c r="F142" s="469">
        <v>0</v>
      </c>
      <c r="G142" s="469">
        <v>0</v>
      </c>
      <c r="H142" s="469">
        <v>0</v>
      </c>
      <c r="I142" s="469">
        <v>0</v>
      </c>
      <c r="J142" s="470">
        <f ca="1">SUM(F142:I142)</f>
        <v>1e-12</v>
      </c>
      <c r="K142" s="469">
        <v>0</v>
      </c>
      <c r="L142" s="469">
        <v>0</v>
      </c>
      <c r="M142" s="469">
        <v>0</v>
      </c>
      <c r="N142" s="469">
        <v>0</v>
      </c>
      <c r="O142" s="470">
        <f ca="1">SUM(K142:N142)</f>
        <v>1e-12</v>
      </c>
      <c r="P142" s="469">
        <v>0</v>
      </c>
      <c r="Q142" s="469">
        <v>0</v>
      </c>
      <c r="R142" s="469">
        <v>0</v>
      </c>
      <c r="S142" s="469">
        <v>0</v>
      </c>
      <c r="T142" s="470">
        <f ca="1">SUM(P142:S142)</f>
        <v>1e-12</v>
      </c>
      <c r="U142" s="469">
        <v>0</v>
      </c>
      <c r="V142" s="469">
        <v>0</v>
      </c>
      <c r="W142" s="469">
        <v>0</v>
      </c>
      <c r="X142" s="477">
        <v>0</v>
      </c>
      <c r="Y142" s="470">
        <f ca="1">SUM(U142:X142)</f>
        <v>1e-12</v>
      </c>
      <c r="Z142" s="477">
        <v>0</v>
      </c>
      <c r="AA142" s="477">
        <v>0</v>
      </c>
      <c r="AB142" s="477">
        <v>0</v>
      </c>
      <c r="AC142" s="477">
        <v>0</v>
      </c>
      <c r="AD142" s="470">
        <f ca="1">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 ca="1">IFERROR(Model!F61/Model!F28,"N/A")</f>
        <v>0.10512672811059907</v>
      </c>
      <c r="G146" s="377">
        <f ca="1">IFERROR(Model!G61/Model!G28,"N/A")</f>
        <v>0.12825258521639218</v>
      </c>
      <c r="H146" s="377">
        <f ca="1">IFERROR(Model!H61/Model!H28,"N/A")</f>
        <v>0.09186448463967843</v>
      </c>
      <c r="I146" s="377">
        <f ca="1">IFERROR(Model!I61/Model!I28,"N/A")</f>
        <v>0.07911478972261282</v>
      </c>
      <c r="J146" s="378">
        <f ca="1">IFERROR(Model!J61/Model!J28,"N/A")</f>
        <v>0.10295460601046151</v>
      </c>
      <c r="K146" s="377">
        <f ca="1">IFERROR(Model!K61/Model!K28,"N/A")</f>
        <v>0.09285102305394284</v>
      </c>
      <c r="L146" s="377">
        <f ca="1">IFERROR(Model!L61/Model!L28,"N/A")</f>
        <v>0.1286113757621951</v>
      </c>
      <c r="M146" s="377">
        <f ca="1">IFERROR(Model!M61/Model!M28,"N/A")</f>
        <v>0.10964458247066942</v>
      </c>
      <c r="N146" s="377">
        <f ca="1">IFERROR(Model!N61/Model!N28,"N/A")</f>
        <v>0.09427341361452549</v>
      </c>
      <c r="O146" s="378">
        <f ca="1">IFERROR(Model!O61/Model!O28,"N/A")</f>
        <v>0.10761906081942674</v>
      </c>
      <c r="P146" s="377">
        <f ca="1">IFERROR(Model!P61/Model!P28,"N/A")</f>
        <v>0.11814790343074968</v>
      </c>
      <c r="Q146" s="377">
        <f ca="1">IFERROR(Model!Q61/Model!Q28,"N/A")</f>
        <v>0.15718738553952094</v>
      </c>
      <c r="R146" s="377">
        <f ca="1">IFERROR(Model!R61/Model!R28,"N/A")</f>
        <v>0.14957102514680176</v>
      </c>
      <c r="S146" s="377">
        <f ca="1">IFERROR(Model!S61/Model!S28,"N/A")</f>
        <v>0.1555314854019989</v>
      </c>
      <c r="T146" s="378">
        <f ca="1">IFERROR(Model!T61/Model!T28,"N/A")</f>
        <v>0.14634273468977757</v>
      </c>
      <c r="U146" s="377">
        <f ca="1">IFERROR(Model!U61/Model!U28,"N/A")</f>
        <v>0.14888215543362543</v>
      </c>
      <c r="V146" s="377">
        <f ca="1">IFERROR(Model!V61/Model!V28,"N/A")</f>
        <v>0.16753717809212912</v>
      </c>
      <c r="W146" s="377">
        <f ca="1">IFERROR(Model!W61/Model!W28,"N/A")</f>
        <v>0.13993367658608954</v>
      </c>
      <c r="X146" s="379" t="str">
        <f ca="1">IFERROR(Model!X61/Model!X28,"N/A")</f>
        <v>N/A</v>
      </c>
      <c r="Y146" s="378" t="str">
        <f ca="1">IFERROR(Model!Y61/Model!Y28,"N/A")</f>
        <v>N/A</v>
      </c>
      <c r="Z146" s="379" t="str">
        <f ca="1">IFERROR(Model!Z61/Model!Z28,"N/A")</f>
        <v>N/A</v>
      </c>
      <c r="AA146" s="379" t="str">
        <f ca="1">IFERROR(Model!AA61/Model!AA28,"N/A")</f>
        <v>N/A</v>
      </c>
      <c r="AB146" s="379" t="str">
        <f ca="1">IFERROR(Model!AB61/Model!AB28,"N/A")</f>
        <v>N/A</v>
      </c>
      <c r="AC146" s="379" t="str">
        <f ca="1">IFERROR(Model!AC61/Model!AC28,"N/A")</f>
        <v>N/A</v>
      </c>
      <c r="AD146" s="378" t="str">
        <f ca="1">IFERROR(Model!AD61/Model!AD28,"N/A")</f>
        <v>N/A</v>
      </c>
      <c r="AE146" s="378" t="str">
        <f ca="1">IFERROR(Model!AE61/Model!AE28,"N/A")</f>
        <v>N/A</v>
      </c>
      <c r="AF146" s="378" t="str">
        <f ca="1">IFERROR(Model!AF61/Model!AF28,"N/A")</f>
        <v>N/A</v>
      </c>
      <c r="AG146" s="378" t="str">
        <f ca="1">IFERROR(Model!AG61/Model!AG28,"N/A")</f>
        <v>N/A</v>
      </c>
    </row>
    <row r="147" ht="14.25" customHeight="1" hidden="1" spans="1:33" x14ac:dyDescent="0.25" outlineLevel="1">
      <c r="C147" s="16" t="str">
        <f t="shared" ref="C147:C152" si="125" ca="1">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 ca="1">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 ca="1">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 ca="1">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 ca="1">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 ca="1">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 ca="1">IFERROR(Model!F36/Model!F28,"N/A")</f>
        <v>0.08438940092165899</v>
      </c>
      <c r="G154" s="377">
        <f ca="1">IFERROR(Model!G36/Model!G28,"N/A")</f>
        <v>0.10355227882037533</v>
      </c>
      <c r="H154" s="377">
        <f ca="1">IFERROR(Model!H36/Model!H28,"N/A")</f>
        <v>0.0549526270456503</v>
      </c>
      <c r="I154" s="377">
        <f ca="1">IFERROR(Model!I36/Model!I28,"N/A")</f>
        <v>-0.036239294388342065</v>
      </c>
      <c r="J154" s="378">
        <f ca="1">IFERROR(Model!J36/Model!J28,"N/A")</f>
        <v>0.05634632374595072</v>
      </c>
      <c r="K154" s="377">
        <f ca="1">IFERROR(Model!K36/Model!K28,"N/A")</f>
        <v>0.07987148413279974</v>
      </c>
      <c r="L154" s="377">
        <f ca="1">IFERROR(Model!L36/Model!L28,"N/A")</f>
        <v>0.11342416158536585</v>
      </c>
      <c r="M154" s="377">
        <f ca="1">IFERROR(Model!M36/Model!M28,"N/A")</f>
        <v>0.08960202438463308</v>
      </c>
      <c r="N154" s="377">
        <f ca="1">IFERROR(Model!N36/Model!N28,"N/A")</f>
        <v>0.05977413115367817</v>
      </c>
      <c r="O154" s="378">
        <f ca="1">IFERROR(Model!O36/Model!O28,"N/A")</f>
        <v>0.08751455341797416</v>
      </c>
      <c r="P154" s="377">
        <f ca="1">IFERROR(Model!P36/Model!P28,"N/A")</f>
        <v>0.10119440914866581</v>
      </c>
      <c r="Q154" s="377">
        <f ca="1">IFERROR(Model!Q36/Model!Q28,"N/A")</f>
        <v>0.14493443703757966</v>
      </c>
      <c r="R154" s="377">
        <f ca="1">IFERROR(Model!R36/Model!R28,"N/A")</f>
        <v>0.09749428481778655</v>
      </c>
      <c r="S154" s="377">
        <f ca="1">IFERROR(Model!S36/Model!S28,"N/A")</f>
        <v>0.13633006745113485</v>
      </c>
      <c r="T154" s="378">
        <f ca="1">IFERROR(Model!T36/Model!T28,"N/A")</f>
        <v>0.12156657030927374</v>
      </c>
      <c r="U154" s="377">
        <f ca="1">IFERROR(Model!U36/Model!U28,"N/A")</f>
        <v>0.132872000655147</v>
      </c>
      <c r="V154" s="377">
        <f ca="1">IFERROR(Model!V36/Model!V28,"N/A")</f>
        <v>0.15270221254987304</v>
      </c>
      <c r="W154" s="377">
        <f ca="1">IFERROR(Model!W36/Model!W28,"N/A")</f>
        <v>0.1216947377607121</v>
      </c>
      <c r="X154" s="379">
        <f ca="1">IFERROR(Model!X36/Model!X28,"N/A")</f>
        <v>-0.10521155515545128</v>
      </c>
      <c r="Y154" s="378">
        <f ca="1">IFERROR(Model!Y36/Model!Y28,"N/A")</f>
        <v>0.08226262669098001</v>
      </c>
      <c r="Z154" s="379">
        <f ca="1">IFERROR(Model!Z36/Model!Z28,"N/A")</f>
        <v>-0.09791767198324655</v>
      </c>
      <c r="AA154" s="379">
        <f ca="1">IFERROR(Model!AA36/Model!AA28,"N/A")</f>
        <v>-0.09150141466977164</v>
      </c>
      <c r="AB154" s="379">
        <f ca="1">IFERROR(Model!AB36/Model!AB28,"N/A")</f>
        <v>-0.11327856808301211</v>
      </c>
      <c r="AC154" s="379">
        <f ca="1">IFERROR(Model!AC36/Model!AC28,"N/A")</f>
        <v>-0.09904599278058888</v>
      </c>
      <c r="AD154" s="378">
        <f ca="1">IFERROR(Model!AD36/Model!AD28,"N/A")</f>
        <v>-0.10015651845772622</v>
      </c>
      <c r="AE154" s="378">
        <f ca="1">IFERROR(Model!AE36/Model!AE28,"N/A")</f>
        <v>-0.08923024548635708</v>
      </c>
      <c r="AF154" s="378">
        <f ca="1">IFERROR(Model!AF36/Model!AF28,"N/A")</f>
        <v>-0.08444869393268568</v>
      </c>
      <c r="AG154" s="378">
        <f ca="1">IFERROR(Model!AG36/Model!AG28,"N/A")</f>
        <v>-0.07764743918581588</v>
      </c>
    </row>
    <row r="155" ht="14.25" customHeight="1" spans="1:33" x14ac:dyDescent="0.25" outlineLevel="1">
      <c r="C155" s="16" t="str">
        <f t="shared" ref="C155:C160" si="126" ca="1">C16</f>
        <v>Home Improvement Retail</v>
      </c>
      <c r="D155" s="16"/>
      <c r="E155" s="16"/>
      <c r="F155" s="377">
        <f t="shared" ref="F155:AG155" si="127" ca="1">IFERROR(F34/F8,"N/A")</f>
        <v>0.08438940092165899</v>
      </c>
      <c r="G155" s="377">
        <f ca="1">IFERROR(G34/G8,"N/A")</f>
        <v>0.10355227882037533</v>
      </c>
      <c r="H155" s="377">
        <f ca="1">IFERROR(H34/H8,"N/A")</f>
        <v>0.0549526270456503</v>
      </c>
      <c r="I155" s="377">
        <f ca="1">IFERROR(I34/I8,"N/A")</f>
        <v>-0.036239294388342065</v>
      </c>
      <c r="J155" s="378">
        <f ca="1">IFERROR(J34/J8,"N/A")</f>
        <v>0.05634632374595072</v>
      </c>
      <c r="K155" s="377">
        <f ca="1">IFERROR(K34/K8,"N/A")</f>
        <v>0.07987148413279974</v>
      </c>
      <c r="L155" s="377">
        <f ca="1">IFERROR(L34/L8,"N/A")</f>
        <v>0.11342416158536585</v>
      </c>
      <c r="M155" s="377">
        <f ca="1">IFERROR(M34/M8,"N/A")</f>
        <v>0.08960202438463308</v>
      </c>
      <c r="N155" s="377">
        <f ca="1">IFERROR(N34/N8,"N/A")</f>
        <v>0.05977413115367817</v>
      </c>
      <c r="O155" s="378">
        <f ca="1">IFERROR(O34/O8,"N/A")</f>
        <v>0.08751455341797416</v>
      </c>
      <c r="P155" s="377">
        <f ca="1">IFERROR(P34/P8,"N/A")</f>
        <v>0.10119440914866581</v>
      </c>
      <c r="Q155" s="377">
        <f ca="1">IFERROR(Q34/Q8,"N/A")</f>
        <v>0.14493443703757966</v>
      </c>
      <c r="R155" s="377">
        <f ca="1">IFERROR(R34/R8,"N/A")</f>
        <v>0.14493253843740195</v>
      </c>
      <c r="S155" s="377">
        <f ca="1">IFERROR(S34/S8,"N/A")</f>
        <v>0.13633006745113485</v>
      </c>
      <c r="T155" s="378">
        <f ca="1">IFERROR(T34/T8,"N/A")</f>
        <v>0.13337834972153084</v>
      </c>
      <c r="U155" s="377">
        <f ca="1">IFERROR(U34/U8,"N/A")</f>
        <v>0.105</v>
      </c>
      <c r="V155" s="377">
        <f ca="1">IFERROR(V34/V8,"N/A")</f>
        <v>0.108</v>
      </c>
      <c r="W155" s="377">
        <f ca="1">IFERROR(W34/W8,"N/A")</f>
        <v>0.1216947377607121</v>
      </c>
      <c r="X155" s="379">
        <f ca="1">IFERROR(X34/X8,"N/A")</f>
        <v>0.13</v>
      </c>
      <c r="Y155" s="378">
        <f ca="1">IFERROR(Y34/Y8,"N/A")</f>
        <v>0.11544270345803409</v>
      </c>
      <c r="Z155" s="379">
        <f ca="1">IFERROR(Z34/Z8,"N/A")</f>
        <v>0.14</v>
      </c>
      <c r="AA155" s="379">
        <f ca="1">IFERROR(AA34/AA8,"N/A")</f>
        <v>0.145</v>
      </c>
      <c r="AB155" s="379">
        <f ca="1">IFERROR(AB34/AB8,"N/A")</f>
        <v>0.12</v>
      </c>
      <c r="AC155" s="379">
        <f ca="1">IFERROR(AC34/AC8,"N/A")</f>
        <v>0.135</v>
      </c>
      <c r="AD155" s="378">
        <f ca="1">IFERROR(AD34/AD8,"N/A")</f>
        <v>0.13533005878561805</v>
      </c>
      <c r="AE155" s="378">
        <f ca="1">IFERROR(AE34/AE8,"N/A")</f>
        <v>0.139</v>
      </c>
      <c r="AF155" s="378">
        <f ca="1">IFERROR(AF34/AF8,"N/A")</f>
        <v>0.14</v>
      </c>
      <c r="AG155" s="378">
        <f ca="1">IFERROR(AG34/AG8,"N/A")</f>
        <v>0.142</v>
      </c>
    </row>
    <row r="156" ht="14.25" customHeight="1" spans="1:33" x14ac:dyDescent="0.25" outlineLevel="1">
      <c r="C156" s="16" t="str">
        <f ca="1">C17</f>
        <v>Segment 2</v>
      </c>
      <c r="D156" s="16"/>
      <c r="E156" s="16"/>
      <c r="F156" s="377" t="str">
        <f t="shared" ref="F156:AG156" si="128" ca="1">IFERROR(F35/F9,"N/A")</f>
        <v>N/A</v>
      </c>
      <c r="G156" s="377" t="str">
        <f ca="1">IFERROR(G35/G9,"N/A")</f>
        <v>N/A</v>
      </c>
      <c r="H156" s="377" t="str">
        <f ca="1">IFERROR(H35/H9,"N/A")</f>
        <v>N/A</v>
      </c>
      <c r="I156" s="377" t="str">
        <f ca="1">IFERROR(I35/I9,"N/A")</f>
        <v>N/A</v>
      </c>
      <c r="J156" s="378" t="str">
        <f ca="1">IFERROR(J35/J9,"N/A")</f>
        <v>N/A</v>
      </c>
      <c r="K156" s="377" t="str">
        <f ca="1">IFERROR(K35/K9,"N/A")</f>
        <v>N/A</v>
      </c>
      <c r="L156" s="377" t="str">
        <f ca="1">IFERROR(L35/L9,"N/A")</f>
        <v>N/A</v>
      </c>
      <c r="M156" s="377" t="str">
        <f ca="1">IFERROR(M35/M9,"N/A")</f>
        <v>N/A</v>
      </c>
      <c r="N156" s="377" t="str">
        <f ca="1">IFERROR(N35/N9,"N/A")</f>
        <v>N/A</v>
      </c>
      <c r="O156" s="378" t="str">
        <f ca="1">IFERROR(O35/O9,"N/A")</f>
        <v>N/A</v>
      </c>
      <c r="P156" s="377" t="str">
        <f ca="1">IFERROR(P35/P9,"N/A")</f>
        <v>N/A</v>
      </c>
      <c r="Q156" s="377" t="str">
        <f ca="1">IFERROR(Q35/Q9,"N/A")</f>
        <v>N/A</v>
      </c>
      <c r="R156" s="377" t="str">
        <f ca="1">IFERROR(R35/R9,"N/A")</f>
        <v>N/A</v>
      </c>
      <c r="S156" s="377" t="str">
        <f ca="1">IFERROR(S35/S9,"N/A")</f>
        <v>N/A</v>
      </c>
      <c r="T156" s="378" t="str">
        <f ca="1">IFERROR(T35/T9,"N/A")</f>
        <v>N/A</v>
      </c>
      <c r="U156" s="377" t="str">
        <f ca="1">IFERROR(U35/U9,"N/A")</f>
        <v>N/A</v>
      </c>
      <c r="V156" s="377" t="str">
        <f ca="1">IFERROR(V35/V9,"N/A")</f>
        <v>N/A</v>
      </c>
      <c r="W156" s="377" t="str">
        <f ca="1">IFERROR(W35/W9,"N/A")</f>
        <v>N/A</v>
      </c>
      <c r="X156" s="379" t="str">
        <f ca="1">IFERROR(X35/X9,"N/A")</f>
        <v>N/A</v>
      </c>
      <c r="Y156" s="378" t="str">
        <f ca="1">IFERROR(Y35/Y9,"N/A")</f>
        <v>N/A</v>
      </c>
      <c r="Z156" s="379" t="str">
        <f ca="1">IFERROR(Z35/Z9,"N/A")</f>
        <v>N/A</v>
      </c>
      <c r="AA156" s="379" t="str">
        <f ca="1">IFERROR(AA35/AA9,"N/A")</f>
        <v>N/A</v>
      </c>
      <c r="AB156" s="379" t="str">
        <f ca="1">IFERROR(AB35/AB9,"N/A")</f>
        <v>N/A</v>
      </c>
      <c r="AC156" s="379" t="str">
        <f ca="1">IFERROR(AC35/AC9,"N/A")</f>
        <v>N/A</v>
      </c>
      <c r="AD156" s="378" t="str">
        <f ca="1">IFERROR(AD35/AD9,"N/A")</f>
        <v>N/A</v>
      </c>
      <c r="AE156" s="378" t="str">
        <f ca="1">IFERROR(AE35/AE9,"N/A")</f>
        <v>N/A</v>
      </c>
      <c r="AF156" s="378" t="str">
        <f ca="1">IFERROR(AF35/AF9,"N/A")</f>
        <v>N/A</v>
      </c>
      <c r="AG156" s="378" t="str">
        <f ca="1">IFERROR(AG35/AG9,"N/A")</f>
        <v>N/A</v>
      </c>
    </row>
    <row r="157" ht="14.25" customHeight="1" spans="1:33" x14ac:dyDescent="0.25" outlineLevel="1">
      <c r="C157" s="16" t="str">
        <f ca="1">C18</f>
        <v>Segment 3</v>
      </c>
      <c r="D157" s="16"/>
      <c r="E157" s="16"/>
      <c r="F157" s="377" t="str">
        <f t="shared" ref="F157:AG157" si="129" ca="1">IFERROR(F36/F10,"N/A")</f>
        <v>N/A</v>
      </c>
      <c r="G157" s="377" t="str">
        <f ca="1">IFERROR(G36/G10,"N/A")</f>
        <v>N/A</v>
      </c>
      <c r="H157" s="377" t="str">
        <f ca="1">IFERROR(H36/H10,"N/A")</f>
        <v>N/A</v>
      </c>
      <c r="I157" s="377" t="str">
        <f ca="1">IFERROR(I36/I10,"N/A")</f>
        <v>N/A</v>
      </c>
      <c r="J157" s="378" t="str">
        <f ca="1">IFERROR(J36/J10,"N/A")</f>
        <v>N/A</v>
      </c>
      <c r="K157" s="377" t="str">
        <f ca="1">IFERROR(K36/K10,"N/A")</f>
        <v>N/A</v>
      </c>
      <c r="L157" s="377" t="str">
        <f ca="1">IFERROR(L36/L10,"N/A")</f>
        <v>N/A</v>
      </c>
      <c r="M157" s="377" t="str">
        <f ca="1">IFERROR(M36/M10,"N/A")</f>
        <v>N/A</v>
      </c>
      <c r="N157" s="377" t="str">
        <f ca="1">IFERROR(N36/N10,"N/A")</f>
        <v>N/A</v>
      </c>
      <c r="O157" s="378" t="str">
        <f ca="1">IFERROR(O36/O10,"N/A")</f>
        <v>N/A</v>
      </c>
      <c r="P157" s="377" t="str">
        <f ca="1">IFERROR(P36/P10,"N/A")</f>
        <v>N/A</v>
      </c>
      <c r="Q157" s="377" t="str">
        <f ca="1">IFERROR(Q36/Q10,"N/A")</f>
        <v>N/A</v>
      </c>
      <c r="R157" s="377" t="str">
        <f ca="1">IFERROR(R36/R10,"N/A")</f>
        <v>N/A</v>
      </c>
      <c r="S157" s="377" t="str">
        <f ca="1">IFERROR(S36/S10,"N/A")</f>
        <v>N/A</v>
      </c>
      <c r="T157" s="378" t="str">
        <f ca="1">IFERROR(T36/T10,"N/A")</f>
        <v>N/A</v>
      </c>
      <c r="U157" s="377" t="str">
        <f ca="1">IFERROR(U36/U10,"N/A")</f>
        <v>N/A</v>
      </c>
      <c r="V157" s="377" t="str">
        <f ca="1">IFERROR(V36/V10,"N/A")</f>
        <v>N/A</v>
      </c>
      <c r="W157" s="377" t="str">
        <f ca="1">IFERROR(W36/W10,"N/A")</f>
        <v>N/A</v>
      </c>
      <c r="X157" s="379" t="str">
        <f ca="1">IFERROR(X36/X10,"N/A")</f>
        <v>N/A</v>
      </c>
      <c r="Y157" s="378" t="str">
        <f ca="1">IFERROR(Y36/Y10,"N/A")</f>
        <v>N/A</v>
      </c>
      <c r="Z157" s="379" t="str">
        <f ca="1">IFERROR(Z36/Z10,"N/A")</f>
        <v>N/A</v>
      </c>
      <c r="AA157" s="379" t="str">
        <f ca="1">IFERROR(AA36/AA10,"N/A")</f>
        <v>N/A</v>
      </c>
      <c r="AB157" s="379" t="str">
        <f ca="1">IFERROR(AB36/AB10,"N/A")</f>
        <v>N/A</v>
      </c>
      <c r="AC157" s="379" t="str">
        <f ca="1">IFERROR(AC36/AC10,"N/A")</f>
        <v>N/A</v>
      </c>
      <c r="AD157" s="378" t="str">
        <f ca="1">IFERROR(AD36/AD10,"N/A")</f>
        <v>N/A</v>
      </c>
      <c r="AE157" s="378" t="str">
        <f ca="1">IFERROR(AE36/AE10,"N/A")</f>
        <v>N/A</v>
      </c>
      <c r="AF157" s="378" t="str">
        <f ca="1">IFERROR(AF36/AF10,"N/A")</f>
        <v>N/A</v>
      </c>
      <c r="AG157" s="378" t="str">
        <f ca="1">IFERROR(AG36/AG10,"N/A")</f>
        <v>N/A</v>
      </c>
    </row>
    <row r="158" ht="14.25" customHeight="1" spans="1:33" x14ac:dyDescent="0.25" outlineLevel="1">
      <c r="C158" s="16" t="str">
        <f ca="1">C19</f>
        <v>Segment 4</v>
      </c>
      <c r="D158" s="16"/>
      <c r="E158" s="16"/>
      <c r="F158" s="377" t="str">
        <f t="shared" ref="F158:AG158" si="130" ca="1">IFERROR(F37/F11,"N/A")</f>
        <v>N/A</v>
      </c>
      <c r="G158" s="377" t="str">
        <f ca="1">IFERROR(G37/G11,"N/A")</f>
        <v>N/A</v>
      </c>
      <c r="H158" s="377" t="str">
        <f ca="1">IFERROR(H37/H11,"N/A")</f>
        <v>N/A</v>
      </c>
      <c r="I158" s="377" t="str">
        <f ca="1">IFERROR(I37/I11,"N/A")</f>
        <v>N/A</v>
      </c>
      <c r="J158" s="378" t="str">
        <f ca="1">IFERROR(J37/J11,"N/A")</f>
        <v>N/A</v>
      </c>
      <c r="K158" s="377" t="str">
        <f ca="1">IFERROR(K37/K11,"N/A")</f>
        <v>N/A</v>
      </c>
      <c r="L158" s="377" t="str">
        <f ca="1">IFERROR(L37/L11,"N/A")</f>
        <v>N/A</v>
      </c>
      <c r="M158" s="377" t="str">
        <f ca="1">IFERROR(M37/M11,"N/A")</f>
        <v>N/A</v>
      </c>
      <c r="N158" s="377" t="str">
        <f ca="1">IFERROR(N37/N11,"N/A")</f>
        <v>N/A</v>
      </c>
      <c r="O158" s="378" t="str">
        <f ca="1">IFERROR(O37/O11,"N/A")</f>
        <v>N/A</v>
      </c>
      <c r="P158" s="377" t="str">
        <f ca="1">IFERROR(P37/P11,"N/A")</f>
        <v>N/A</v>
      </c>
      <c r="Q158" s="377" t="str">
        <f ca="1">IFERROR(Q37/Q11,"N/A")</f>
        <v>N/A</v>
      </c>
      <c r="R158" s="377" t="str">
        <f ca="1">IFERROR(R37/R11,"N/A")</f>
        <v>N/A</v>
      </c>
      <c r="S158" s="377" t="str">
        <f ca="1">IFERROR(S37/S11,"N/A")</f>
        <v>N/A</v>
      </c>
      <c r="T158" s="378" t="str">
        <f ca="1">IFERROR(T37/T11,"N/A")</f>
        <v>N/A</v>
      </c>
      <c r="U158" s="377" t="str">
        <f ca="1">IFERROR(U37/U11,"N/A")</f>
        <v>N/A</v>
      </c>
      <c r="V158" s="377" t="str">
        <f ca="1">IFERROR(V37/V11,"N/A")</f>
        <v>N/A</v>
      </c>
      <c r="W158" s="377" t="str">
        <f ca="1">IFERROR(W37/W11,"N/A")</f>
        <v>N/A</v>
      </c>
      <c r="X158" s="379" t="str">
        <f ca="1">IFERROR(X37/X11,"N/A")</f>
        <v>N/A</v>
      </c>
      <c r="Y158" s="378" t="str">
        <f ca="1">IFERROR(Y37/Y11,"N/A")</f>
        <v>N/A</v>
      </c>
      <c r="Z158" s="379" t="str">
        <f ca="1">IFERROR(Z37/Z11,"N/A")</f>
        <v>N/A</v>
      </c>
      <c r="AA158" s="379" t="str">
        <f ca="1">IFERROR(AA37/AA11,"N/A")</f>
        <v>N/A</v>
      </c>
      <c r="AB158" s="379" t="str">
        <f ca="1">IFERROR(AB37/AB11,"N/A")</f>
        <v>N/A</v>
      </c>
      <c r="AC158" s="379" t="str">
        <f ca="1">IFERROR(AC37/AC11,"N/A")</f>
        <v>N/A</v>
      </c>
      <c r="AD158" s="378" t="str">
        <f ca="1">IFERROR(AD37/AD11,"N/A")</f>
        <v>N/A</v>
      </c>
      <c r="AE158" s="378" t="str">
        <f ca="1">IFERROR(AE37/AE11,"N/A")</f>
        <v>N/A</v>
      </c>
      <c r="AF158" s="378" t="str">
        <f ca="1">IFERROR(AF37/AF11,"N/A")</f>
        <v>N/A</v>
      </c>
      <c r="AG158" s="378" t="str">
        <f ca="1">IFERROR(AG37/AG11,"N/A")</f>
        <v>N/A</v>
      </c>
    </row>
    <row r="159" ht="14.25" customHeight="1" spans="1:33" x14ac:dyDescent="0.25" outlineLevel="1">
      <c r="C159" s="16" t="str">
        <f ca="1">C20</f>
        <v>Segment 5</v>
      </c>
      <c r="D159" s="16"/>
      <c r="E159" s="16"/>
      <c r="F159" s="377" t="str">
        <f t="shared" ref="F159:AG159" si="131" ca="1">IFERROR(F38/F12,"N/A")</f>
        <v>N/A</v>
      </c>
      <c r="G159" s="377" t="str">
        <f ca="1">IFERROR(G38/G12,"N/A")</f>
        <v>N/A</v>
      </c>
      <c r="H159" s="377" t="str">
        <f ca="1">IFERROR(H38/H12,"N/A")</f>
        <v>N/A</v>
      </c>
      <c r="I159" s="377" t="str">
        <f ca="1">IFERROR(I38/I12,"N/A")</f>
        <v>N/A</v>
      </c>
      <c r="J159" s="378" t="str">
        <f ca="1">IFERROR(J38/J12,"N/A")</f>
        <v>N/A</v>
      </c>
      <c r="K159" s="377" t="str">
        <f ca="1">IFERROR(K38/K12,"N/A")</f>
        <v>N/A</v>
      </c>
      <c r="L159" s="377" t="str">
        <f ca="1">IFERROR(L38/L12,"N/A")</f>
        <v>N/A</v>
      </c>
      <c r="M159" s="377" t="str">
        <f ca="1">IFERROR(M38/M12,"N/A")</f>
        <v>N/A</v>
      </c>
      <c r="N159" s="377" t="str">
        <f ca="1">IFERROR(N38/N12,"N/A")</f>
        <v>N/A</v>
      </c>
      <c r="O159" s="378" t="str">
        <f ca="1">IFERROR(O38/O12,"N/A")</f>
        <v>N/A</v>
      </c>
      <c r="P159" s="377" t="str">
        <f ca="1">IFERROR(P38/P12,"N/A")</f>
        <v>N/A</v>
      </c>
      <c r="Q159" s="377" t="str">
        <f ca="1">IFERROR(Q38/Q12,"N/A")</f>
        <v>N/A</v>
      </c>
      <c r="R159" s="377" t="str">
        <f ca="1">IFERROR(R38/R12,"N/A")</f>
        <v>N/A</v>
      </c>
      <c r="S159" s="377" t="str">
        <f ca="1">IFERROR(S38/S12,"N/A")</f>
        <v>N/A</v>
      </c>
      <c r="T159" s="378" t="str">
        <f ca="1">IFERROR(T38/T12,"N/A")</f>
        <v>N/A</v>
      </c>
      <c r="U159" s="377" t="str">
        <f ca="1">IFERROR(U38/U12,"N/A")</f>
        <v>N/A</v>
      </c>
      <c r="V159" s="377" t="str">
        <f ca="1">IFERROR(V38/V12,"N/A")</f>
        <v>N/A</v>
      </c>
      <c r="W159" s="377" t="str">
        <f ca="1">IFERROR(W38/W12,"N/A")</f>
        <v>N/A</v>
      </c>
      <c r="X159" s="379" t="str">
        <f ca="1">IFERROR(X38/X12,"N/A")</f>
        <v>N/A</v>
      </c>
      <c r="Y159" s="378" t="str">
        <f ca="1">IFERROR(Y38/Y12,"N/A")</f>
        <v>N/A</v>
      </c>
      <c r="Z159" s="379" t="str">
        <f ca="1">IFERROR(Z38/Z12,"N/A")</f>
        <v>N/A</v>
      </c>
      <c r="AA159" s="379" t="str">
        <f ca="1">IFERROR(AA38/AA12,"N/A")</f>
        <v>N/A</v>
      </c>
      <c r="AB159" s="379" t="str">
        <f ca="1">IFERROR(AB38/AB12,"N/A")</f>
        <v>N/A</v>
      </c>
      <c r="AC159" s="379" t="str">
        <f ca="1">IFERROR(AC38/AC12,"N/A")</f>
        <v>N/A</v>
      </c>
      <c r="AD159" s="378" t="str">
        <f ca="1">IFERROR(AD38/AD12,"N/A")</f>
        <v>N/A</v>
      </c>
      <c r="AE159" s="378" t="str">
        <f ca="1">IFERROR(AE38/AE12,"N/A")</f>
        <v>N/A</v>
      </c>
      <c r="AF159" s="378" t="str">
        <f ca="1">IFERROR(AF38/AF12,"N/A")</f>
        <v>N/A</v>
      </c>
      <c r="AG159" s="378" t="str">
        <f ca="1">IFERROR(AG38/AG12,"N/A")</f>
        <v>N/A</v>
      </c>
    </row>
    <row r="160" ht="14.25" customHeight="1" spans="1:33" x14ac:dyDescent="0.25" outlineLevel="1">
      <c r="C160" s="16" t="str">
        <f ca="1">C21</f>
        <v>Segment 6</v>
      </c>
      <c r="D160" s="16"/>
      <c r="E160" s="16"/>
      <c r="F160" s="377" t="str">
        <f t="shared" ref="F160:AG160" si="132" ca="1">IFERROR(F39/F13,"N/A")</f>
        <v>N/A</v>
      </c>
      <c r="G160" s="377" t="str">
        <f ca="1">IFERROR(G39/G13,"N/A")</f>
        <v>N/A</v>
      </c>
      <c r="H160" s="377" t="str">
        <f ca="1">IFERROR(H39/H13,"N/A")</f>
        <v>N/A</v>
      </c>
      <c r="I160" s="377" t="str">
        <f ca="1">IFERROR(I39/I13,"N/A")</f>
        <v>N/A</v>
      </c>
      <c r="J160" s="378" t="str">
        <f ca="1">IFERROR(J39/J13,"N/A")</f>
        <v>N/A</v>
      </c>
      <c r="K160" s="377" t="str">
        <f ca="1">IFERROR(K39/K13,"N/A")</f>
        <v>N/A</v>
      </c>
      <c r="L160" s="377" t="str">
        <f ca="1">IFERROR(L39/L13,"N/A")</f>
        <v>N/A</v>
      </c>
      <c r="M160" s="377" t="str">
        <f ca="1">IFERROR(M39/M13,"N/A")</f>
        <v>N/A</v>
      </c>
      <c r="N160" s="377" t="str">
        <f ca="1">IFERROR(N39/N13,"N/A")</f>
        <v>N/A</v>
      </c>
      <c r="O160" s="378" t="str">
        <f ca="1">IFERROR(O39/O13,"N/A")</f>
        <v>N/A</v>
      </c>
      <c r="P160" s="377" t="str">
        <f ca="1">IFERROR(P39/P13,"N/A")</f>
        <v>N/A</v>
      </c>
      <c r="Q160" s="377" t="str">
        <f ca="1">IFERROR(Q39/Q13,"N/A")</f>
        <v>N/A</v>
      </c>
      <c r="R160" s="377" t="str">
        <f ca="1">IFERROR(R39/R13,"N/A")</f>
        <v>N/A</v>
      </c>
      <c r="S160" s="377" t="str">
        <f ca="1">IFERROR(S39/S13,"N/A")</f>
        <v>N/A</v>
      </c>
      <c r="T160" s="378" t="str">
        <f ca="1">IFERROR(T39/T13,"N/A")</f>
        <v>N/A</v>
      </c>
      <c r="U160" s="377" t="str">
        <f ca="1">IFERROR(U39/U13,"N/A")</f>
        <v>N/A</v>
      </c>
      <c r="V160" s="377" t="str">
        <f ca="1">IFERROR(V39/V13,"N/A")</f>
        <v>N/A</v>
      </c>
      <c r="W160" s="377" t="str">
        <f ca="1">IFERROR(W39/W13,"N/A")</f>
        <v>N/A</v>
      </c>
      <c r="X160" s="379" t="str">
        <f ca="1">IFERROR(X39/X13,"N/A")</f>
        <v>N/A</v>
      </c>
      <c r="Y160" s="378" t="str">
        <f ca="1">IFERROR(Y39/Y13,"N/A")</f>
        <v>N/A</v>
      </c>
      <c r="Z160" s="379" t="str">
        <f ca="1">IFERROR(Z39/Z13,"N/A")</f>
        <v>N/A</v>
      </c>
      <c r="AA160" s="379" t="str">
        <f ca="1">IFERROR(AA39/AA13,"N/A")</f>
        <v>N/A</v>
      </c>
      <c r="AB160" s="379" t="str">
        <f ca="1">IFERROR(AB39/AB13,"N/A")</f>
        <v>N/A</v>
      </c>
      <c r="AC160" s="379" t="str">
        <f ca="1">IFERROR(AC39/AC13,"N/A")</f>
        <v>N/A</v>
      </c>
      <c r="AD160" s="378" t="str">
        <f ca="1">IFERROR(AD39/AD13,"N/A")</f>
        <v>N/A</v>
      </c>
      <c r="AE160" s="378" t="str">
        <f ca="1">IFERROR(AE39/AE13,"N/A")</f>
        <v>N/A</v>
      </c>
      <c r="AF160" s="378" t="str">
        <f ca="1">IFERROR(AF39/AF13,"N/A")</f>
        <v>N/A</v>
      </c>
      <c r="AG160" s="378" t="str">
        <f ca="1">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 ca="1">IFERROR((Model!G36-Model!F36)/('Segment Analysis'!G7-'Segment Analysis'!F7),"N/A")</f>
        <v>0.19784580498866214</v>
      </c>
      <c r="H162" s="377">
        <f ca="1">IFERROR((Model!H36-Model!G36)/('Segment Analysis'!H7-'Segment Analysis'!G7),"N/A")</f>
        <v>0.34725021595162686</v>
      </c>
      <c r="I162" s="377">
        <f ca="1">IFERROR((Model!I36-Model!H36)/('Segment Analysis'!I7-'Segment Analysis'!H7),"N/A")</f>
        <v>0.861503674392312</v>
      </c>
      <c r="J162" s="378"/>
      <c r="K162" s="377">
        <f ca="1">IFERROR((Model!K36-Model!I36)/('Segment Analysis'!K7-'Segment Analysis'!I7),"N/A")</f>
        <v>0.9470167064439141</v>
      </c>
      <c r="L162" s="377">
        <f ca="1">IFERROR((Model!L36-Model!K36)/('Segment Analysis'!L7-'Segment Analysis'!K7),"N/A")</f>
        <v>0.2965241464164872</v>
      </c>
      <c r="M162" s="377">
        <f ca="1">IFERROR((Model!M36-Model!L36)/('Segment Analysis'!M7-'Segment Analysis'!L7),"N/A")</f>
        <v>0.2283573806881243</v>
      </c>
      <c r="N162" s="377">
        <f ca="1">IFERROR((Model!N36-Model!M36)/('Segment Analysis'!N7-'Segment Analysis'!M7),"N/A")</f>
        <v>0.440852314474651</v>
      </c>
      <c r="O162" s="378"/>
      <c r="P162" s="377">
        <f ca="1">IFERROR((Model!P36-Model!N36)/('Segment Analysis'!P7-'Segment Analysis'!N7),"N/A")</f>
        <v>0.2831688596491228</v>
      </c>
      <c r="Q162" s="377">
        <f ca="1">IFERROR((Model!Q36-Model!P36)/('Segment Analysis'!Q7-'Segment Analysis'!P7),"N/A")</f>
        <v>0.25776845417595384</v>
      </c>
      <c r="R162" s="377">
        <f ca="1">IFERROR((Model!R36-Model!Q36)/('Segment Analysis'!R7-'Segment Analysis'!Q7),"N/A")</f>
        <v>0.3568996595233327</v>
      </c>
      <c r="S162" s="377">
        <f ca="1">IFERROR((Model!S36-Model!R36)/('Segment Analysis'!S7-'Segment Analysis'!R7),"N/A")</f>
        <v>-0.2972972972972973</v>
      </c>
      <c r="T162" s="378"/>
      <c r="U162" s="377">
        <f ca="1">IFERROR((Model!U36-Model!S36)/('Segment Analysis'!U7-'Segment Analysis'!S7),"N/A")</f>
        <v>0.11578691315981512</v>
      </c>
      <c r="V162" s="377">
        <f ca="1">IFERROR((Model!V36-Model!U36)/('Segment Analysis'!V7-'Segment Analysis'!U7),"N/A")</f>
        <v>0.3065438373570521</v>
      </c>
      <c r="W162" s="377">
        <f ca="1">IFERROR((Model!W36-Model!V36)/('Segment Analysis'!W7-'Segment Analysis'!V7),"N/A")</f>
        <v>0.3054600171969046</v>
      </c>
      <c r="X162" s="379">
        <f ca="1">IFERROR((Model!X36-Model!W36)/('Segment Analysis'!X7-'Segment Analysis'!W7),"N/A")</f>
        <v>4.43291430316781</v>
      </c>
      <c r="Y162" s="378"/>
      <c r="Z162" s="379">
        <f ca="1">IFERROR((Model!Z36-Model!X36)/('Segment Analysis'!Z7-'Segment Analysis'!X7),"N/A")</f>
        <v>-0.057396098804331434</v>
      </c>
      <c r="AA162" s="379">
        <f ca="1">IFERROR((Model!AA36-Model!Z36)/('Segment Analysis'!AA7-'Segment Analysis'!Z7),"N/A")</f>
        <v>-0.04567100528780799</v>
      </c>
      <c r="AB162" s="379">
        <f ca="1">IFERROR((Model!AB36-Model!AA36)/('Segment Analysis'!AB7-'Segment Analysis'!AA7),"N/A")</f>
        <v>0.06819771036065847</v>
      </c>
      <c r="AC162" s="379">
        <f ca="1">IFERROR((Model!AC36-Model!AB36)/('Segment Analysis'!AC7-'Segment Analysis'!AB7),"N/A")</f>
        <v>-0.3836974988290526</v>
      </c>
      <c r="AD162" s="378"/>
      <c r="AE162" s="378">
        <f ca="1">IFERROR((Model!AE36-Model!AD36)/('Segment Analysis'!AE7-'Segment Analysis'!AD7),"N/A")</f>
        <v>0.4570834030821003</v>
      </c>
      <c r="AF162" s="378">
        <f ca="1">IFERROR((Model!AF36-Model!AE36)/('Segment Analysis'!AF7-'Segment Analysis'!AE7),"N/A")</f>
        <v>0.154628883750884</v>
      </c>
      <c r="AG162" s="378">
        <f ca="1">IFERROR((Model!AG36-Model!AF36)/('Segment Analysis'!AG7-'Segment Analysis'!AF7),"N/A")</f>
        <v>0.26241529815767434</v>
      </c>
    </row>
    <row r="163" ht="14.25" customHeight="1" hidden="1" spans="1:33" x14ac:dyDescent="0.25" outlineLevel="1">
      <c r="C163" s="16" t="str">
        <f t="shared" ref="C163:C168" si="133" ca="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 ca="1">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 ca="1">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 ca="1">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 ca="1">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 ca="1">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 ca="1">IFERROR('Segment Analysis'!K7/'Segment Analysis'!F7-1,"N/A")</f>
        <v>0.021947004608295018</v>
      </c>
      <c r="L172" s="377">
        <f ca="1">IFERROR('Segment Analysis'!L7/'Segment Analysis'!G7-1,"N/A")</f>
        <v>0.004978935273841412</v>
      </c>
      <c r="M172" s="377">
        <f ca="1">IFERROR('Segment Analysis'!M7/'Segment Analysis'!H7-1,"N/A")</f>
        <v>-0.0015503875968991832</v>
      </c>
      <c r="N172" s="377">
        <f ca="1">IFERROR('Segment Analysis'!N7/'Segment Analysis'!I7-1,"N/A")</f>
        <v>0.02435127189057895</v>
      </c>
      <c r="O172" s="378">
        <f ca="1">IFERROR('Segment Analysis'!O7/'Segment Analysis'!J7-1,"N/A")</f>
        <v>0.01176569577472697</v>
      </c>
      <c r="P172" s="377">
        <f ca="1">IFERROR('Segment Analysis'!P7/'Segment Analysis'!K7-1,"N/A")</f>
        <v>0.10901302068654539</v>
      </c>
      <c r="Q172" s="377">
        <f ca="1">IFERROR('Segment Analysis'!Q7/'Segment Analysis'!L7-1,"N/A")</f>
        <v>0.30059070121951215</v>
      </c>
      <c r="R172" s="377">
        <f ca="1">IFERROR('Segment Analysis'!R7/'Segment Analysis'!M7-1,"N/A")</f>
        <v>0.28301127214170685</v>
      </c>
      <c r="S172" s="377">
        <f ca="1">IFERROR('Segment Analysis'!S7/'Segment Analysis'!N7-1,"N/A")</f>
        <v>0.26729893305047736</v>
      </c>
      <c r="T172" s="378">
        <f ca="1">IFERROR('Segment Analysis'!T7/'Segment Analysis'!O7-1,"N/A")</f>
        <v>0.2418500859344681</v>
      </c>
      <c r="U172" s="377">
        <f ca="1">IFERROR('Segment Analysis'!U7/'Segment Analysis'!P7-1,"N/A")</f>
        <v>0.24127064803049558</v>
      </c>
      <c r="V172" s="377">
        <f ca="1">IFERROR('Segment Analysis'!V7/'Segment Analysis'!Q7-1,"N/A")</f>
        <v>0.00981613068639664</v>
      </c>
      <c r="W172" s="377">
        <f ca="1">IFERROR('Segment Analysis'!W7/'Segment Analysis'!R7-1,"N/A")</f>
        <v>0.027298399748980184</v>
      </c>
      <c r="X172" s="379">
        <f ca="1">IFERROR('Segment Analysis'!X7/'Segment Analysis'!S7-1,"N/A")</f>
        <v>0.07193638914873701</v>
      </c>
      <c r="Y172" s="378">
        <f ca="1">IFERROR('Segment Analysis'!Y7/'Segment Analysis'!T7-1,"N/A")</f>
        <v>0.07907742446733712</v>
      </c>
      <c r="Z172" s="379">
        <f ca="1">IFERROR('Segment Analysis'!Z7/'Segment Analysis'!U7-1,"N/A")</f>
        <v>0.051964540168700335</v>
      </c>
      <c r="AA172" s="379">
        <f ca="1">IFERROR('Segment Analysis'!AA7/'Segment Analysis'!V7-1,"N/A")</f>
        <v>0.062307904243743106</v>
      </c>
      <c r="AB172" s="379">
        <f ca="1">IFERROR('Segment Analysis'!AB7/'Segment Analysis'!W7-1,"N/A")</f>
        <v>0.12458720000000012</v>
      </c>
      <c r="AC172" s="379">
        <f ca="1">IFERROR('Segment Analysis'!AC7/'Segment Analysis'!X7-1,"N/A")</f>
        <v>0.1245871999999999</v>
      </c>
      <c r="AD172" s="378">
        <f ca="1">IFERROR('Segment Analysis'!AD7/'Segment Analysis'!Y7-1,"N/A")</f>
        <v>0.08848299061273979</v>
      </c>
      <c r="AE172" s="378">
        <f ca="1">IFERROR('Segment Analysis'!AE7/'Segment Analysis'!Z7-1,"N/A")</f>
        <v>3.1781647999999993</v>
      </c>
      <c r="AF172" s="378">
        <f ca="1">IFERROR('Segment Analysis'!AF7/'Segment Analysis'!AA7-1,"N/A")</f>
        <v>2.7383579789473678</v>
      </c>
      <c r="AG172" s="378">
        <f ca="1">IFERROR('Segment Analysis'!AG7/'Segment Analysis'!AB7-1,"N/A")</f>
        <v>3.3330967483253584</v>
      </c>
    </row>
    <row r="173" ht="14.25" customHeight="1" spans="1:33" x14ac:dyDescent="0.25">
      <c r="C173" s="139" t="str">
        <f ca="1">'Segment Analysis'!C16</f>
        <v>Home Improvement Retail</v>
      </c>
      <c r="D173" s="16"/>
      <c r="E173" s="16"/>
      <c r="F173" s="474"/>
      <c r="G173" s="377"/>
      <c r="H173" s="377"/>
      <c r="I173" s="377"/>
      <c r="J173" s="378"/>
      <c r="K173" s="377">
        <f ca="1">IFERROR('Segment Analysis'!K8/'Segment Analysis'!F8-1,"N/A")</f>
        <v>0.021947004608295018</v>
      </c>
      <c r="L173" s="377">
        <f ca="1">IFERROR('Segment Analysis'!L8/'Segment Analysis'!G8-1,"N/A")</f>
        <v>0.004978935273841412</v>
      </c>
      <c r="M173" s="377">
        <f ca="1">IFERROR('Segment Analysis'!M8/'Segment Analysis'!H8-1,"N/A")</f>
        <v>-0.0015503875968991832</v>
      </c>
      <c r="N173" s="377">
        <f ca="1">IFERROR('Segment Analysis'!N8/'Segment Analysis'!I8-1,"N/A")</f>
        <v>0.02435127189057895</v>
      </c>
      <c r="O173" s="378">
        <f ca="1">IFERROR('Segment Analysis'!O8/'Segment Analysis'!J8-1,"N/A")</f>
        <v>0.01176569577472697</v>
      </c>
      <c r="P173" s="377">
        <f ca="1">IFERROR('Segment Analysis'!P8/'Segment Analysis'!K8-1,"N/A")</f>
        <v>0.10901302068654539</v>
      </c>
      <c r="Q173" s="377">
        <f ca="1">IFERROR('Segment Analysis'!Q8/'Segment Analysis'!L8-1,"N/A")</f>
        <v>0.30059070121951215</v>
      </c>
      <c r="R173" s="377">
        <f ca="1">IFERROR('Segment Analysis'!R8/'Segment Analysis'!M8-1,"N/A")</f>
        <v>0.28301127214170685</v>
      </c>
      <c r="S173" s="377">
        <f ca="1">IFERROR('Segment Analysis'!S8/'Segment Analysis'!N8-1,"N/A")</f>
        <v>0.26729893305047736</v>
      </c>
      <c r="T173" s="378">
        <f ca="1">IFERROR('Segment Analysis'!T8/'Segment Analysis'!O8-1,"N/A")</f>
        <v>0.2418500859344681</v>
      </c>
      <c r="U173" s="377">
        <f ca="1">IFERROR('Segment Analysis'!U8/'Segment Analysis'!P8-1,"N/A")</f>
        <v>0.24127064803049558</v>
      </c>
      <c r="V173" s="377">
        <f ca="1">IFERROR('Segment Analysis'!V8/'Segment Analysis'!Q8-1,"N/A")</f>
        <v>0.00981613068639664</v>
      </c>
      <c r="W173" s="377">
        <f ca="1">IFERROR('Segment Analysis'!W8/'Segment Analysis'!R8-1,"N/A")</f>
        <v>0.027298399748980184</v>
      </c>
      <c r="X173" s="379">
        <f ca="1">IFERROR('Segment Analysis'!X8/'Segment Analysis'!S8-1,"N/A")</f>
        <v>0.07193638914873701</v>
      </c>
      <c r="Y173" s="378">
        <f ca="1">IFERROR('Segment Analysis'!Y8/'Segment Analysis'!T8-1,"N/A")</f>
        <v>0.07907742446733712</v>
      </c>
      <c r="Z173" s="379">
        <f ca="1">IFERROR('Segment Analysis'!Z8/'Segment Analysis'!U8-1,"N/A")</f>
        <v>0.051964540168700335</v>
      </c>
      <c r="AA173" s="379">
        <f ca="1">IFERROR('Segment Analysis'!AA8/'Segment Analysis'!V8-1,"N/A")</f>
        <v>0.062307904243743106</v>
      </c>
      <c r="AB173" s="379">
        <f ca="1">IFERROR('Segment Analysis'!AB8/'Segment Analysis'!W8-1,"N/A")</f>
        <v>0.12458720000000012</v>
      </c>
      <c r="AC173" s="379">
        <f ca="1">IFERROR('Segment Analysis'!AC8/'Segment Analysis'!X8-1,"N/A")</f>
        <v>0.1245871999999999</v>
      </c>
      <c r="AD173" s="378">
        <f ca="1">IFERROR('Segment Analysis'!AD8/'Segment Analysis'!Y8-1,"N/A")</f>
        <v>0.08848299061273979</v>
      </c>
      <c r="AE173" s="378">
        <f ca="1">IFERROR('Segment Analysis'!AE8/'Segment Analysis'!Z8-1,"N/A")</f>
        <v>3.1781647999999993</v>
      </c>
      <c r="AF173" s="378">
        <f ca="1">IFERROR('Segment Analysis'!AF8/'Segment Analysis'!AA8-1,"N/A")</f>
        <v>2.7383579789473678</v>
      </c>
      <c r="AG173" s="378">
        <f ca="1">IFERROR('Segment Analysis'!AG8/'Segment Analysis'!AB8-1,"N/A")</f>
        <v>3.3330967483253584</v>
      </c>
    </row>
    <row r="174" ht="14.25" customHeight="1" spans="1:33" x14ac:dyDescent="0.25">
      <c r="C174" s="139" t="str">
        <f ca="1">'Segment Analysis'!C17</f>
        <v>Segment 2</v>
      </c>
      <c r="D174" s="16"/>
      <c r="E174" s="16"/>
      <c r="F174" s="474"/>
      <c r="G174" s="377"/>
      <c r="H174" s="377"/>
      <c r="I174" s="377"/>
      <c r="J174" s="378"/>
      <c r="K174" s="377" t="str">
        <f ca="1">IFERROR('Segment Analysis'!K9/'Segment Analysis'!F9-1,"N/A")</f>
        <v>N/A</v>
      </c>
      <c r="L174" s="377" t="str">
        <f ca="1">IFERROR('Segment Analysis'!L9/'Segment Analysis'!G9-1,"N/A")</f>
        <v>N/A</v>
      </c>
      <c r="M174" s="377" t="str">
        <f ca="1">IFERROR('Segment Analysis'!M9/'Segment Analysis'!H9-1,"N/A")</f>
        <v>N/A</v>
      </c>
      <c r="N174" s="377" t="str">
        <f ca="1">IFERROR('Segment Analysis'!N9/'Segment Analysis'!I9-1,"N/A")</f>
        <v>N/A</v>
      </c>
      <c r="O174" s="378" t="str">
        <f ca="1">IFERROR('Segment Analysis'!O9/'Segment Analysis'!J9-1,"N/A")</f>
        <v>N/A</v>
      </c>
      <c r="P174" s="377" t="str">
        <f ca="1">IFERROR('Segment Analysis'!P9/'Segment Analysis'!K9-1,"N/A")</f>
        <v>N/A</v>
      </c>
      <c r="Q174" s="377" t="str">
        <f ca="1">IFERROR('Segment Analysis'!Q9/'Segment Analysis'!L9-1,"N/A")</f>
        <v>N/A</v>
      </c>
      <c r="R174" s="377" t="str">
        <f ca="1">IFERROR('Segment Analysis'!R9/'Segment Analysis'!M9-1,"N/A")</f>
        <v>N/A</v>
      </c>
      <c r="S174" s="377" t="str">
        <f ca="1">IFERROR('Segment Analysis'!S9/'Segment Analysis'!N9-1,"N/A")</f>
        <v>N/A</v>
      </c>
      <c r="T174" s="378" t="str">
        <f ca="1">IFERROR('Segment Analysis'!T9/'Segment Analysis'!O9-1,"N/A")</f>
        <v>N/A</v>
      </c>
      <c r="U174" s="377" t="str">
        <f ca="1">IFERROR('Segment Analysis'!U9/'Segment Analysis'!P9-1,"N/A")</f>
        <v>N/A</v>
      </c>
      <c r="V174" s="377" t="str">
        <f ca="1">IFERROR('Segment Analysis'!V9/'Segment Analysis'!Q9-1,"N/A")</f>
        <v>N/A</v>
      </c>
      <c r="W174" s="377" t="str">
        <f ca="1">IFERROR('Segment Analysis'!W9/'Segment Analysis'!R9-1,"N/A")</f>
        <v>N/A</v>
      </c>
      <c r="X174" s="379" t="str">
        <f ca="1">IFERROR('Segment Analysis'!X9/'Segment Analysis'!S9-1,"N/A")</f>
        <v>N/A</v>
      </c>
      <c r="Y174" s="378" t="str">
        <f ca="1">IFERROR('Segment Analysis'!Y9/'Segment Analysis'!T9-1,"N/A")</f>
        <v>N/A</v>
      </c>
      <c r="Z174" s="379" t="str">
        <f ca="1">IFERROR('Segment Analysis'!Z9/'Segment Analysis'!U9-1,"N/A")</f>
        <v>N/A</v>
      </c>
      <c r="AA174" s="379" t="str">
        <f ca="1">IFERROR('Segment Analysis'!AA9/'Segment Analysis'!V9-1,"N/A")</f>
        <v>N/A</v>
      </c>
      <c r="AB174" s="379" t="str">
        <f ca="1">IFERROR('Segment Analysis'!AB9/'Segment Analysis'!W9-1,"N/A")</f>
        <v>N/A</v>
      </c>
      <c r="AC174" s="379" t="str">
        <f ca="1">IFERROR('Segment Analysis'!AC9/'Segment Analysis'!X9-1,"N/A")</f>
        <v>N/A</v>
      </c>
      <c r="AD174" s="378" t="str">
        <f ca="1">IFERROR('Segment Analysis'!AD9/'Segment Analysis'!Y9-1,"N/A")</f>
        <v>N/A</v>
      </c>
      <c r="AE174" s="378" t="str">
        <f ca="1">IFERROR('Segment Analysis'!AE9/'Segment Analysis'!Z9-1,"N/A")</f>
        <v>N/A</v>
      </c>
      <c r="AF174" s="378" t="str">
        <f ca="1">IFERROR('Segment Analysis'!AF9/'Segment Analysis'!AA9-1,"N/A")</f>
        <v>N/A</v>
      </c>
      <c r="AG174" s="378" t="str">
        <f ca="1">IFERROR('Segment Analysis'!AG9/'Segment Analysis'!AB9-1,"N/A")</f>
        <v>N/A</v>
      </c>
    </row>
    <row r="175" ht="14.25" customHeight="1" spans="1:33" x14ac:dyDescent="0.25">
      <c r="C175" s="139" t="str">
        <f ca="1">'Segment Analysis'!C18</f>
        <v>Segment 3</v>
      </c>
      <c r="D175" s="16"/>
      <c r="E175" s="16"/>
      <c r="F175" s="474"/>
      <c r="G175" s="377"/>
      <c r="H175" s="377"/>
      <c r="I175" s="377"/>
      <c r="J175" s="378"/>
      <c r="K175" s="377" t="str">
        <f ca="1">IFERROR('Segment Analysis'!K10/'Segment Analysis'!F10-1,"N/A")</f>
        <v>N/A</v>
      </c>
      <c r="L175" s="377" t="str">
        <f ca="1">IFERROR('Segment Analysis'!L10/'Segment Analysis'!G10-1,"N/A")</f>
        <v>N/A</v>
      </c>
      <c r="M175" s="377" t="str">
        <f ca="1">IFERROR('Segment Analysis'!M10/'Segment Analysis'!H10-1,"N/A")</f>
        <v>N/A</v>
      </c>
      <c r="N175" s="377" t="str">
        <f ca="1">IFERROR('Segment Analysis'!N10/'Segment Analysis'!I10-1,"N/A")</f>
        <v>N/A</v>
      </c>
      <c r="O175" s="378" t="str">
        <f ca="1">IFERROR('Segment Analysis'!O10/'Segment Analysis'!J10-1,"N/A")</f>
        <v>N/A</v>
      </c>
      <c r="P175" s="377" t="str">
        <f ca="1">IFERROR('Segment Analysis'!P10/'Segment Analysis'!K10-1,"N/A")</f>
        <v>N/A</v>
      </c>
      <c r="Q175" s="377" t="str">
        <f ca="1">IFERROR('Segment Analysis'!Q10/'Segment Analysis'!L10-1,"N/A")</f>
        <v>N/A</v>
      </c>
      <c r="R175" s="377" t="str">
        <f ca="1">IFERROR('Segment Analysis'!R10/'Segment Analysis'!M10-1,"N/A")</f>
        <v>N/A</v>
      </c>
      <c r="S175" s="377" t="str">
        <f ca="1">IFERROR('Segment Analysis'!S10/'Segment Analysis'!N10-1,"N/A")</f>
        <v>N/A</v>
      </c>
      <c r="T175" s="378" t="str">
        <f ca="1">IFERROR('Segment Analysis'!T10/'Segment Analysis'!O10-1,"N/A")</f>
        <v>N/A</v>
      </c>
      <c r="U175" s="377" t="str">
        <f ca="1">IFERROR('Segment Analysis'!U10/'Segment Analysis'!P10-1,"N/A")</f>
        <v>N/A</v>
      </c>
      <c r="V175" s="377" t="str">
        <f ca="1">IFERROR('Segment Analysis'!V10/'Segment Analysis'!Q10-1,"N/A")</f>
        <v>N/A</v>
      </c>
      <c r="W175" s="377" t="str">
        <f ca="1">IFERROR('Segment Analysis'!W10/'Segment Analysis'!R10-1,"N/A")</f>
        <v>N/A</v>
      </c>
      <c r="X175" s="379" t="str">
        <f ca="1">IFERROR('Segment Analysis'!X10/'Segment Analysis'!S10-1,"N/A")</f>
        <v>N/A</v>
      </c>
      <c r="Y175" s="378" t="str">
        <f ca="1">IFERROR('Segment Analysis'!Y10/'Segment Analysis'!T10-1,"N/A")</f>
        <v>N/A</v>
      </c>
      <c r="Z175" s="379" t="str">
        <f ca="1">IFERROR('Segment Analysis'!Z10/'Segment Analysis'!U10-1,"N/A")</f>
        <v>N/A</v>
      </c>
      <c r="AA175" s="379" t="str">
        <f ca="1">IFERROR('Segment Analysis'!AA10/'Segment Analysis'!V10-1,"N/A")</f>
        <v>N/A</v>
      </c>
      <c r="AB175" s="379" t="str">
        <f ca="1">IFERROR('Segment Analysis'!AB10/'Segment Analysis'!W10-1,"N/A")</f>
        <v>N/A</v>
      </c>
      <c r="AC175" s="379" t="str">
        <f ca="1">IFERROR('Segment Analysis'!AC10/'Segment Analysis'!X10-1,"N/A")</f>
        <v>N/A</v>
      </c>
      <c r="AD175" s="378" t="str">
        <f ca="1">IFERROR('Segment Analysis'!AD10/'Segment Analysis'!Y10-1,"N/A")</f>
        <v>N/A</v>
      </c>
      <c r="AE175" s="378" t="str">
        <f ca="1">IFERROR('Segment Analysis'!AE10/'Segment Analysis'!Z10-1,"N/A")</f>
        <v>N/A</v>
      </c>
      <c r="AF175" s="378" t="str">
        <f ca="1">IFERROR('Segment Analysis'!AF10/'Segment Analysis'!AA10-1,"N/A")</f>
        <v>N/A</v>
      </c>
      <c r="AG175" s="378" t="str">
        <f ca="1">IFERROR('Segment Analysis'!AG10/'Segment Analysis'!AB10-1,"N/A")</f>
        <v>N/A</v>
      </c>
    </row>
    <row r="176" ht="14.25" customHeight="1" spans="1:33" x14ac:dyDescent="0.25">
      <c r="C176" s="139" t="str">
        <f ca="1">'Segment Analysis'!C19</f>
        <v>Segment 4</v>
      </c>
      <c r="D176" s="16"/>
      <c r="E176" s="16"/>
      <c r="F176" s="474"/>
      <c r="G176" s="377"/>
      <c r="H176" s="377"/>
      <c r="I176" s="377"/>
      <c r="J176" s="378"/>
      <c r="K176" s="377" t="str">
        <f ca="1">IFERROR('Segment Analysis'!K11/'Segment Analysis'!F11-1,"N/A")</f>
        <v>N/A</v>
      </c>
      <c r="L176" s="377" t="str">
        <f ca="1">IFERROR('Segment Analysis'!L11/'Segment Analysis'!G11-1,"N/A")</f>
        <v>N/A</v>
      </c>
      <c r="M176" s="377" t="str">
        <f ca="1">IFERROR('Segment Analysis'!M11/'Segment Analysis'!H11-1,"N/A")</f>
        <v>N/A</v>
      </c>
      <c r="N176" s="377" t="str">
        <f ca="1">IFERROR('Segment Analysis'!N11/'Segment Analysis'!I11-1,"N/A")</f>
        <v>N/A</v>
      </c>
      <c r="O176" s="378" t="str">
        <f ca="1">IFERROR('Segment Analysis'!O11/'Segment Analysis'!J11-1,"N/A")</f>
        <v>N/A</v>
      </c>
      <c r="P176" s="377" t="str">
        <f ca="1">IFERROR('Segment Analysis'!P11/'Segment Analysis'!K11-1,"N/A")</f>
        <v>N/A</v>
      </c>
      <c r="Q176" s="377" t="str">
        <f ca="1">IFERROR('Segment Analysis'!Q11/'Segment Analysis'!L11-1,"N/A")</f>
        <v>N/A</v>
      </c>
      <c r="R176" s="377" t="str">
        <f ca="1">IFERROR('Segment Analysis'!R11/'Segment Analysis'!M11-1,"N/A")</f>
        <v>N/A</v>
      </c>
      <c r="S176" s="377" t="str">
        <f ca="1">IFERROR('Segment Analysis'!S11/'Segment Analysis'!N11-1,"N/A")</f>
        <v>N/A</v>
      </c>
      <c r="T176" s="378" t="str">
        <f ca="1">IFERROR('Segment Analysis'!T11/'Segment Analysis'!O11-1,"N/A")</f>
        <v>N/A</v>
      </c>
      <c r="U176" s="377" t="str">
        <f ca="1">IFERROR('Segment Analysis'!U11/'Segment Analysis'!P11-1,"N/A")</f>
        <v>N/A</v>
      </c>
      <c r="V176" s="377" t="str">
        <f ca="1">IFERROR('Segment Analysis'!V11/'Segment Analysis'!Q11-1,"N/A")</f>
        <v>N/A</v>
      </c>
      <c r="W176" s="377" t="str">
        <f ca="1">IFERROR('Segment Analysis'!W11/'Segment Analysis'!R11-1,"N/A")</f>
        <v>N/A</v>
      </c>
      <c r="X176" s="379" t="str">
        <f ca="1">IFERROR('Segment Analysis'!X11/'Segment Analysis'!S11-1,"N/A")</f>
        <v>N/A</v>
      </c>
      <c r="Y176" s="378" t="str">
        <f ca="1">IFERROR('Segment Analysis'!Y11/'Segment Analysis'!T11-1,"N/A")</f>
        <v>N/A</v>
      </c>
      <c r="Z176" s="379" t="str">
        <f ca="1">IFERROR('Segment Analysis'!Z11/'Segment Analysis'!U11-1,"N/A")</f>
        <v>N/A</v>
      </c>
      <c r="AA176" s="379" t="str">
        <f ca="1">IFERROR('Segment Analysis'!AA11/'Segment Analysis'!V11-1,"N/A")</f>
        <v>N/A</v>
      </c>
      <c r="AB176" s="379" t="str">
        <f ca="1">IFERROR('Segment Analysis'!AB11/'Segment Analysis'!W11-1,"N/A")</f>
        <v>N/A</v>
      </c>
      <c r="AC176" s="379" t="str">
        <f ca="1">IFERROR('Segment Analysis'!AC11/'Segment Analysis'!X11-1,"N/A")</f>
        <v>N/A</v>
      </c>
      <c r="AD176" s="378" t="str">
        <f ca="1">IFERROR('Segment Analysis'!AD11/'Segment Analysis'!Y11-1,"N/A")</f>
        <v>N/A</v>
      </c>
      <c r="AE176" s="378" t="str">
        <f ca="1">IFERROR('Segment Analysis'!AE11/'Segment Analysis'!Z11-1,"N/A")</f>
        <v>N/A</v>
      </c>
      <c r="AF176" s="378" t="str">
        <f ca="1">IFERROR('Segment Analysis'!AF11/'Segment Analysis'!AA11-1,"N/A")</f>
        <v>N/A</v>
      </c>
      <c r="AG176" s="378" t="str">
        <f ca="1">IFERROR('Segment Analysis'!AG11/'Segment Analysis'!AB11-1,"N/A")</f>
        <v>N/A</v>
      </c>
    </row>
    <row r="177" ht="14.25" customHeight="1" spans="1:33" x14ac:dyDescent="0.25">
      <c r="C177" s="139" t="str">
        <f ca="1">'Segment Analysis'!C20</f>
        <v>Segment 5</v>
      </c>
      <c r="D177" s="16"/>
      <c r="E177" s="16"/>
      <c r="F177" s="474"/>
      <c r="G177" s="377"/>
      <c r="H177" s="377"/>
      <c r="I177" s="377"/>
      <c r="J177" s="378"/>
      <c r="K177" s="377" t="str">
        <f ca="1">IFERROR('Segment Analysis'!K12/'Segment Analysis'!F12-1,"N/A")</f>
        <v>N/A</v>
      </c>
      <c r="L177" s="377" t="str">
        <f ca="1">IFERROR('Segment Analysis'!L12/'Segment Analysis'!G12-1,"N/A")</f>
        <v>N/A</v>
      </c>
      <c r="M177" s="377" t="str">
        <f ca="1">IFERROR('Segment Analysis'!M12/'Segment Analysis'!H12-1,"N/A")</f>
        <v>N/A</v>
      </c>
      <c r="N177" s="377" t="str">
        <f ca="1">IFERROR('Segment Analysis'!N12/'Segment Analysis'!I12-1,"N/A")</f>
        <v>N/A</v>
      </c>
      <c r="O177" s="378" t="str">
        <f ca="1">IFERROR('Segment Analysis'!O12/'Segment Analysis'!J12-1,"N/A")</f>
        <v>N/A</v>
      </c>
      <c r="P177" s="377" t="str">
        <f ca="1">IFERROR('Segment Analysis'!P12/'Segment Analysis'!K12-1,"N/A")</f>
        <v>N/A</v>
      </c>
      <c r="Q177" s="377" t="str">
        <f ca="1">IFERROR('Segment Analysis'!Q12/'Segment Analysis'!L12-1,"N/A")</f>
        <v>N/A</v>
      </c>
      <c r="R177" s="377" t="str">
        <f ca="1">IFERROR('Segment Analysis'!R12/'Segment Analysis'!M12-1,"N/A")</f>
        <v>N/A</v>
      </c>
      <c r="S177" s="377" t="str">
        <f ca="1">IFERROR('Segment Analysis'!S12/'Segment Analysis'!N12-1,"N/A")</f>
        <v>N/A</v>
      </c>
      <c r="T177" s="378" t="str">
        <f ca="1">IFERROR('Segment Analysis'!T12/'Segment Analysis'!O12-1,"N/A")</f>
        <v>N/A</v>
      </c>
      <c r="U177" s="377" t="str">
        <f ca="1">IFERROR('Segment Analysis'!U12/'Segment Analysis'!P12-1,"N/A")</f>
        <v>N/A</v>
      </c>
      <c r="V177" s="377" t="str">
        <f ca="1">IFERROR('Segment Analysis'!V12/'Segment Analysis'!Q12-1,"N/A")</f>
        <v>N/A</v>
      </c>
      <c r="W177" s="377" t="str">
        <f ca="1">IFERROR('Segment Analysis'!W12/'Segment Analysis'!R12-1,"N/A")</f>
        <v>N/A</v>
      </c>
      <c r="X177" s="379" t="str">
        <f ca="1">IFERROR('Segment Analysis'!X12/'Segment Analysis'!S12-1,"N/A")</f>
        <v>N/A</v>
      </c>
      <c r="Y177" s="378" t="str">
        <f ca="1">IFERROR('Segment Analysis'!Y12/'Segment Analysis'!T12-1,"N/A")</f>
        <v>N/A</v>
      </c>
      <c r="Z177" s="379" t="str">
        <f ca="1">IFERROR('Segment Analysis'!Z12/'Segment Analysis'!U12-1,"N/A")</f>
        <v>N/A</v>
      </c>
      <c r="AA177" s="379" t="str">
        <f ca="1">IFERROR('Segment Analysis'!AA12/'Segment Analysis'!V12-1,"N/A")</f>
        <v>N/A</v>
      </c>
      <c r="AB177" s="379" t="str">
        <f ca="1">IFERROR('Segment Analysis'!AB12/'Segment Analysis'!W12-1,"N/A")</f>
        <v>N/A</v>
      </c>
      <c r="AC177" s="379" t="str">
        <f ca="1">IFERROR('Segment Analysis'!AC12/'Segment Analysis'!X12-1,"N/A")</f>
        <v>N/A</v>
      </c>
      <c r="AD177" s="378" t="str">
        <f ca="1">IFERROR('Segment Analysis'!AD12/'Segment Analysis'!Y12-1,"N/A")</f>
        <v>N/A</v>
      </c>
      <c r="AE177" s="378" t="str">
        <f ca="1">IFERROR('Segment Analysis'!AE12/'Segment Analysis'!Z12-1,"N/A")</f>
        <v>N/A</v>
      </c>
      <c r="AF177" s="378" t="str">
        <f ca="1">IFERROR('Segment Analysis'!AF12/'Segment Analysis'!AA12-1,"N/A")</f>
        <v>N/A</v>
      </c>
      <c r="AG177" s="378" t="str">
        <f ca="1">IFERROR('Segment Analysis'!AG12/'Segment Analysis'!AB12-1,"N/A")</f>
        <v>N/A</v>
      </c>
    </row>
    <row r="178" ht="14.25" customHeight="1" spans="1:33" x14ac:dyDescent="0.25">
      <c r="C178" s="139" t="str">
        <f ca="1">'Segment Analysis'!C21</f>
        <v>Segment 6</v>
      </c>
      <c r="D178" s="16"/>
      <c r="E178" s="16"/>
      <c r="F178" s="474"/>
      <c r="G178" s="377"/>
      <c r="H178" s="377"/>
      <c r="I178" s="377"/>
      <c r="J178" s="378"/>
      <c r="K178" s="377" t="str">
        <f ca="1">IFERROR('Segment Analysis'!K13/'Segment Analysis'!F13-1,"N/A")</f>
        <v>N/A</v>
      </c>
      <c r="L178" s="377" t="str">
        <f ca="1">IFERROR('Segment Analysis'!L13/'Segment Analysis'!G13-1,"N/A")</f>
        <v>N/A</v>
      </c>
      <c r="M178" s="377" t="str">
        <f ca="1">IFERROR('Segment Analysis'!M13/'Segment Analysis'!H13-1,"N/A")</f>
        <v>N/A</v>
      </c>
      <c r="N178" s="377" t="str">
        <f ca="1">IFERROR('Segment Analysis'!N13/'Segment Analysis'!I13-1,"N/A")</f>
        <v>N/A</v>
      </c>
      <c r="O178" s="378" t="str">
        <f ca="1">IFERROR('Segment Analysis'!O13/'Segment Analysis'!J13-1,"N/A")</f>
        <v>N/A</v>
      </c>
      <c r="P178" s="377" t="str">
        <f ca="1">IFERROR('Segment Analysis'!P13/'Segment Analysis'!K13-1,"N/A")</f>
        <v>N/A</v>
      </c>
      <c r="Q178" s="377" t="str">
        <f ca="1">IFERROR('Segment Analysis'!Q13/'Segment Analysis'!L13-1,"N/A")</f>
        <v>N/A</v>
      </c>
      <c r="R178" s="377" t="str">
        <f ca="1">IFERROR('Segment Analysis'!R13/'Segment Analysis'!M13-1,"N/A")</f>
        <v>N/A</v>
      </c>
      <c r="S178" s="377" t="str">
        <f ca="1">IFERROR('Segment Analysis'!S13/'Segment Analysis'!N13-1,"N/A")</f>
        <v>N/A</v>
      </c>
      <c r="T178" s="378" t="str">
        <f ca="1">IFERROR('Segment Analysis'!T13/'Segment Analysis'!O13-1,"N/A")</f>
        <v>N/A</v>
      </c>
      <c r="U178" s="377" t="str">
        <f ca="1">IFERROR('Segment Analysis'!U13/'Segment Analysis'!P13-1,"N/A")</f>
        <v>N/A</v>
      </c>
      <c r="V178" s="377" t="str">
        <f ca="1">IFERROR('Segment Analysis'!V13/'Segment Analysis'!Q13-1,"N/A")</f>
        <v>N/A</v>
      </c>
      <c r="W178" s="377" t="str">
        <f ca="1">IFERROR('Segment Analysis'!W13/'Segment Analysis'!R13-1,"N/A")</f>
        <v>N/A</v>
      </c>
      <c r="X178" s="379" t="str">
        <f ca="1">IFERROR('Segment Analysis'!X13/'Segment Analysis'!S13-1,"N/A")</f>
        <v>N/A</v>
      </c>
      <c r="Y178" s="378" t="str">
        <f ca="1">IFERROR('Segment Analysis'!Y13/'Segment Analysis'!T13-1,"N/A")</f>
        <v>N/A</v>
      </c>
      <c r="Z178" s="379" t="str">
        <f ca="1">IFERROR('Segment Analysis'!Z13/'Segment Analysis'!U13-1,"N/A")</f>
        <v>N/A</v>
      </c>
      <c r="AA178" s="379" t="str">
        <f ca="1">IFERROR('Segment Analysis'!AA13/'Segment Analysis'!V13-1,"N/A")</f>
        <v>N/A</v>
      </c>
      <c r="AB178" s="379" t="str">
        <f ca="1">IFERROR('Segment Analysis'!AB13/'Segment Analysis'!W13-1,"N/A")</f>
        <v>N/A</v>
      </c>
      <c r="AC178" s="379" t="str">
        <f ca="1">IFERROR('Segment Analysis'!AC13/'Segment Analysis'!X13-1,"N/A")</f>
        <v>N/A</v>
      </c>
      <c r="AD178" s="378" t="str">
        <f ca="1">IFERROR('Segment Analysis'!AD13/'Segment Analysis'!Y13-1,"N/A")</f>
        <v>N/A</v>
      </c>
      <c r="AE178" s="378" t="str">
        <f ca="1">IFERROR('Segment Analysis'!AE13/'Segment Analysis'!Z13-1,"N/A")</f>
        <v>N/A</v>
      </c>
      <c r="AF178" s="378" t="str">
        <f ca="1">IFERROR('Segment Analysis'!AF13/'Segment Analysis'!AA13-1,"N/A")</f>
        <v>N/A</v>
      </c>
      <c r="AG178" s="378" t="str">
        <f ca="1">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34" ca="1">C89</f>
        <v>North America</v>
      </c>
      <c r="D180" s="16"/>
      <c r="E180" s="16"/>
      <c r="F180" s="474"/>
      <c r="G180" s="474"/>
      <c r="H180" s="474"/>
      <c r="I180" s="474"/>
      <c r="J180" s="168"/>
      <c r="K180" s="377" t="str">
        <f t="shared" ref="K180:AG180" si="135" ca="1">IFERROR(K89/F89-1,"N/A")</f>
        <v>N/A</v>
      </c>
      <c r="L180" s="377" t="str">
        <f ca="1">IFERROR(L89/G89-1,"N/A")</f>
        <v>N/A</v>
      </c>
      <c r="M180" s="377" t="str">
        <f ca="1">IFERROR(M89/H89-1,"N/A")</f>
        <v>N/A</v>
      </c>
      <c r="N180" s="377" t="str">
        <f ca="1">IFERROR(N89/I89-1,"N/A")</f>
        <v>N/A</v>
      </c>
      <c r="O180" s="378" t="str">
        <f ca="1">IFERROR(O89/J89-1,"N/A")</f>
        <v>N/A</v>
      </c>
      <c r="P180" s="377" t="str">
        <f ca="1">IFERROR(P89/K89-1,"N/A")</f>
        <v>N/A</v>
      </c>
      <c r="Q180" s="377" t="str">
        <f ca="1">IFERROR(Q89/L89-1,"N/A")</f>
        <v>N/A</v>
      </c>
      <c r="R180" s="377" t="str">
        <f ca="1">IFERROR(R89/M89-1,"N/A")</f>
        <v>N/A</v>
      </c>
      <c r="S180" s="377" t="str">
        <f ca="1">IFERROR(S89/N89-1,"N/A")</f>
        <v>N/A</v>
      </c>
      <c r="T180" s="378" t="str">
        <f ca="1">IFERROR(T89/O89-1,"N/A")</f>
        <v>N/A</v>
      </c>
      <c r="U180" s="377" t="str">
        <f ca="1">IFERROR(U89/P89-1,"N/A")</f>
        <v>N/A</v>
      </c>
      <c r="V180" s="377" t="str">
        <f ca="1">IFERROR(V89/Q89-1,"N/A")</f>
        <v>N/A</v>
      </c>
      <c r="W180" s="377" t="str">
        <f ca="1">IFERROR(W89/R89-1,"N/A")</f>
        <v>N/A</v>
      </c>
      <c r="X180" s="379" t="str">
        <f ca="1">IFERROR(X89/S89-1,"N/A")</f>
        <v>N/A</v>
      </c>
      <c r="Y180" s="378" t="str">
        <f ca="1">IFERROR(Y89/T89-1,"N/A")</f>
        <v>N/A</v>
      </c>
      <c r="Z180" s="379" t="str">
        <f ca="1">IFERROR(Z89/U89-1,"N/A")</f>
        <v>N/A</v>
      </c>
      <c r="AA180" s="379" t="str">
        <f ca="1">IFERROR(AA89/V89-1,"N/A")</f>
        <v>N/A</v>
      </c>
      <c r="AB180" s="379" t="str">
        <f ca="1">IFERROR(AB89/W89-1,"N/A")</f>
        <v>N/A</v>
      </c>
      <c r="AC180" s="379" t="str">
        <f ca="1">IFERROR(AC89/X89-1,"N/A")</f>
        <v>N/A</v>
      </c>
      <c r="AD180" s="378" t="str">
        <f ca="1">IFERROR(AD89/Y89-1,"N/A")</f>
        <v>N/A</v>
      </c>
      <c r="AE180" s="378" t="str">
        <f ca="1">IFERROR(AE89/Z89-1,"N/A")</f>
        <v>N/A</v>
      </c>
      <c r="AF180" s="378" t="str">
        <f ca="1">IFERROR(AF89/AA89-1,"N/A")</f>
        <v>N/A</v>
      </c>
      <c r="AG180" s="378" t="str">
        <f ca="1">IFERROR(AG89/AB89-1,"N/A")</f>
        <v>N/A</v>
      </c>
    </row>
    <row r="181" ht="14.25" customHeight="1" spans="1:33" x14ac:dyDescent="0.25">
      <c r="C181" s="139" t="str">
        <f ca="1">C90</f>
        <v>Europe</v>
      </c>
      <c r="D181" s="16"/>
      <c r="E181" s="16"/>
      <c r="F181" s="474"/>
      <c r="G181" s="474"/>
      <c r="H181" s="474"/>
      <c r="I181" s="474"/>
      <c r="J181" s="168"/>
      <c r="K181" s="377" t="str">
        <f t="shared" ref="K181:AG181" si="136" ca="1">IFERROR(K90/F90-1,"N/A")</f>
        <v>N/A</v>
      </c>
      <c r="L181" s="377" t="str">
        <f ca="1">IFERROR(L90/G90-1,"N/A")</f>
        <v>N/A</v>
      </c>
      <c r="M181" s="377" t="str">
        <f ca="1">IFERROR(M90/H90-1,"N/A")</f>
        <v>N/A</v>
      </c>
      <c r="N181" s="377" t="str">
        <f ca="1">IFERROR(N90/I90-1,"N/A")</f>
        <v>N/A</v>
      </c>
      <c r="O181" s="378" t="str">
        <f ca="1">IFERROR(O90/J90-1,"N/A")</f>
        <v>N/A</v>
      </c>
      <c r="P181" s="377" t="str">
        <f ca="1">IFERROR(P90/K90-1,"N/A")</f>
        <v>N/A</v>
      </c>
      <c r="Q181" s="377" t="str">
        <f ca="1">IFERROR(Q90/L90-1,"N/A")</f>
        <v>N/A</v>
      </c>
      <c r="R181" s="377" t="str">
        <f ca="1">IFERROR(R90/M90-1,"N/A")</f>
        <v>N/A</v>
      </c>
      <c r="S181" s="377" t="str">
        <f ca="1">IFERROR(S90/N90-1,"N/A")</f>
        <v>N/A</v>
      </c>
      <c r="T181" s="378" t="str">
        <f ca="1">IFERROR(T90/O90-1,"N/A")</f>
        <v>N/A</v>
      </c>
      <c r="U181" s="377" t="str">
        <f ca="1">IFERROR(U90/P90-1,"N/A")</f>
        <v>N/A</v>
      </c>
      <c r="V181" s="377" t="str">
        <f ca="1">IFERROR(V90/Q90-1,"N/A")</f>
        <v>N/A</v>
      </c>
      <c r="W181" s="377" t="str">
        <f ca="1">IFERROR(W90/R90-1,"N/A")</f>
        <v>N/A</v>
      </c>
      <c r="X181" s="379" t="str">
        <f ca="1">IFERROR(X90/S90-1,"N/A")</f>
        <v>N/A</v>
      </c>
      <c r="Y181" s="378" t="str">
        <f ca="1">IFERROR(Y90/T90-1,"N/A")</f>
        <v>N/A</v>
      </c>
      <c r="Z181" s="379" t="str">
        <f ca="1">IFERROR(Z90/U90-1,"N/A")</f>
        <v>N/A</v>
      </c>
      <c r="AA181" s="379" t="str">
        <f ca="1">IFERROR(AA90/V90-1,"N/A")</f>
        <v>N/A</v>
      </c>
      <c r="AB181" s="379" t="str">
        <f ca="1">IFERROR(AB90/W90-1,"N/A")</f>
        <v>N/A</v>
      </c>
      <c r="AC181" s="379" t="str">
        <f ca="1">IFERROR(AC90/X90-1,"N/A")</f>
        <v>N/A</v>
      </c>
      <c r="AD181" s="378" t="str">
        <f ca="1">IFERROR(AD90/Y90-1,"N/A")</f>
        <v>N/A</v>
      </c>
      <c r="AE181" s="378" t="str">
        <f ca="1">IFERROR(AE90/Z90-1,"N/A")</f>
        <v>N/A</v>
      </c>
      <c r="AF181" s="378" t="str">
        <f ca="1">IFERROR(AF90/AA90-1,"N/A")</f>
        <v>N/A</v>
      </c>
      <c r="AG181" s="378" t="str">
        <f ca="1">IFERROR(AG90/AB90-1,"N/A")</f>
        <v>N/A</v>
      </c>
    </row>
    <row r="182" ht="14.25" customHeight="1" hidden="1" spans="1:33" x14ac:dyDescent="0.25" outlineLevel="1">
      <c r="C182" s="139" t="str">
        <f ca="1">C91</f>
        <v>South America</v>
      </c>
      <c r="D182" s="16"/>
      <c r="E182" s="16"/>
      <c r="F182" s="474"/>
      <c r="G182" s="474"/>
      <c r="H182" s="474"/>
      <c r="I182" s="474"/>
      <c r="J182" s="168"/>
      <c r="K182" s="377" t="str">
        <f t="shared" ref="K182:AG182" si="137" ca="1">IFERROR(K91/F91-1,"N/A")</f>
        <v>N/A</v>
      </c>
      <c r="L182" s="377" t="str">
        <f ca="1">IFERROR(L91/G91-1,"N/A")</f>
        <v>N/A</v>
      </c>
      <c r="M182" s="377" t="str">
        <f ca="1">IFERROR(M91/H91-1,"N/A")</f>
        <v>N/A</v>
      </c>
      <c r="N182" s="377" t="str">
        <f ca="1">IFERROR(N91/I91-1,"N/A")</f>
        <v>N/A</v>
      </c>
      <c r="O182" s="378" t="str">
        <f ca="1">IFERROR(O91/J91-1,"N/A")</f>
        <v>N/A</v>
      </c>
      <c r="P182" s="377" t="str">
        <f ca="1">IFERROR(P91/K91-1,"N/A")</f>
        <v>N/A</v>
      </c>
      <c r="Q182" s="377" t="str">
        <f ca="1">IFERROR(Q91/L91-1,"N/A")</f>
        <v>N/A</v>
      </c>
      <c r="R182" s="377" t="str">
        <f ca="1">IFERROR(R91/M91-1,"N/A")</f>
        <v>N/A</v>
      </c>
      <c r="S182" s="377" t="str">
        <f ca="1">IFERROR(S91/N91-1,"N/A")</f>
        <v>N/A</v>
      </c>
      <c r="T182" s="378" t="str">
        <f ca="1">IFERROR(T91/O91-1,"N/A")</f>
        <v>N/A</v>
      </c>
      <c r="U182" s="377" t="str">
        <f ca="1">IFERROR(U91/P91-1,"N/A")</f>
        <v>N/A</v>
      </c>
      <c r="V182" s="377" t="str">
        <f ca="1">IFERROR(V91/Q91-1,"N/A")</f>
        <v>N/A</v>
      </c>
      <c r="W182" s="377" t="str">
        <f ca="1">IFERROR(W91/R91-1,"N/A")</f>
        <v>N/A</v>
      </c>
      <c r="X182" s="379" t="str">
        <f ca="1">IFERROR(X91/S91-1,"N/A")</f>
        <v>N/A</v>
      </c>
      <c r="Y182" s="378" t="str">
        <f ca="1">IFERROR(Y91/T91-1,"N/A")</f>
        <v>N/A</v>
      </c>
      <c r="Z182" s="379" t="str">
        <f ca="1">IFERROR(Z91/U91-1,"N/A")</f>
        <v>N/A</v>
      </c>
      <c r="AA182" s="379" t="str">
        <f ca="1">IFERROR(AA91/V91-1,"N/A")</f>
        <v>N/A</v>
      </c>
      <c r="AB182" s="379" t="str">
        <f ca="1">IFERROR(AB91/W91-1,"N/A")</f>
        <v>N/A</v>
      </c>
      <c r="AC182" s="379" t="str">
        <f ca="1">IFERROR(AC91/X91-1,"N/A")</f>
        <v>N/A</v>
      </c>
      <c r="AD182" s="378" t="str">
        <f ca="1">IFERROR(AD91/Y91-1,"N/A")</f>
        <v>N/A</v>
      </c>
      <c r="AE182" s="378" t="str">
        <f ca="1">IFERROR(AE91/Z91-1,"N/A")</f>
        <v>N/A</v>
      </c>
      <c r="AF182" s="378" t="str">
        <f ca="1">IFERROR(AF91/AA91-1,"N/A")</f>
        <v>N/A</v>
      </c>
      <c r="AG182" s="378" t="str">
        <f ca="1">IFERROR(AG91/AB91-1,"N/A")</f>
        <v>N/A</v>
      </c>
    </row>
    <row r="183" ht="14.25" customHeight="1" hidden="1" spans="1:33" x14ac:dyDescent="0.25" outlineLevel="1">
      <c r="C183" s="139" t="str">
        <f ca="1">C92</f>
        <v>Middle East &amp; Africa</v>
      </c>
      <c r="D183" s="16"/>
      <c r="E183" s="16"/>
      <c r="F183" s="474"/>
      <c r="G183" s="474"/>
      <c r="H183" s="474"/>
      <c r="I183" s="474"/>
      <c r="J183" s="168"/>
      <c r="K183" s="377" t="str">
        <f t="shared" ref="K183:AG183" si="138" ca="1">IFERROR(K92/F92-1,"N/A")</f>
        <v>N/A</v>
      </c>
      <c r="L183" s="377" t="str">
        <f ca="1">IFERROR(L92/G92-1,"N/A")</f>
        <v>N/A</v>
      </c>
      <c r="M183" s="377" t="str">
        <f ca="1">IFERROR(M92/H92-1,"N/A")</f>
        <v>N/A</v>
      </c>
      <c r="N183" s="377" t="str">
        <f ca="1">IFERROR(N92/I92-1,"N/A")</f>
        <v>N/A</v>
      </c>
      <c r="O183" s="378" t="str">
        <f ca="1">IFERROR(O92/J92-1,"N/A")</f>
        <v>N/A</v>
      </c>
      <c r="P183" s="377" t="str">
        <f ca="1">IFERROR(P92/K92-1,"N/A")</f>
        <v>N/A</v>
      </c>
      <c r="Q183" s="377" t="str">
        <f ca="1">IFERROR(Q92/L92-1,"N/A")</f>
        <v>N/A</v>
      </c>
      <c r="R183" s="377" t="str">
        <f ca="1">IFERROR(R92/M92-1,"N/A")</f>
        <v>N/A</v>
      </c>
      <c r="S183" s="377" t="str">
        <f ca="1">IFERROR(S92/N92-1,"N/A")</f>
        <v>N/A</v>
      </c>
      <c r="T183" s="378" t="str">
        <f ca="1">IFERROR(T92/O92-1,"N/A")</f>
        <v>N/A</v>
      </c>
      <c r="U183" s="377" t="str">
        <f ca="1">IFERROR(U92/P92-1,"N/A")</f>
        <v>N/A</v>
      </c>
      <c r="V183" s="377" t="str">
        <f ca="1">IFERROR(V92/Q92-1,"N/A")</f>
        <v>N/A</v>
      </c>
      <c r="W183" s="377" t="str">
        <f ca="1">IFERROR(W92/R92-1,"N/A")</f>
        <v>N/A</v>
      </c>
      <c r="X183" s="379" t="str">
        <f ca="1">IFERROR(X92/S92-1,"N/A")</f>
        <v>N/A</v>
      </c>
      <c r="Y183" s="378" t="str">
        <f ca="1">IFERROR(Y92/T92-1,"N/A")</f>
        <v>N/A</v>
      </c>
      <c r="Z183" s="379" t="str">
        <f ca="1">IFERROR(Z92/U92-1,"N/A")</f>
        <v>N/A</v>
      </c>
      <c r="AA183" s="379" t="str">
        <f ca="1">IFERROR(AA92/V92-1,"N/A")</f>
        <v>N/A</v>
      </c>
      <c r="AB183" s="379" t="str">
        <f ca="1">IFERROR(AB92/W92-1,"N/A")</f>
        <v>N/A</v>
      </c>
      <c r="AC183" s="379" t="str">
        <f ca="1">IFERROR(AC92/X92-1,"N/A")</f>
        <v>N/A</v>
      </c>
      <c r="AD183" s="378" t="str">
        <f ca="1">IFERROR(AD92/Y92-1,"N/A")</f>
        <v>N/A</v>
      </c>
      <c r="AE183" s="378" t="str">
        <f ca="1">IFERROR(AE92/Z92-1,"N/A")</f>
        <v>N/A</v>
      </c>
      <c r="AF183" s="378" t="str">
        <f ca="1">IFERROR(AF92/AA92-1,"N/A")</f>
        <v>N/A</v>
      </c>
      <c r="AG183" s="378" t="str">
        <f ca="1">IFERROR(AG92/AB92-1,"N/A")</f>
        <v>N/A</v>
      </c>
    </row>
    <row r="184" ht="14.25" customHeight="1" hidden="1" spans="1:33" x14ac:dyDescent="0.25" outlineLevel="1">
      <c r="C184" s="139" t="str">
        <f ca="1">C93</f>
        <v>Asia Pacific</v>
      </c>
      <c r="D184" s="16"/>
      <c r="E184" s="16"/>
      <c r="F184" s="474"/>
      <c r="G184" s="474"/>
      <c r="H184" s="474"/>
      <c r="I184" s="474"/>
      <c r="J184" s="168"/>
      <c r="K184" s="377" t="str">
        <f t="shared" ref="K184:AG184" si="139" ca="1">IFERROR(K93/F93-1,"N/A")</f>
        <v>N/A</v>
      </c>
      <c r="L184" s="377" t="str">
        <f ca="1">IFERROR(L93/G93-1,"N/A")</f>
        <v>N/A</v>
      </c>
      <c r="M184" s="377" t="str">
        <f ca="1">IFERROR(M93/H93-1,"N/A")</f>
        <v>N/A</v>
      </c>
      <c r="N184" s="377" t="str">
        <f ca="1">IFERROR(N93/I93-1,"N/A")</f>
        <v>N/A</v>
      </c>
      <c r="O184" s="378" t="str">
        <f ca="1">IFERROR(O93/J93-1,"N/A")</f>
        <v>N/A</v>
      </c>
      <c r="P184" s="377" t="str">
        <f ca="1">IFERROR(P93/K93-1,"N/A")</f>
        <v>N/A</v>
      </c>
      <c r="Q184" s="377" t="str">
        <f ca="1">IFERROR(Q93/L93-1,"N/A")</f>
        <v>N/A</v>
      </c>
      <c r="R184" s="377" t="str">
        <f ca="1">IFERROR(R93/M93-1,"N/A")</f>
        <v>N/A</v>
      </c>
      <c r="S184" s="377" t="str">
        <f ca="1">IFERROR(S93/N93-1,"N/A")</f>
        <v>N/A</v>
      </c>
      <c r="T184" s="378" t="str">
        <f ca="1">IFERROR(T93/O93-1,"N/A")</f>
        <v>N/A</v>
      </c>
      <c r="U184" s="377" t="str">
        <f ca="1">IFERROR(U93/P93-1,"N/A")</f>
        <v>N/A</v>
      </c>
      <c r="V184" s="377" t="str">
        <f ca="1">IFERROR(V93/Q93-1,"N/A")</f>
        <v>N/A</v>
      </c>
      <c r="W184" s="377" t="str">
        <f ca="1">IFERROR(W93/R93-1,"N/A")</f>
        <v>N/A</v>
      </c>
      <c r="X184" s="379" t="str">
        <f ca="1">IFERROR(X93/S93-1,"N/A")</f>
        <v>N/A</v>
      </c>
      <c r="Y184" s="378" t="str">
        <f ca="1">IFERROR(Y93/T93-1,"N/A")</f>
        <v>N/A</v>
      </c>
      <c r="Z184" s="379" t="str">
        <f ca="1">IFERROR(Z93/U93-1,"N/A")</f>
        <v>N/A</v>
      </c>
      <c r="AA184" s="379" t="str">
        <f ca="1">IFERROR(AA93/V93-1,"N/A")</f>
        <v>N/A</v>
      </c>
      <c r="AB184" s="379" t="str">
        <f ca="1">IFERROR(AB93/W93-1,"N/A")</f>
        <v>N/A</v>
      </c>
      <c r="AC184" s="379" t="str">
        <f ca="1">IFERROR(AC93/X93-1,"N/A")</f>
        <v>N/A</v>
      </c>
      <c r="AD184" s="378" t="str">
        <f ca="1">IFERROR(AD93/Y93-1,"N/A")</f>
        <v>N/A</v>
      </c>
      <c r="AE184" s="378" t="str">
        <f ca="1">IFERROR(AE93/Z93-1,"N/A")</f>
        <v>N/A</v>
      </c>
      <c r="AF184" s="378" t="str">
        <f ca="1">IFERROR(AF93/AA93-1,"N/A")</f>
        <v>N/A</v>
      </c>
      <c r="AG184" s="378" t="str">
        <f ca="1">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 ca="1">IFERROR(Model!K36/Model!F36-1,"N/A")</f>
        <v>-0.032764505119453946</v>
      </c>
      <c r="L186" s="377">
        <f ca="1">IFERROR(Model!L36/Model!G36-1,"N/A")</f>
        <v>0.10078594544613972</v>
      </c>
      <c r="M186" s="377">
        <f ca="1">IFERROR(Model!M36/Model!H36-1,"N/A")</f>
        <v>0.6280041797283176</v>
      </c>
      <c r="N186" s="377">
        <f ca="1">IFERROR(Model!N36/Model!I36-1,"N/A")</f>
        <v>-2.689594356261023</v>
      </c>
      <c r="O186" s="378">
        <f ca="1">IFERROR(Model!O36/Model!J36-1,"N/A")</f>
        <v>0.5714285714285714</v>
      </c>
      <c r="P186" s="377">
        <f ca="1">IFERROR(Model!P36/Model!K36-1,"N/A")</f>
        <v>0.40508115737473527</v>
      </c>
      <c r="Q186" s="377">
        <f ca="1">IFERROR(Model!Q36/Model!L36-1,"N/A")</f>
        <v>0.6619067618647627</v>
      </c>
      <c r="R186" s="377">
        <f ca="1">IFERROR(Model!R36/Model!M36-1,"N/A")</f>
        <v>0.39602053915276003</v>
      </c>
      <c r="S186" s="377">
        <f ca="1">IFERROR(Model!S36/Model!N36-1,"N/A")</f>
        <v>1.8903966597077244</v>
      </c>
      <c r="T186" s="378">
        <f ca="1">IFERROR(Model!T36/Model!O36-1,"N/A")</f>
        <v>0.7250554323725056</v>
      </c>
      <c r="U186" s="377">
        <f ca="1">IFERROR(Model!U36/Model!P36-1,"N/A")</f>
        <v>0.6298342541436464</v>
      </c>
      <c r="V186" s="377">
        <f ca="1">IFERROR(Model!V36/Model!Q36-1,"N/A")</f>
        <v>0.06393732625726556</v>
      </c>
      <c r="W186" s="377">
        <f ca="1">IFERROR(Model!W36/Model!R36-1,"N/A")</f>
        <v>0.2822988505747126</v>
      </c>
      <c r="X186" s="379">
        <f ca="1">IFERROR(Model!X36/Model!S36-1,"N/A")</f>
        <v>-1.8272576742506321</v>
      </c>
      <c r="Y186" s="378">
        <f ca="1">IFERROR(Model!Y36/Model!T36-1,"N/A")</f>
        <v>-0.26980136797649656</v>
      </c>
      <c r="Z186" s="379">
        <f ca="1">IFERROR(Model!Z36/Model!U36-1,"N/A")</f>
        <v>-1.7752266713405245</v>
      </c>
      <c r="AA186" s="379">
        <f ca="1">IFERROR(Model!AA36/Model!V36-1,"N/A")</f>
        <v>-1.6365505412793944</v>
      </c>
      <c r="AB186" s="379">
        <f ca="1">IFERROR(Model!AB36/Model!W36-1,"N/A")</f>
        <v>-2.0468129521834677</v>
      </c>
      <c r="AC186" s="379">
        <f ca="1">IFERROR(Model!AC36/Model!X36-1,"N/A")</f>
        <v>0.05868462383023232</v>
      </c>
      <c r="AD186" s="378">
        <f ca="1">IFERROR(Model!AD36/Model!Y36-1,"N/A")</f>
        <v>-2.3252514674708245</v>
      </c>
      <c r="AE186" s="378">
        <f ca="1">IFERROR(Model!AE36/Model!Z36-1,"N/A")</f>
        <v>2.8074707377667667</v>
      </c>
      <c r="AF186" s="378">
        <f ca="1">IFERROR(Model!AF36/Model!AA36-1,"N/A")</f>
        <v>2.4502138564119273</v>
      </c>
      <c r="AG186" s="378">
        <f ca="1">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 ca="1">IFERROR(Model!K61/Model!F61-1,"N/A")</f>
        <v>-0.09738630136986304</v>
      </c>
      <c r="L188" s="377">
        <f ca="1">IFERROR(Model!L61/Model!G61-1,"N/A")</f>
        <v>0.007790394708354853</v>
      </c>
      <c r="M188" s="377">
        <f ca="1">IFERROR(Model!M61/Model!H61-1,"N/A")</f>
        <v>0.1916965658636598</v>
      </c>
      <c r="N188" s="377">
        <f ca="1">IFERROR(Model!N61/Model!I61-1,"N/A")</f>
        <v>0.2206199558905504</v>
      </c>
      <c r="O188" s="378">
        <f ca="1">IFERROR(Model!O61/Model!J61-1,"N/A")</f>
        <v>0.05760468781285799</v>
      </c>
      <c r="P188" s="377">
        <f ca="1">IFERROR(Model!P61/Model!K61-1,"N/A")</f>
        <v>0.411159069247907</v>
      </c>
      <c r="Q188" s="377">
        <f ca="1">IFERROR(Model!Q61/Model!L61-1,"N/A")</f>
        <v>0.5895674140032079</v>
      </c>
      <c r="R188" s="377">
        <f ca="1">IFERROR(Model!R61/Model!M61-1,"N/A")</f>
        <v>0.7502124311565697</v>
      </c>
      <c r="S188" s="377">
        <f ca="1">IFERROR(Model!S61/Model!N61-1,"N/A")</f>
        <v>1.0907791279485344</v>
      </c>
      <c r="T188" s="378">
        <f ca="1">IFERROR(Model!T61/Model!O61-1,"N/A")</f>
        <v>0.688694700238264</v>
      </c>
      <c r="U188" s="377">
        <f ca="1">IFERROR(Model!U61/Model!P61-1,"N/A")</f>
        <v>0.5641669821385553</v>
      </c>
      <c r="V188" s="377">
        <f ca="1">IFERROR(Model!V61/Model!Q61-1,"N/A")</f>
        <v>0.07630611926282693</v>
      </c>
      <c r="W188" s="377">
        <f ca="1">IFERROR(Model!W61/Model!R61-1,"N/A")</f>
        <v>-0.0388937838275224</v>
      </c>
      <c r="X188" s="379" t="str">
        <f ca="1">IFERROR(Model!X61/Model!S61-1,"N/A")</f>
        <v>N/A</v>
      </c>
      <c r="Y188" s="378" t="str">
        <f ca="1">IFERROR(Model!Y61/Model!T61-1,"N/A")</f>
        <v>N/A</v>
      </c>
      <c r="Z188" s="379" t="str">
        <f ca="1">IFERROR(Model!Z61/Model!U61-1,"N/A")</f>
        <v>N/A</v>
      </c>
      <c r="AA188" s="379" t="str">
        <f ca="1">IFERROR(Model!AA61/Model!V61-1,"N/A")</f>
        <v>N/A</v>
      </c>
      <c r="AB188" s="379" t="str">
        <f ca="1">IFERROR(Model!AB61/Model!W61-1,"N/A")</f>
        <v>N/A</v>
      </c>
      <c r="AC188" s="379" t="str">
        <f ca="1">IFERROR(Model!AC61/Model!X61-1,"N/A")</f>
        <v>N/A</v>
      </c>
      <c r="AD188" s="378" t="str">
        <f ca="1">IFERROR(Model!AD61/Model!Y61-1,"N/A")</f>
        <v>N/A</v>
      </c>
      <c r="AE188" s="378" t="str">
        <f ca="1">IFERROR(Model!AE61/Model!Z61-1,"N/A")</f>
        <v>N/A</v>
      </c>
      <c r="AF188" s="378" t="str">
        <f ca="1">IFERROR(Model!AF61/Model!AA61-1,"N/A")</f>
        <v>N/A</v>
      </c>
      <c r="AG188" s="378" t="str">
        <f ca="1">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 ca="1">IFERROR('Segment Analysis'!G7/'Segment Analysis'!F7-1,"N/A")</f>
        <v>0.2032258064516128</v>
      </c>
      <c r="H192" s="377">
        <f ca="1">IFERROR('Segment Analysis'!H7/'Segment Analysis'!G7-1,"N/A")</f>
        <v>-0.16626771351972425</v>
      </c>
      <c r="I192" s="377">
        <f ca="1">IFERROR('Segment Analysis'!I7/'Segment Analysis'!H7-1,"N/A")</f>
        <v>-0.10157909847832325</v>
      </c>
      <c r="J192" s="378"/>
      <c r="K192" s="377">
        <f ca="1">IFERROR('Segment Analysis'!K7/'Segment Analysis'!I7-1,"N/A")</f>
        <v>0.13390003834845965</v>
      </c>
      <c r="L192" s="377">
        <f ca="1">IFERROR('Segment Analysis'!L7/'Segment Analysis'!K7-1,"N/A")</f>
        <v>0.18324784397722782</v>
      </c>
      <c r="M192" s="377">
        <f ca="1">IFERROR('Segment Analysis'!M7/'Segment Analysis'!L7-1,"N/A")</f>
        <v>-0.17168445121951215</v>
      </c>
      <c r="N192" s="377">
        <f ca="1">IFERROR('Segment Analysis'!N7/'Segment Analysis'!M7-1,"N/A")</f>
        <v>-0.07827237175063262</v>
      </c>
      <c r="O192" s="378"/>
      <c r="P192" s="377">
        <f ca="1">IFERROR('Segment Analysis'!P7/'Segment Analysis'!N7-1,"N/A")</f>
        <v>0.22761589817183503</v>
      </c>
      <c r="Q192" s="377">
        <f ca="1">IFERROR('Segment Analysis'!Q7/'Segment Analysis'!P7-1,"N/A")</f>
        <v>0.3876493011435833</v>
      </c>
      <c r="R192" s="377">
        <f ca="1">IFERROR('Segment Analysis'!R7/'Segment Analysis'!Q7-1,"N/A")</f>
        <v>-0.18288037506409782</v>
      </c>
      <c r="S192" s="377">
        <f ca="1">IFERROR('Segment Analysis'!S7/'Segment Analysis'!R7-1,"N/A")</f>
        <v>-0.08956026715675292</v>
      </c>
      <c r="T192" s="378"/>
      <c r="U192" s="377">
        <f ca="1">IFERROR('Segment Analysis'!U7/'Segment Analysis'!S7-1,"N/A")</f>
        <v>0.20240263896410804</v>
      </c>
      <c r="V192" s="377">
        <f ca="1">IFERROR('Segment Analysis'!V7/'Segment Analysis'!U7-1,"N/A")</f>
        <v>0.12890017197608716</v>
      </c>
      <c r="W192" s="377">
        <f ca="1">IFERROR('Segment Analysis'!W7/'Segment Analysis'!V7-1,"N/A")</f>
        <v>-0.16873413130214</v>
      </c>
      <c r="X192" s="379">
        <f ca="1">IFERROR('Segment Analysis'!X7/'Segment Analysis'!W7-1,"N/A")</f>
        <v>-0.050000000000000044</v>
      </c>
      <c r="Y192" s="378"/>
      <c r="Z192" s="379">
        <f ca="1">IFERROR('Segment Analysis'!Z7/'Segment Analysis'!X7-1,"N/A")</f>
        <v>0.17999999999999994</v>
      </c>
      <c r="AA192" s="379">
        <f ca="1">IFERROR('Segment Analysis'!AA7/'Segment Analysis'!Z7-1,"N/A")</f>
        <v>0.14000000000000012</v>
      </c>
      <c r="AB192" s="379">
        <f ca="1">IFERROR('Segment Analysis'!AB7/'Segment Analysis'!AA7-1,"N/A")</f>
        <v>-0.12</v>
      </c>
      <c r="AC192" s="379">
        <f ca="1">IFERROR('Segment Analysis'!AC7/'Segment Analysis'!AB7-1,"N/A")</f>
        <v>-0.050000000000000044</v>
      </c>
      <c r="AD192" s="378"/>
      <c r="AE192" s="378">
        <f ca="1">IFERROR('Segment Analysis'!AE7/'Segment Analysis'!AD7-1,"N/A")</f>
        <v>0.020000000000000018</v>
      </c>
      <c r="AF192" s="378">
        <f ca="1">IFERROR('Segment Analysis'!AF7/'Segment Analysis'!AE7-1,"N/A")</f>
        <v>0.020000000000000018</v>
      </c>
      <c r="AG192" s="378">
        <f ca="1">IFERROR('Segment Analysis'!AG7/'Segment Analysis'!AF7-1,"N/A")</f>
        <v>0.020000000000000018</v>
      </c>
    </row>
    <row r="193" ht="14.25" customHeight="1" spans="1:33" x14ac:dyDescent="0.25">
      <c r="C193" s="139" t="str">
        <f ca="1">'Segment Analysis'!C16</f>
        <v>Home Improvement Retail</v>
      </c>
      <c r="D193" s="16"/>
      <c r="E193" s="16"/>
      <c r="F193" s="474"/>
      <c r="G193" s="377">
        <f ca="1">IFERROR('Segment Analysis'!G8/'Segment Analysis'!F8-1,"N/A")</f>
        <v>0.2032258064516128</v>
      </c>
      <c r="H193" s="377">
        <f ca="1">IFERROR('Segment Analysis'!H8/'Segment Analysis'!G8-1,"N/A")</f>
        <v>-0.16626771351972425</v>
      </c>
      <c r="I193" s="377">
        <f ca="1">IFERROR('Segment Analysis'!I8/'Segment Analysis'!H8-1,"N/A")</f>
        <v>-0.10157909847832325</v>
      </c>
      <c r="J193" s="378"/>
      <c r="K193" s="377">
        <f ca="1">IFERROR('Segment Analysis'!K8/'Segment Analysis'!I8-1,"N/A")</f>
        <v>0.13390003834845965</v>
      </c>
      <c r="L193" s="377">
        <f ca="1">IFERROR('Segment Analysis'!L8/'Segment Analysis'!K8-1,"N/A")</f>
        <v>0.18324784397722782</v>
      </c>
      <c r="M193" s="377">
        <f ca="1">IFERROR('Segment Analysis'!M8/'Segment Analysis'!L8-1,"N/A")</f>
        <v>-0.17168445121951215</v>
      </c>
      <c r="N193" s="377">
        <f ca="1">IFERROR('Segment Analysis'!N8/'Segment Analysis'!M8-1,"N/A")</f>
        <v>-0.07827237175063262</v>
      </c>
      <c r="O193" s="378"/>
      <c r="P193" s="377">
        <f ca="1">IFERROR('Segment Analysis'!P8/'Segment Analysis'!N8-1,"N/A")</f>
        <v>0.22761589817183503</v>
      </c>
      <c r="Q193" s="377">
        <f ca="1">IFERROR('Segment Analysis'!Q8/'Segment Analysis'!P8-1,"N/A")</f>
        <v>0.3876493011435833</v>
      </c>
      <c r="R193" s="377">
        <f ca="1">IFERROR('Segment Analysis'!R8/'Segment Analysis'!Q8-1,"N/A")</f>
        <v>-0.18288037506409782</v>
      </c>
      <c r="S193" s="377">
        <f ca="1">IFERROR('Segment Analysis'!S8/'Segment Analysis'!R8-1,"N/A")</f>
        <v>-0.08956026715675292</v>
      </c>
      <c r="T193" s="378"/>
      <c r="U193" s="377">
        <f ca="1">IFERROR('Segment Analysis'!U8/'Segment Analysis'!S8-1,"N/A")</f>
        <v>0.20240263896410804</v>
      </c>
      <c r="V193" s="377">
        <f ca="1">IFERROR('Segment Analysis'!V8/'Segment Analysis'!U8-1,"N/A")</f>
        <v>0.12890017197608716</v>
      </c>
      <c r="W193" s="377">
        <f ca="1">IFERROR('Segment Analysis'!W8/'Segment Analysis'!V8-1,"N/A")</f>
        <v>-0.16873413130214</v>
      </c>
      <c r="X193" s="379">
        <f ca="1">IFERROR('Segment Analysis'!X8/'Segment Analysis'!W8-1,"N/A")</f>
        <v>-0.050000000000000044</v>
      </c>
      <c r="Y193" s="378"/>
      <c r="Z193" s="379">
        <f ca="1">IFERROR('Segment Analysis'!Z8/'Segment Analysis'!X8-1,"N/A")</f>
        <v>0.17999999999999994</v>
      </c>
      <c r="AA193" s="379">
        <f ca="1">IFERROR('Segment Analysis'!AA8/'Segment Analysis'!Z8-1,"N/A")</f>
        <v>0.14000000000000012</v>
      </c>
      <c r="AB193" s="379">
        <f ca="1">IFERROR('Segment Analysis'!AB8/'Segment Analysis'!AA8-1,"N/A")</f>
        <v>-0.12</v>
      </c>
      <c r="AC193" s="379">
        <f ca="1">IFERROR('Segment Analysis'!AC8/'Segment Analysis'!AB8-1,"N/A")</f>
        <v>-0.050000000000000044</v>
      </c>
      <c r="AD193" s="378"/>
      <c r="AE193" s="378">
        <f ca="1">IFERROR('Segment Analysis'!AE8/'Segment Analysis'!AD8-1,"N/A")</f>
        <v>0.020000000000000018</v>
      </c>
      <c r="AF193" s="378">
        <f ca="1">IFERROR('Segment Analysis'!AF8/'Segment Analysis'!AE8-1,"N/A")</f>
        <v>0.020000000000000018</v>
      </c>
      <c r="AG193" s="378">
        <f ca="1">IFERROR('Segment Analysis'!AG8/'Segment Analysis'!AF8-1,"N/A")</f>
        <v>0.020000000000000018</v>
      </c>
    </row>
    <row r="194" ht="14.25" customHeight="1" spans="1:33" x14ac:dyDescent="0.25">
      <c r="C194" s="139" t="str">
        <f ca="1">'Segment Analysis'!C17</f>
        <v>Segment 2</v>
      </c>
      <c r="D194" s="16"/>
      <c r="E194" s="16"/>
      <c r="F194" s="474"/>
      <c r="G194" s="377" t="str">
        <f ca="1">IFERROR('Segment Analysis'!G9/'Segment Analysis'!F9-1,"N/A")</f>
        <v>N/A</v>
      </c>
      <c r="H194" s="377" t="str">
        <f ca="1">IFERROR('Segment Analysis'!H9/'Segment Analysis'!G9-1,"N/A")</f>
        <v>N/A</v>
      </c>
      <c r="I194" s="377" t="str">
        <f ca="1">IFERROR('Segment Analysis'!I9/'Segment Analysis'!H9-1,"N/A")</f>
        <v>N/A</v>
      </c>
      <c r="J194" s="378"/>
      <c r="K194" s="377" t="str">
        <f ca="1">IFERROR('Segment Analysis'!K9/'Segment Analysis'!I9-1,"N/A")</f>
        <v>N/A</v>
      </c>
      <c r="L194" s="377" t="str">
        <f ca="1">IFERROR('Segment Analysis'!L9/'Segment Analysis'!K9-1,"N/A")</f>
        <v>N/A</v>
      </c>
      <c r="M194" s="377" t="str">
        <f ca="1">IFERROR('Segment Analysis'!M9/'Segment Analysis'!L9-1,"N/A")</f>
        <v>N/A</v>
      </c>
      <c r="N194" s="377" t="str">
        <f ca="1">IFERROR('Segment Analysis'!N9/'Segment Analysis'!M9-1,"N/A")</f>
        <v>N/A</v>
      </c>
      <c r="O194" s="378"/>
      <c r="P194" s="377" t="str">
        <f ca="1">IFERROR('Segment Analysis'!P9/'Segment Analysis'!N9-1,"N/A")</f>
        <v>N/A</v>
      </c>
      <c r="Q194" s="377" t="str">
        <f ca="1">IFERROR('Segment Analysis'!Q9/'Segment Analysis'!P9-1,"N/A")</f>
        <v>N/A</v>
      </c>
      <c r="R194" s="377" t="str">
        <f ca="1">IFERROR('Segment Analysis'!R9/'Segment Analysis'!Q9-1,"N/A")</f>
        <v>N/A</v>
      </c>
      <c r="S194" s="377" t="str">
        <f ca="1">IFERROR('Segment Analysis'!S9/'Segment Analysis'!R9-1,"N/A")</f>
        <v>N/A</v>
      </c>
      <c r="T194" s="378"/>
      <c r="U194" s="377" t="str">
        <f ca="1">IFERROR('Segment Analysis'!U9/'Segment Analysis'!S9-1,"N/A")</f>
        <v>N/A</v>
      </c>
      <c r="V194" s="377" t="str">
        <f ca="1">IFERROR('Segment Analysis'!V9/'Segment Analysis'!U9-1,"N/A")</f>
        <v>N/A</v>
      </c>
      <c r="W194" s="377" t="str">
        <f ca="1">IFERROR('Segment Analysis'!W9/'Segment Analysis'!V9-1,"N/A")</f>
        <v>N/A</v>
      </c>
      <c r="X194" s="379" t="str">
        <f ca="1">IFERROR('Segment Analysis'!X9/'Segment Analysis'!W9-1,"N/A")</f>
        <v>N/A</v>
      </c>
      <c r="Y194" s="378"/>
      <c r="Z194" s="379" t="str">
        <f ca="1">IFERROR('Segment Analysis'!Z9/'Segment Analysis'!X9-1,"N/A")</f>
        <v>N/A</v>
      </c>
      <c r="AA194" s="379" t="str">
        <f ca="1">IFERROR('Segment Analysis'!AA9/'Segment Analysis'!Z9-1,"N/A")</f>
        <v>N/A</v>
      </c>
      <c r="AB194" s="379" t="str">
        <f ca="1">IFERROR('Segment Analysis'!AB9/'Segment Analysis'!AA9-1,"N/A")</f>
        <v>N/A</v>
      </c>
      <c r="AC194" s="379" t="str">
        <f ca="1">IFERROR('Segment Analysis'!AC9/'Segment Analysis'!AB9-1,"N/A")</f>
        <v>N/A</v>
      </c>
      <c r="AD194" s="378"/>
      <c r="AE194" s="378" t="str">
        <f ca="1">IFERROR('Segment Analysis'!AE9/'Segment Analysis'!AD9-1,"N/A")</f>
        <v>N/A</v>
      </c>
      <c r="AF194" s="378" t="str">
        <f ca="1">IFERROR('Segment Analysis'!AF9/'Segment Analysis'!AE9-1,"N/A")</f>
        <v>N/A</v>
      </c>
      <c r="AG194" s="378" t="str">
        <f ca="1">IFERROR('Segment Analysis'!AG9/'Segment Analysis'!AF9-1,"N/A")</f>
        <v>N/A</v>
      </c>
    </row>
    <row r="195" ht="14.25" customHeight="1" spans="1:33" x14ac:dyDescent="0.25">
      <c r="C195" s="139" t="str">
        <f ca="1">'Segment Analysis'!C18</f>
        <v>Segment 3</v>
      </c>
      <c r="D195" s="16"/>
      <c r="E195" s="16"/>
      <c r="F195" s="474"/>
      <c r="G195" s="377" t="str">
        <f ca="1">IFERROR('Segment Analysis'!G10/'Segment Analysis'!F10-1,"N/A")</f>
        <v>N/A</v>
      </c>
      <c r="H195" s="377" t="str">
        <f ca="1">IFERROR('Segment Analysis'!H10/'Segment Analysis'!G10-1,"N/A")</f>
        <v>N/A</v>
      </c>
      <c r="I195" s="377" t="str">
        <f ca="1">IFERROR('Segment Analysis'!I10/'Segment Analysis'!H10-1,"N/A")</f>
        <v>N/A</v>
      </c>
      <c r="J195" s="378"/>
      <c r="K195" s="377" t="str">
        <f ca="1">IFERROR('Segment Analysis'!K10/'Segment Analysis'!I10-1,"N/A")</f>
        <v>N/A</v>
      </c>
      <c r="L195" s="377" t="str">
        <f ca="1">IFERROR('Segment Analysis'!L10/'Segment Analysis'!K10-1,"N/A")</f>
        <v>N/A</v>
      </c>
      <c r="M195" s="377" t="str">
        <f ca="1">IFERROR('Segment Analysis'!M10/'Segment Analysis'!L10-1,"N/A")</f>
        <v>N/A</v>
      </c>
      <c r="N195" s="377" t="str">
        <f ca="1">IFERROR('Segment Analysis'!N10/'Segment Analysis'!M10-1,"N/A")</f>
        <v>N/A</v>
      </c>
      <c r="O195" s="378"/>
      <c r="P195" s="377" t="str">
        <f ca="1">IFERROR('Segment Analysis'!P10/'Segment Analysis'!N10-1,"N/A")</f>
        <v>N/A</v>
      </c>
      <c r="Q195" s="377" t="str">
        <f ca="1">IFERROR('Segment Analysis'!Q10/'Segment Analysis'!P10-1,"N/A")</f>
        <v>N/A</v>
      </c>
      <c r="R195" s="377" t="str">
        <f ca="1">IFERROR('Segment Analysis'!R10/'Segment Analysis'!Q10-1,"N/A")</f>
        <v>N/A</v>
      </c>
      <c r="S195" s="377" t="str">
        <f ca="1">IFERROR('Segment Analysis'!S10/'Segment Analysis'!R10-1,"N/A")</f>
        <v>N/A</v>
      </c>
      <c r="T195" s="378"/>
      <c r="U195" s="377" t="str">
        <f ca="1">IFERROR('Segment Analysis'!U10/'Segment Analysis'!S10-1,"N/A")</f>
        <v>N/A</v>
      </c>
      <c r="V195" s="377" t="str">
        <f ca="1">IFERROR('Segment Analysis'!V10/'Segment Analysis'!U10-1,"N/A")</f>
        <v>N/A</v>
      </c>
      <c r="W195" s="377" t="str">
        <f ca="1">IFERROR('Segment Analysis'!W10/'Segment Analysis'!V10-1,"N/A")</f>
        <v>N/A</v>
      </c>
      <c r="X195" s="379" t="str">
        <f ca="1">IFERROR('Segment Analysis'!X10/'Segment Analysis'!W10-1,"N/A")</f>
        <v>N/A</v>
      </c>
      <c r="Y195" s="378"/>
      <c r="Z195" s="379" t="str">
        <f ca="1">IFERROR('Segment Analysis'!Z10/'Segment Analysis'!X10-1,"N/A")</f>
        <v>N/A</v>
      </c>
      <c r="AA195" s="379" t="str">
        <f ca="1">IFERROR('Segment Analysis'!AA10/'Segment Analysis'!Z10-1,"N/A")</f>
        <v>N/A</v>
      </c>
      <c r="AB195" s="379" t="str">
        <f ca="1">IFERROR('Segment Analysis'!AB10/'Segment Analysis'!AA10-1,"N/A")</f>
        <v>N/A</v>
      </c>
      <c r="AC195" s="379" t="str">
        <f ca="1">IFERROR('Segment Analysis'!AC10/'Segment Analysis'!AB10-1,"N/A")</f>
        <v>N/A</v>
      </c>
      <c r="AD195" s="378"/>
      <c r="AE195" s="378" t="str">
        <f ca="1">IFERROR('Segment Analysis'!AE10/'Segment Analysis'!AD10-1,"N/A")</f>
        <v>N/A</v>
      </c>
      <c r="AF195" s="378" t="str">
        <f ca="1">IFERROR('Segment Analysis'!AF10/'Segment Analysis'!AE10-1,"N/A")</f>
        <v>N/A</v>
      </c>
      <c r="AG195" s="378" t="str">
        <f ca="1">IFERROR('Segment Analysis'!AG10/'Segment Analysis'!AF10-1,"N/A")</f>
        <v>N/A</v>
      </c>
    </row>
    <row r="196" ht="14.25" customHeight="1" spans="1:33" x14ac:dyDescent="0.25">
      <c r="C196" s="139" t="str">
        <f ca="1">'Segment Analysis'!C19</f>
        <v>Segment 4</v>
      </c>
      <c r="D196" s="16"/>
      <c r="E196" s="16"/>
      <c r="F196" s="474"/>
      <c r="G196" s="377" t="str">
        <f ca="1">IFERROR('Segment Analysis'!G11/'Segment Analysis'!F11-1,"N/A")</f>
        <v>N/A</v>
      </c>
      <c r="H196" s="377" t="str">
        <f ca="1">IFERROR('Segment Analysis'!H11/'Segment Analysis'!G11-1,"N/A")</f>
        <v>N/A</v>
      </c>
      <c r="I196" s="377" t="str">
        <f ca="1">IFERROR('Segment Analysis'!I11/'Segment Analysis'!H11-1,"N/A")</f>
        <v>N/A</v>
      </c>
      <c r="J196" s="378"/>
      <c r="K196" s="377" t="str">
        <f ca="1">IFERROR('Segment Analysis'!K11/'Segment Analysis'!I11-1,"N/A")</f>
        <v>N/A</v>
      </c>
      <c r="L196" s="377" t="str">
        <f ca="1">IFERROR('Segment Analysis'!L11/'Segment Analysis'!K11-1,"N/A")</f>
        <v>N/A</v>
      </c>
      <c r="M196" s="377" t="str">
        <f ca="1">IFERROR('Segment Analysis'!M11/'Segment Analysis'!L11-1,"N/A")</f>
        <v>N/A</v>
      </c>
      <c r="N196" s="377" t="str">
        <f ca="1">IFERROR('Segment Analysis'!N11/'Segment Analysis'!M11-1,"N/A")</f>
        <v>N/A</v>
      </c>
      <c r="O196" s="378"/>
      <c r="P196" s="377" t="str">
        <f ca="1">IFERROR('Segment Analysis'!P11/'Segment Analysis'!N11-1,"N/A")</f>
        <v>N/A</v>
      </c>
      <c r="Q196" s="377" t="str">
        <f ca="1">IFERROR('Segment Analysis'!Q11/'Segment Analysis'!P11-1,"N/A")</f>
        <v>N/A</v>
      </c>
      <c r="R196" s="377" t="str">
        <f ca="1">IFERROR('Segment Analysis'!R11/'Segment Analysis'!Q11-1,"N/A")</f>
        <v>N/A</v>
      </c>
      <c r="S196" s="377" t="str">
        <f ca="1">IFERROR('Segment Analysis'!S11/'Segment Analysis'!R11-1,"N/A")</f>
        <v>N/A</v>
      </c>
      <c r="T196" s="378"/>
      <c r="U196" s="377" t="str">
        <f ca="1">IFERROR('Segment Analysis'!U11/'Segment Analysis'!S11-1,"N/A")</f>
        <v>N/A</v>
      </c>
      <c r="V196" s="377" t="str">
        <f ca="1">IFERROR('Segment Analysis'!V11/'Segment Analysis'!U11-1,"N/A")</f>
        <v>N/A</v>
      </c>
      <c r="W196" s="377" t="str">
        <f ca="1">IFERROR('Segment Analysis'!W11/'Segment Analysis'!V11-1,"N/A")</f>
        <v>N/A</v>
      </c>
      <c r="X196" s="379" t="str">
        <f ca="1">IFERROR('Segment Analysis'!X11/'Segment Analysis'!W11-1,"N/A")</f>
        <v>N/A</v>
      </c>
      <c r="Y196" s="378"/>
      <c r="Z196" s="379" t="str">
        <f ca="1">IFERROR('Segment Analysis'!Z11/'Segment Analysis'!X11-1,"N/A")</f>
        <v>N/A</v>
      </c>
      <c r="AA196" s="379" t="str">
        <f ca="1">IFERROR('Segment Analysis'!AA11/'Segment Analysis'!Z11-1,"N/A")</f>
        <v>N/A</v>
      </c>
      <c r="AB196" s="379" t="str">
        <f ca="1">IFERROR('Segment Analysis'!AB11/'Segment Analysis'!AA11-1,"N/A")</f>
        <v>N/A</v>
      </c>
      <c r="AC196" s="379" t="str">
        <f ca="1">IFERROR('Segment Analysis'!AC11/'Segment Analysis'!AB11-1,"N/A")</f>
        <v>N/A</v>
      </c>
      <c r="AD196" s="378"/>
      <c r="AE196" s="378" t="str">
        <f ca="1">IFERROR('Segment Analysis'!AE11/'Segment Analysis'!AD11-1,"N/A")</f>
        <v>N/A</v>
      </c>
      <c r="AF196" s="378" t="str">
        <f ca="1">IFERROR('Segment Analysis'!AF11/'Segment Analysis'!AE11-1,"N/A")</f>
        <v>N/A</v>
      </c>
      <c r="AG196" s="378" t="str">
        <f ca="1">IFERROR('Segment Analysis'!AG11/'Segment Analysis'!AF11-1,"N/A")</f>
        <v>N/A</v>
      </c>
    </row>
    <row r="197" ht="14.25" customHeight="1" spans="1:33" x14ac:dyDescent="0.25">
      <c r="C197" s="139" t="str">
        <f ca="1">'Segment Analysis'!C20</f>
        <v>Segment 5</v>
      </c>
      <c r="D197" s="16"/>
      <c r="E197" s="16"/>
      <c r="F197" s="474"/>
      <c r="G197" s="377" t="str">
        <f ca="1">IFERROR('Segment Analysis'!G12/'Segment Analysis'!F12-1,"N/A")</f>
        <v>N/A</v>
      </c>
      <c r="H197" s="377" t="str">
        <f ca="1">IFERROR('Segment Analysis'!H12/'Segment Analysis'!G12-1,"N/A")</f>
        <v>N/A</v>
      </c>
      <c r="I197" s="377" t="str">
        <f ca="1">IFERROR('Segment Analysis'!I12/'Segment Analysis'!H12-1,"N/A")</f>
        <v>N/A</v>
      </c>
      <c r="J197" s="378"/>
      <c r="K197" s="377" t="str">
        <f ca="1">IFERROR('Segment Analysis'!K12/'Segment Analysis'!I12-1,"N/A")</f>
        <v>N/A</v>
      </c>
      <c r="L197" s="377" t="str">
        <f ca="1">IFERROR('Segment Analysis'!L12/'Segment Analysis'!K12-1,"N/A")</f>
        <v>N/A</v>
      </c>
      <c r="M197" s="377" t="str">
        <f ca="1">IFERROR('Segment Analysis'!M12/'Segment Analysis'!L12-1,"N/A")</f>
        <v>N/A</v>
      </c>
      <c r="N197" s="377" t="str">
        <f ca="1">IFERROR('Segment Analysis'!N12/'Segment Analysis'!M12-1,"N/A")</f>
        <v>N/A</v>
      </c>
      <c r="O197" s="378"/>
      <c r="P197" s="377" t="str">
        <f ca="1">IFERROR('Segment Analysis'!P12/'Segment Analysis'!N12-1,"N/A")</f>
        <v>N/A</v>
      </c>
      <c r="Q197" s="377" t="str">
        <f ca="1">IFERROR('Segment Analysis'!Q12/'Segment Analysis'!P12-1,"N/A")</f>
        <v>N/A</v>
      </c>
      <c r="R197" s="377" t="str">
        <f ca="1">IFERROR('Segment Analysis'!R12/'Segment Analysis'!Q12-1,"N/A")</f>
        <v>N/A</v>
      </c>
      <c r="S197" s="377" t="str">
        <f ca="1">IFERROR('Segment Analysis'!S12/'Segment Analysis'!R12-1,"N/A")</f>
        <v>N/A</v>
      </c>
      <c r="T197" s="378"/>
      <c r="U197" s="377" t="str">
        <f ca="1">IFERROR('Segment Analysis'!U12/'Segment Analysis'!S12-1,"N/A")</f>
        <v>N/A</v>
      </c>
      <c r="V197" s="377" t="str">
        <f ca="1">IFERROR('Segment Analysis'!V12/'Segment Analysis'!U12-1,"N/A")</f>
        <v>N/A</v>
      </c>
      <c r="W197" s="377" t="str">
        <f ca="1">IFERROR('Segment Analysis'!W12/'Segment Analysis'!V12-1,"N/A")</f>
        <v>N/A</v>
      </c>
      <c r="X197" s="379" t="str">
        <f ca="1">IFERROR('Segment Analysis'!X12/'Segment Analysis'!W12-1,"N/A")</f>
        <v>N/A</v>
      </c>
      <c r="Y197" s="378"/>
      <c r="Z197" s="379" t="str">
        <f ca="1">IFERROR('Segment Analysis'!Z12/'Segment Analysis'!X12-1,"N/A")</f>
        <v>N/A</v>
      </c>
      <c r="AA197" s="379" t="str">
        <f ca="1">IFERROR('Segment Analysis'!AA12/'Segment Analysis'!Z12-1,"N/A")</f>
        <v>N/A</v>
      </c>
      <c r="AB197" s="379" t="str">
        <f ca="1">IFERROR('Segment Analysis'!AB12/'Segment Analysis'!AA12-1,"N/A")</f>
        <v>N/A</v>
      </c>
      <c r="AC197" s="379" t="str">
        <f ca="1">IFERROR('Segment Analysis'!AC12/'Segment Analysis'!AB12-1,"N/A")</f>
        <v>N/A</v>
      </c>
      <c r="AD197" s="378"/>
      <c r="AE197" s="378" t="str">
        <f ca="1">IFERROR('Segment Analysis'!AE12/'Segment Analysis'!AD12-1,"N/A")</f>
        <v>N/A</v>
      </c>
      <c r="AF197" s="378" t="str">
        <f ca="1">IFERROR('Segment Analysis'!AF12/'Segment Analysis'!AE12-1,"N/A")</f>
        <v>N/A</v>
      </c>
      <c r="AG197" s="378" t="str">
        <f ca="1">IFERROR('Segment Analysis'!AG12/'Segment Analysis'!AF12-1,"N/A")</f>
        <v>N/A</v>
      </c>
    </row>
    <row r="198" ht="14.25" customHeight="1" spans="1:33" x14ac:dyDescent="0.25">
      <c r="C198" s="139" t="str">
        <f ca="1">'Segment Analysis'!C21</f>
        <v>Segment 6</v>
      </c>
      <c r="D198" s="16"/>
      <c r="E198" s="16"/>
      <c r="F198" s="474"/>
      <c r="G198" s="377" t="str">
        <f ca="1">IFERROR('Segment Analysis'!G13/'Segment Analysis'!F13-1,"N/A")</f>
        <v>N/A</v>
      </c>
      <c r="H198" s="377" t="str">
        <f ca="1">IFERROR('Segment Analysis'!H13/'Segment Analysis'!G13-1,"N/A")</f>
        <v>N/A</v>
      </c>
      <c r="I198" s="377" t="str">
        <f ca="1">IFERROR('Segment Analysis'!I13/'Segment Analysis'!H13-1,"N/A")</f>
        <v>N/A</v>
      </c>
      <c r="J198" s="378"/>
      <c r="K198" s="377" t="str">
        <f ca="1">IFERROR('Segment Analysis'!K13/'Segment Analysis'!I13-1,"N/A")</f>
        <v>N/A</v>
      </c>
      <c r="L198" s="377" t="str">
        <f ca="1">IFERROR('Segment Analysis'!L13/'Segment Analysis'!K13-1,"N/A")</f>
        <v>N/A</v>
      </c>
      <c r="M198" s="377" t="str">
        <f ca="1">IFERROR('Segment Analysis'!M13/'Segment Analysis'!L13-1,"N/A")</f>
        <v>N/A</v>
      </c>
      <c r="N198" s="377" t="str">
        <f ca="1">IFERROR('Segment Analysis'!N13/'Segment Analysis'!M13-1,"N/A")</f>
        <v>N/A</v>
      </c>
      <c r="O198" s="378"/>
      <c r="P198" s="377" t="str">
        <f ca="1">IFERROR('Segment Analysis'!P13/'Segment Analysis'!N13-1,"N/A")</f>
        <v>N/A</v>
      </c>
      <c r="Q198" s="377" t="str">
        <f ca="1">IFERROR('Segment Analysis'!Q13/'Segment Analysis'!P13-1,"N/A")</f>
        <v>N/A</v>
      </c>
      <c r="R198" s="377" t="str">
        <f ca="1">IFERROR('Segment Analysis'!R13/'Segment Analysis'!Q13-1,"N/A")</f>
        <v>N/A</v>
      </c>
      <c r="S198" s="377" t="str">
        <f ca="1">IFERROR('Segment Analysis'!S13/'Segment Analysis'!R13-1,"N/A")</f>
        <v>N/A</v>
      </c>
      <c r="T198" s="378"/>
      <c r="U198" s="377" t="str">
        <f ca="1">IFERROR('Segment Analysis'!U13/'Segment Analysis'!S13-1,"N/A")</f>
        <v>N/A</v>
      </c>
      <c r="V198" s="377" t="str">
        <f ca="1">IFERROR('Segment Analysis'!V13/'Segment Analysis'!U13-1,"N/A")</f>
        <v>N/A</v>
      </c>
      <c r="W198" s="377" t="str">
        <f ca="1">IFERROR('Segment Analysis'!W13/'Segment Analysis'!V13-1,"N/A")</f>
        <v>N/A</v>
      </c>
      <c r="X198" s="379" t="str">
        <f ca="1">IFERROR('Segment Analysis'!X13/'Segment Analysis'!W13-1,"N/A")</f>
        <v>N/A</v>
      </c>
      <c r="Y198" s="378"/>
      <c r="Z198" s="379" t="str">
        <f ca="1">IFERROR('Segment Analysis'!Z13/'Segment Analysis'!X13-1,"N/A")</f>
        <v>N/A</v>
      </c>
      <c r="AA198" s="379" t="str">
        <f ca="1">IFERROR('Segment Analysis'!AA13/'Segment Analysis'!Z13-1,"N/A")</f>
        <v>N/A</v>
      </c>
      <c r="AB198" s="379" t="str">
        <f ca="1">IFERROR('Segment Analysis'!AB13/'Segment Analysis'!AA13-1,"N/A")</f>
        <v>N/A</v>
      </c>
      <c r="AC198" s="379" t="str">
        <f ca="1">IFERROR('Segment Analysis'!AC13/'Segment Analysis'!AB13-1,"N/A")</f>
        <v>N/A</v>
      </c>
      <c r="AD198" s="378"/>
      <c r="AE198" s="378" t="str">
        <f ca="1">IFERROR('Segment Analysis'!AE13/'Segment Analysis'!AD13-1,"N/A")</f>
        <v>N/A</v>
      </c>
      <c r="AF198" s="378" t="str">
        <f ca="1">IFERROR('Segment Analysis'!AF13/'Segment Analysis'!AE13-1,"N/A")</f>
        <v>N/A</v>
      </c>
      <c r="AG198" s="378" t="str">
        <f ca="1">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40" ca="1">C89</f>
        <v>North America</v>
      </c>
      <c r="D200" s="16"/>
      <c r="E200" s="16"/>
      <c r="F200" s="474"/>
      <c r="G200" s="377" t="str">
        <f t="shared" ref="G200:I200" si="141" ca="1">IFERROR(G88/F88-1,"N/A")</f>
        <v>N/A</v>
      </c>
      <c r="H200" s="377" t="str">
        <f ca="1">IFERROR(H88/G88-1,"N/A")</f>
        <v>N/A</v>
      </c>
      <c r="I200" s="377" t="str">
        <f ca="1">IFERROR(I88/H88-1,"N/A")</f>
        <v>N/A</v>
      </c>
      <c r="J200" s="168"/>
      <c r="K200" s="377" t="str">
        <f t="shared" ref="K200:K204" si="142" ca="1">IFERROR(K88/I88-1,"N/A")</f>
        <v>N/A</v>
      </c>
      <c r="L200" s="377" t="str">
        <f t="shared" ref="L200:N200" si="143" ca="1">IFERROR(L88/K88-1,"N/A")</f>
        <v>N/A</v>
      </c>
      <c r="M200" s="377" t="str">
        <f ca="1">IFERROR(M88/L88-1,"N/A")</f>
        <v>N/A</v>
      </c>
      <c r="N200" s="377" t="str">
        <f ca="1">IFERROR(N88/M88-1,"N/A")</f>
        <v>N/A</v>
      </c>
      <c r="O200" s="378"/>
      <c r="P200" s="377" t="str">
        <f t="shared" ref="P200:P204" si="144" ca="1">IFERROR(P88/N88-1,"N/A")</f>
        <v>N/A</v>
      </c>
      <c r="Q200" s="377" t="str">
        <f t="shared" ref="Q200:S200" si="145" ca="1">IFERROR(Q88/P88-1,"N/A")</f>
        <v>N/A</v>
      </c>
      <c r="R200" s="377" t="str">
        <f ca="1">IFERROR(R88/Q88-1,"N/A")</f>
        <v>N/A</v>
      </c>
      <c r="S200" s="377" t="str">
        <f ca="1">IFERROR(S88/R88-1,"N/A")</f>
        <v>N/A</v>
      </c>
      <c r="T200" s="378"/>
      <c r="U200" s="377" t="str">
        <f t="shared" ref="U200:U204" si="146" ca="1">IFERROR(U88/S88-1,"N/A")</f>
        <v>N/A</v>
      </c>
      <c r="V200" s="377" t="str">
        <f t="shared" ref="V200:X200" si="147" ca="1">IFERROR(V88/U88-1,"N/A")</f>
        <v>N/A</v>
      </c>
      <c r="W200" s="377" t="str">
        <f ca="1">IFERROR(W88/V88-1,"N/A")</f>
        <v>N/A</v>
      </c>
      <c r="X200" s="379" t="str">
        <f ca="1">IFERROR(X88/W88-1,"N/A")</f>
        <v>N/A</v>
      </c>
      <c r="Y200" s="378"/>
      <c r="Z200" s="379" t="str">
        <f t="shared" ref="Z200:Z204" si="148" ca="1">IFERROR(Z88/X88-1,"N/A")</f>
        <v>N/A</v>
      </c>
      <c r="AA200" s="379" t="str">
        <f t="shared" ref="AA200:AC200" si="149" ca="1">IFERROR(AA88/Z88-1,"N/A")</f>
        <v>N/A</v>
      </c>
      <c r="AB200" s="379" t="str">
        <f ca="1">IFERROR(AB88/AA88-1,"N/A")</f>
        <v>N/A</v>
      </c>
      <c r="AC200" s="379" t="str">
        <f ca="1">IFERROR(AC88/AB88-1,"N/A")</f>
        <v>N/A</v>
      </c>
      <c r="AD200" s="378"/>
      <c r="AE200" s="378" t="str">
        <f t="shared" ref="AE200:AG200" si="150" ca="1">IFERROR(AE88/AD88-1,"N/A")</f>
        <v>N/A</v>
      </c>
      <c r="AF200" s="378" t="str">
        <f ca="1">IFERROR(AF88/AE88-1,"N/A")</f>
        <v>N/A</v>
      </c>
      <c r="AG200" s="378" t="str">
        <f ca="1">IFERROR(AG88/AF88-1,"N/A")</f>
        <v>N/A</v>
      </c>
    </row>
    <row r="201" ht="14.25" customHeight="1" spans="1:33" x14ac:dyDescent="0.25">
      <c r="C201" s="139" t="str">
        <f ca="1">C90</f>
        <v>Europe</v>
      </c>
      <c r="D201" s="16"/>
      <c r="E201" s="16"/>
      <c r="F201" s="474"/>
      <c r="G201" s="377" t="str">
        <f t="shared" ref="G201:I201" si="151" ca="1">IFERROR(G89/F89-1,"N/A")</f>
        <v>N/A</v>
      </c>
      <c r="H201" s="377" t="str">
        <f ca="1">IFERROR(H89/G89-1,"N/A")</f>
        <v>N/A</v>
      </c>
      <c r="I201" s="377" t="str">
        <f ca="1">IFERROR(I89/H89-1,"N/A")</f>
        <v>N/A</v>
      </c>
      <c r="J201" s="168"/>
      <c r="K201" s="377" t="str">
        <f ca="1">IFERROR(K89/I89-1,"N/A")</f>
        <v>N/A</v>
      </c>
      <c r="L201" s="377" t="str">
        <f t="shared" ref="L201:N201" si="152" ca="1">IFERROR(L89/K89-1,"N/A")</f>
        <v>N/A</v>
      </c>
      <c r="M201" s="377" t="str">
        <f ca="1">IFERROR(M89/L89-1,"N/A")</f>
        <v>N/A</v>
      </c>
      <c r="N201" s="377" t="str">
        <f ca="1">IFERROR(N89/M89-1,"N/A")</f>
        <v>N/A</v>
      </c>
      <c r="O201" s="378"/>
      <c r="P201" s="377" t="str">
        <f ca="1">IFERROR(P89/N89-1,"N/A")</f>
        <v>N/A</v>
      </c>
      <c r="Q201" s="377" t="str">
        <f t="shared" ref="Q201:S201" si="153" ca="1">IFERROR(Q89/P89-1,"N/A")</f>
        <v>N/A</v>
      </c>
      <c r="R201" s="377" t="str">
        <f ca="1">IFERROR(R89/Q89-1,"N/A")</f>
        <v>N/A</v>
      </c>
      <c r="S201" s="377" t="str">
        <f ca="1">IFERROR(S89/R89-1,"N/A")</f>
        <v>N/A</v>
      </c>
      <c r="T201" s="378"/>
      <c r="U201" s="377" t="str">
        <f ca="1">IFERROR(U89/S89-1,"N/A")</f>
        <v>N/A</v>
      </c>
      <c r="V201" s="377" t="str">
        <f t="shared" ref="V201:X201" si="154" ca="1">IFERROR(V89/U89-1,"N/A")</f>
        <v>N/A</v>
      </c>
      <c r="W201" s="377" t="str">
        <f ca="1">IFERROR(W89/V89-1,"N/A")</f>
        <v>N/A</v>
      </c>
      <c r="X201" s="379" t="str">
        <f ca="1">IFERROR(X89/W89-1,"N/A")</f>
        <v>N/A</v>
      </c>
      <c r="Y201" s="378"/>
      <c r="Z201" s="379" t="str">
        <f ca="1">IFERROR(Z89/X89-1,"N/A")</f>
        <v>N/A</v>
      </c>
      <c r="AA201" s="379" t="str">
        <f t="shared" ref="AA201:AC201" si="155" ca="1">IFERROR(AA89/Z89-1,"N/A")</f>
        <v>N/A</v>
      </c>
      <c r="AB201" s="379" t="str">
        <f ca="1">IFERROR(AB89/AA89-1,"N/A")</f>
        <v>N/A</v>
      </c>
      <c r="AC201" s="379" t="str">
        <f ca="1">IFERROR(AC89/AB89-1,"N/A")</f>
        <v>N/A</v>
      </c>
      <c r="AD201" s="378"/>
      <c r="AE201" s="378" t="str">
        <f t="shared" ref="AE201:AG201" si="156" ca="1">IFERROR(AE89/AD89-1,"N/A")</f>
        <v>N/A</v>
      </c>
      <c r="AF201" s="378" t="str">
        <f ca="1">IFERROR(AF89/AE89-1,"N/A")</f>
        <v>N/A</v>
      </c>
      <c r="AG201" s="378" t="str">
        <f ca="1">IFERROR(AG89/AF89-1,"N/A")</f>
        <v>N/A</v>
      </c>
    </row>
    <row r="202" ht="14.25" customHeight="1" spans="1:33" x14ac:dyDescent="0.25">
      <c r="C202" s="139" t="str">
        <f ca="1">C91</f>
        <v>South America</v>
      </c>
      <c r="D202" s="16"/>
      <c r="E202" s="16"/>
      <c r="F202" s="474"/>
      <c r="G202" s="377" t="str">
        <f t="shared" ref="G202:I202" si="157" ca="1">IFERROR(G90/F90-1,"N/A")</f>
        <v>N/A</v>
      </c>
      <c r="H202" s="377" t="str">
        <f ca="1">IFERROR(H90/G90-1,"N/A")</f>
        <v>N/A</v>
      </c>
      <c r="I202" s="377" t="str">
        <f ca="1">IFERROR(I90/H90-1,"N/A")</f>
        <v>N/A</v>
      </c>
      <c r="J202" s="168"/>
      <c r="K202" s="377" t="str">
        <f ca="1">IFERROR(K90/I90-1,"N/A")</f>
        <v>N/A</v>
      </c>
      <c r="L202" s="377" t="str">
        <f t="shared" ref="L202:N202" si="158" ca="1">IFERROR(L90/K90-1,"N/A")</f>
        <v>N/A</v>
      </c>
      <c r="M202" s="377" t="str">
        <f ca="1">IFERROR(M90/L90-1,"N/A")</f>
        <v>N/A</v>
      </c>
      <c r="N202" s="377" t="str">
        <f ca="1">IFERROR(N90/M90-1,"N/A")</f>
        <v>N/A</v>
      </c>
      <c r="O202" s="378"/>
      <c r="P202" s="377" t="str">
        <f ca="1">IFERROR(P90/N90-1,"N/A")</f>
        <v>N/A</v>
      </c>
      <c r="Q202" s="377" t="str">
        <f t="shared" ref="Q202:S202" si="159" ca="1">IFERROR(Q90/P90-1,"N/A")</f>
        <v>N/A</v>
      </c>
      <c r="R202" s="377" t="str">
        <f ca="1">IFERROR(R90/Q90-1,"N/A")</f>
        <v>N/A</v>
      </c>
      <c r="S202" s="377" t="str">
        <f ca="1">IFERROR(S90/R90-1,"N/A")</f>
        <v>N/A</v>
      </c>
      <c r="T202" s="378"/>
      <c r="U202" s="377" t="str">
        <f ca="1">IFERROR(U90/S90-1,"N/A")</f>
        <v>N/A</v>
      </c>
      <c r="V202" s="377" t="str">
        <f t="shared" ref="V202:X202" si="160" ca="1">IFERROR(V90/U90-1,"N/A")</f>
        <v>N/A</v>
      </c>
      <c r="W202" s="377" t="str">
        <f ca="1">IFERROR(W90/V90-1,"N/A")</f>
        <v>N/A</v>
      </c>
      <c r="X202" s="379" t="str">
        <f ca="1">IFERROR(X90/W90-1,"N/A")</f>
        <v>N/A</v>
      </c>
      <c r="Y202" s="378"/>
      <c r="Z202" s="379" t="str">
        <f ca="1">IFERROR(Z90/X90-1,"N/A")</f>
        <v>N/A</v>
      </c>
      <c r="AA202" s="379" t="str">
        <f t="shared" ref="AA202:AC202" si="161" ca="1">IFERROR(AA90/Z90-1,"N/A")</f>
        <v>N/A</v>
      </c>
      <c r="AB202" s="379" t="str">
        <f ca="1">IFERROR(AB90/AA90-1,"N/A")</f>
        <v>N/A</v>
      </c>
      <c r="AC202" s="379" t="str">
        <f ca="1">IFERROR(AC90/AB90-1,"N/A")</f>
        <v>N/A</v>
      </c>
      <c r="AD202" s="378"/>
      <c r="AE202" s="378" t="str">
        <f t="shared" ref="AE202:AG202" si="162" ca="1">IFERROR(AE90/AD90-1,"N/A")</f>
        <v>N/A</v>
      </c>
      <c r="AF202" s="378" t="str">
        <f ca="1">IFERROR(AF90/AE90-1,"N/A")</f>
        <v>N/A</v>
      </c>
      <c r="AG202" s="378" t="str">
        <f ca="1">IFERROR(AG90/AF90-1,"N/A")</f>
        <v>N/A</v>
      </c>
    </row>
    <row r="203" ht="14.25" customHeight="1" spans="1:33" x14ac:dyDescent="0.25">
      <c r="C203" s="139" t="str">
        <f ca="1">C92</f>
        <v>Middle East &amp; Africa</v>
      </c>
      <c r="D203" s="16"/>
      <c r="E203" s="16"/>
      <c r="F203" s="474"/>
      <c r="G203" s="377" t="str">
        <f t="shared" ref="G203:I203" si="163" ca="1">IFERROR(G91/F91-1,"N/A")</f>
        <v>N/A</v>
      </c>
      <c r="H203" s="377" t="str">
        <f ca="1">IFERROR(H91/G91-1,"N/A")</f>
        <v>N/A</v>
      </c>
      <c r="I203" s="377" t="str">
        <f ca="1">IFERROR(I91/H91-1,"N/A")</f>
        <v>N/A</v>
      </c>
      <c r="J203" s="168"/>
      <c r="K203" s="377" t="str">
        <f ca="1">IFERROR(K91/I91-1,"N/A")</f>
        <v>N/A</v>
      </c>
      <c r="L203" s="377" t="str">
        <f t="shared" ref="L203:N203" si="164" ca="1">IFERROR(L91/K91-1,"N/A")</f>
        <v>N/A</v>
      </c>
      <c r="M203" s="377" t="str">
        <f ca="1">IFERROR(M91/L91-1,"N/A")</f>
        <v>N/A</v>
      </c>
      <c r="N203" s="377" t="str">
        <f ca="1">IFERROR(N91/M91-1,"N/A")</f>
        <v>N/A</v>
      </c>
      <c r="O203" s="378"/>
      <c r="P203" s="377" t="str">
        <f ca="1">IFERROR(P91/N91-1,"N/A")</f>
        <v>N/A</v>
      </c>
      <c r="Q203" s="377" t="str">
        <f t="shared" ref="Q203:S203" si="165" ca="1">IFERROR(Q91/P91-1,"N/A")</f>
        <v>N/A</v>
      </c>
      <c r="R203" s="377" t="str">
        <f ca="1">IFERROR(R91/Q91-1,"N/A")</f>
        <v>N/A</v>
      </c>
      <c r="S203" s="377" t="str">
        <f ca="1">IFERROR(S91/R91-1,"N/A")</f>
        <v>N/A</v>
      </c>
      <c r="T203" s="378"/>
      <c r="U203" s="377" t="str">
        <f ca="1">IFERROR(U91/S91-1,"N/A")</f>
        <v>N/A</v>
      </c>
      <c r="V203" s="377" t="str">
        <f t="shared" ref="V203:X203" si="166" ca="1">IFERROR(V91/U91-1,"N/A")</f>
        <v>N/A</v>
      </c>
      <c r="W203" s="377" t="str">
        <f ca="1">IFERROR(W91/V91-1,"N/A")</f>
        <v>N/A</v>
      </c>
      <c r="X203" s="379" t="str">
        <f ca="1">IFERROR(X91/W91-1,"N/A")</f>
        <v>N/A</v>
      </c>
      <c r="Y203" s="378"/>
      <c r="Z203" s="379" t="str">
        <f ca="1">IFERROR(Z91/X91-1,"N/A")</f>
        <v>N/A</v>
      </c>
      <c r="AA203" s="379" t="str">
        <f t="shared" ref="AA203:AC203" si="167" ca="1">IFERROR(AA91/Z91-1,"N/A")</f>
        <v>N/A</v>
      </c>
      <c r="AB203" s="379" t="str">
        <f ca="1">IFERROR(AB91/AA91-1,"N/A")</f>
        <v>N/A</v>
      </c>
      <c r="AC203" s="379" t="str">
        <f ca="1">IFERROR(AC91/AB91-1,"N/A")</f>
        <v>N/A</v>
      </c>
      <c r="AD203" s="378"/>
      <c r="AE203" s="378" t="str">
        <f t="shared" ref="AE203:AG203" si="168" ca="1">IFERROR(AE91/AD91-1,"N/A")</f>
        <v>N/A</v>
      </c>
      <c r="AF203" s="378" t="str">
        <f ca="1">IFERROR(AF91/AE91-1,"N/A")</f>
        <v>N/A</v>
      </c>
      <c r="AG203" s="378" t="str">
        <f ca="1">IFERROR(AG91/AF91-1,"N/A")</f>
        <v>N/A</v>
      </c>
    </row>
    <row r="204" ht="14.25" customHeight="1" spans="1:33" x14ac:dyDescent="0.25">
      <c r="C204" s="139" t="str">
        <f ca="1">C93</f>
        <v>Asia Pacific</v>
      </c>
      <c r="D204" s="16"/>
      <c r="E204" s="16"/>
      <c r="F204" s="474"/>
      <c r="G204" s="377" t="str">
        <f t="shared" ref="G204:I204" si="169" ca="1">IFERROR(G92/F92-1,"N/A")</f>
        <v>N/A</v>
      </c>
      <c r="H204" s="377" t="str">
        <f ca="1">IFERROR(H92/G92-1,"N/A")</f>
        <v>N/A</v>
      </c>
      <c r="I204" s="377" t="str">
        <f ca="1">IFERROR(I92/H92-1,"N/A")</f>
        <v>N/A</v>
      </c>
      <c r="J204" s="168"/>
      <c r="K204" s="377" t="str">
        <f ca="1">IFERROR(K92/I92-1,"N/A")</f>
        <v>N/A</v>
      </c>
      <c r="L204" s="377" t="str">
        <f t="shared" ref="L204:N204" si="170" ca="1">IFERROR(L92/K92-1,"N/A")</f>
        <v>N/A</v>
      </c>
      <c r="M204" s="377" t="str">
        <f ca="1">IFERROR(M92/L92-1,"N/A")</f>
        <v>N/A</v>
      </c>
      <c r="N204" s="377" t="str">
        <f ca="1">IFERROR(N92/M92-1,"N/A")</f>
        <v>N/A</v>
      </c>
      <c r="O204" s="378"/>
      <c r="P204" s="377" t="str">
        <f ca="1">IFERROR(P92/N92-1,"N/A")</f>
        <v>N/A</v>
      </c>
      <c r="Q204" s="377" t="str">
        <f t="shared" ref="Q204:S204" si="171" ca="1">IFERROR(Q92/P92-1,"N/A")</f>
        <v>N/A</v>
      </c>
      <c r="R204" s="377" t="str">
        <f ca="1">IFERROR(R92/Q92-1,"N/A")</f>
        <v>N/A</v>
      </c>
      <c r="S204" s="377" t="str">
        <f ca="1">IFERROR(S92/R92-1,"N/A")</f>
        <v>N/A</v>
      </c>
      <c r="T204" s="378"/>
      <c r="U204" s="377" t="str">
        <f ca="1">IFERROR(U92/S92-1,"N/A")</f>
        <v>N/A</v>
      </c>
      <c r="V204" s="377" t="str">
        <f t="shared" ref="V204:X204" si="172" ca="1">IFERROR(V92/U92-1,"N/A")</f>
        <v>N/A</v>
      </c>
      <c r="W204" s="377" t="str">
        <f ca="1">IFERROR(W92/V92-1,"N/A")</f>
        <v>N/A</v>
      </c>
      <c r="X204" s="379" t="str">
        <f ca="1">IFERROR(X92/W92-1,"N/A")</f>
        <v>N/A</v>
      </c>
      <c r="Y204" s="378"/>
      <c r="Z204" s="379" t="str">
        <f ca="1">IFERROR(Z92/X92-1,"N/A")</f>
        <v>N/A</v>
      </c>
      <c r="AA204" s="379" t="str">
        <f t="shared" ref="AA204:AC204" si="173" ca="1">IFERROR(AA92/Z92-1,"N/A")</f>
        <v>N/A</v>
      </c>
      <c r="AB204" s="379" t="str">
        <f ca="1">IFERROR(AB92/AA92-1,"N/A")</f>
        <v>N/A</v>
      </c>
      <c r="AC204" s="379" t="str">
        <f ca="1">IFERROR(AC92/AB92-1,"N/A")</f>
        <v>N/A</v>
      </c>
      <c r="AD204" s="378"/>
      <c r="AE204" s="378" t="str">
        <f t="shared" ref="AE204:AG204" si="174" ca="1">IFERROR(AE92/AD92-1,"N/A")</f>
        <v>N/A</v>
      </c>
      <c r="AF204" s="378" t="str">
        <f ca="1">IFERROR(AF92/AE92-1,"N/A")</f>
        <v>N/A</v>
      </c>
      <c r="AG204" s="378" t="str">
        <f ca="1">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 ca="1">IFERROR(Model!G36/Model!F36-1,"N/A")</f>
        <v>0.47645051194539256</v>
      </c>
      <c r="H206" s="377">
        <f ca="1">IFERROR(Model!H36/Model!G36-1,"N/A")</f>
        <v>-0.5575589459084604</v>
      </c>
      <c r="I206" s="377">
        <f ca="1">IFERROR(Model!I36/Model!H36-1,"N/A")</f>
        <v>-1.592476489028213</v>
      </c>
      <c r="J206" s="378"/>
      <c r="K206" s="377">
        <f ca="1">IFERROR(Model!K36/Model!J36-1,"N/A")</f>
        <v>-0.6473369835739173</v>
      </c>
      <c r="L206" s="377">
        <f ca="1">IFERROR(Model!L36/Model!K36-1,"N/A")</f>
        <v>0.6803105151729005</v>
      </c>
      <c r="M206" s="377">
        <f ca="1">IFERROR(Model!M36/Model!L36-1,"N/A")</f>
        <v>-0.34565308693826124</v>
      </c>
      <c r="N206" s="377">
        <f ca="1">IFERROR(Model!N36/Model!M36-1,"N/A")</f>
        <v>-0.38510911424903727</v>
      </c>
      <c r="O206" s="378"/>
      <c r="P206" s="377">
        <f ca="1">IFERROR(Model!P36/Model!O36-1,"N/A")</f>
        <v>-0.6846689895470384</v>
      </c>
      <c r="Q206" s="377">
        <f ca="1">IFERROR(Model!Q36/Model!P36-1,"N/A")</f>
        <v>0.9874434957307885</v>
      </c>
      <c r="R206" s="377">
        <f ca="1">IFERROR(Model!R36/Model!Q36-1,"N/A")</f>
        <v>-0.45034116755117515</v>
      </c>
      <c r="S206" s="377">
        <f ca="1">IFERROR(Model!S36/Model!R36-1,"N/A")</f>
        <v>0.2731034482758621</v>
      </c>
      <c r="T206" s="378"/>
      <c r="U206" s="377">
        <f ca="1">IFERROR(Model!U36/Model!T36-1,"N/A")</f>
        <v>-0.7020749173705472</v>
      </c>
      <c r="V206" s="377">
        <f ca="1">IFERROR(Model!V36/Model!U36-1,"N/A")</f>
        <v>0.29738058551617863</v>
      </c>
      <c r="W206" s="377">
        <f ca="1">IFERROR(Model!W36/Model!V36-1,"N/A")</f>
        <v>-0.3375296912114014</v>
      </c>
      <c r="X206" s="379">
        <f ca="1">IFERROR(Model!X36/Model!W36-1,"N/A")</f>
        <v>-1.8213253854428113</v>
      </c>
      <c r="Y206" s="378"/>
      <c r="Z206" s="379">
        <f ca="1">IFERROR(Model!Z36/Model!Y36-1,"N/A")</f>
        <v>-1.3162967718463863</v>
      </c>
      <c r="AA206" s="379">
        <f ca="1">IFERROR(Model!AA36/Model!Z36-1,"N/A")</f>
        <v>0.06529914989591568</v>
      </c>
      <c r="AB206" s="379">
        <f ca="1">IFERROR(Model!AB36/Model!AA36-1,"N/A")</f>
        <v>0.08943823735200218</v>
      </c>
      <c r="AC206" s="379">
        <f ca="1">IFERROR(Model!AC36/Model!AB36-1,"N/A")</f>
        <v>-0.16936014699085644</v>
      </c>
      <c r="AD206" s="378"/>
      <c r="AE206" s="378">
        <f ca="1">IFERROR(Model!AE36/Model!AD36-1,"N/A")</f>
        <v>-0.09127382024067143</v>
      </c>
      <c r="AF206" s="378">
        <f ca="1">IFERROR(Model!AF36/Model!AE36-1,"N/A")</f>
        <v>-0.03465840151129618</v>
      </c>
      <c r="AG206" s="378">
        <f ca="1">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 ca="1">IFERROR(Model!G61/Model!F61-1,"N/A")</f>
        <v>0.4679123287671234</v>
      </c>
      <c r="H208" s="377">
        <f ca="1">IFERROR(Model!H61/Model!G61-1,"N/A")</f>
        <v>-0.40281603917967557</v>
      </c>
      <c r="I208" s="377">
        <f ca="1">IFERROR(Model!I61/Model!H61-1,"N/A")</f>
        <v>-0.22626920528559447</v>
      </c>
      <c r="J208" s="378"/>
      <c r="K208" s="377">
        <f ca="1">IFERROR(Model!K61/Model!I61-1,"N/A")</f>
        <v>0.3307724000872492</v>
      </c>
      <c r="L208" s="377">
        <f ca="1">IFERROR(Model!L61/Model!K61-1,"N/A")</f>
        <v>0.6389602190290602</v>
      </c>
      <c r="M208" s="377">
        <f ca="1">IFERROR(Model!M61/Model!L61-1,"N/A")</f>
        <v>-0.2938391960915768</v>
      </c>
      <c r="N208" s="377">
        <f ca="1">IFERROR(Model!N61/Model!M61-1,"N/A")</f>
        <v>-0.2074901652242328</v>
      </c>
      <c r="O208" s="378"/>
      <c r="P208" s="377">
        <f ca="1">IFERROR(Model!P61/Model!N61-1,"N/A")</f>
        <v>0.5385063405077699</v>
      </c>
      <c r="Q208" s="377">
        <f ca="1">IFERROR(Model!Q61/Model!P61-1,"N/A")</f>
        <v>0.8461687373094267</v>
      </c>
      <c r="R208" s="377">
        <f ca="1">IFERROR(Model!R61/Model!Q61-1,"N/A")</f>
        <v>-0.222473103997875</v>
      </c>
      <c r="S208" s="377">
        <f ca="1">IFERROR(Model!S61/Model!R61-1,"N/A")</f>
        <v>-0.05327890960746595</v>
      </c>
      <c r="T208" s="378"/>
      <c r="U208" s="377">
        <f ca="1">IFERROR(Model!U61/Model!S61-1,"N/A")</f>
        <v>0.15099715099715105</v>
      </c>
      <c r="V208" s="377">
        <f ca="1">IFERROR(Model!V61/Model!U61-1,"N/A")</f>
        <v>0.27035203520352025</v>
      </c>
      <c r="W208" s="377">
        <f ca="1">IFERROR(Model!W61/Model!V61-1,"N/A")</f>
        <v>-0.3056938731327127</v>
      </c>
      <c r="X208" s="379" t="str">
        <f ca="1">IFERROR(Model!X61/Model!W61-1,"N/A")</f>
        <v>N/A</v>
      </c>
      <c r="Y208" s="378"/>
      <c r="Z208" s="379" t="str">
        <f ca="1">IFERROR(Model!Z61/Model!X61-1,"N/A")</f>
        <v>N/A</v>
      </c>
      <c r="AA208" s="379" t="str">
        <f ca="1">IFERROR(Model!AA61/Model!Z61-1,"N/A")</f>
        <v>N/A</v>
      </c>
      <c r="AB208" s="379" t="str">
        <f ca="1">IFERROR(Model!AB61/Model!AA61-1,"N/A")</f>
        <v>N/A</v>
      </c>
      <c r="AC208" s="379" t="str">
        <f ca="1">IFERROR(Model!AC61/Model!AB61-1,"N/A")</f>
        <v>N/A</v>
      </c>
      <c r="AD208" s="378"/>
      <c r="AE208" s="378" t="str">
        <f ca="1">IFERROR(Model!AE61/Model!AD61-1,"N/A")</f>
        <v>N/A</v>
      </c>
      <c r="AF208" s="378" t="str">
        <f ca="1">IFERROR(Model!AF61/Model!AE61-1,"N/A")</f>
        <v>N/A</v>
      </c>
      <c r="AG208" s="378" t="str">
        <f ca="1">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 ca="1">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 ca="1">Model!F$25</f>
        <v>1Q23</v>
      </c>
      <c r="G4" s="194" t="str">
        <f ca="1">Model!G$25</f>
        <v>2Q23</v>
      </c>
      <c r="H4" s="194" t="str">
        <f ca="1">Model!H$25</f>
        <v>3Q23</v>
      </c>
      <c r="I4" s="194" t="str">
        <f ca="1">Model!I$25</f>
        <v>4Q23</v>
      </c>
      <c r="J4" s="194">
        <f ca="1">Model!J$25</f>
        <v>2023</v>
      </c>
      <c r="K4" s="194" t="str">
        <f ca="1">Model!K$25</f>
        <v>1Q24</v>
      </c>
      <c r="L4" s="194" t="str">
        <f ca="1">Model!L$25</f>
        <v>2Q24</v>
      </c>
      <c r="M4" s="194" t="str">
        <f ca="1">Model!M$25</f>
        <v>3Q24</v>
      </c>
      <c r="N4" s="194" t="str">
        <f ca="1">Model!N$25</f>
        <v>4Q24</v>
      </c>
      <c r="O4" s="194">
        <f ca="1">Model!O$25</f>
        <v>2024</v>
      </c>
      <c r="P4" s="194" t="str">
        <f ca="1">Model!P$25</f>
        <v>1Q25</v>
      </c>
      <c r="Q4" s="194" t="str">
        <f ca="1">Model!Q$25</f>
        <v>2Q25</v>
      </c>
      <c r="R4" s="194" t="str">
        <f ca="1">Model!R$25</f>
        <v>3Q25</v>
      </c>
      <c r="S4" s="194" t="str">
        <f ca="1">Model!S$25</f>
        <v>4Q25</v>
      </c>
      <c r="T4" s="194">
        <f ca="1">Model!T$25</f>
        <v>2025</v>
      </c>
      <c r="U4" s="194" t="str">
        <f ca="1">Model!U$25</f>
        <v>1Q26</v>
      </c>
      <c r="V4" s="194" t="str">
        <f ca="1">Model!V$25</f>
        <v>2Q26</v>
      </c>
      <c r="W4" s="194" t="str">
        <f ca="1">Model!W$25</f>
        <v>3Q26e</v>
      </c>
      <c r="X4" s="194" t="str">
        <f ca="1">Model!X$25</f>
        <v>4Q26e</v>
      </c>
      <c r="Y4" s="194" t="str">
        <f ca="1">Model!Y$25</f>
        <v>2026e</v>
      </c>
      <c r="Z4" s="194" t="str">
        <f ca="1">Model!Z$25</f>
        <v>1Q27e</v>
      </c>
      <c r="AA4" s="194" t="str">
        <f ca="1">Model!AA$25</f>
        <v>2Q27e</v>
      </c>
      <c r="AB4" s="194" t="str">
        <f ca="1">Model!AB$25</f>
        <v>3Q27e</v>
      </c>
      <c r="AC4" s="194" t="str">
        <f ca="1">Model!AC$25</f>
        <v>4Q27e</v>
      </c>
      <c r="AD4" s="194" t="str">
        <f ca="1">Model!AD$25</f>
        <v>2027e</v>
      </c>
      <c r="AE4" s="194" t="str">
        <f ca="1">Model!AE$25</f>
        <v>2028e</v>
      </c>
      <c r="AF4" s="194" t="str">
        <f ca="1">Model!AF$25</f>
        <v>2029e</v>
      </c>
      <c r="AG4" s="352" t="str">
        <f ca="1">Model!AG$25</f>
        <v>2030e</v>
      </c>
      <c r="AH4" s="264" t="s">
        <v>1</v>
      </c>
      <c r="AI4" s="264"/>
    </row>
    <row r="5" ht="12.75" customHeight="1" spans="1:35" x14ac:dyDescent="0.25">
      <c r="A5" s="264"/>
      <c r="B5" s="16"/>
      <c r="C5" s="507" t="str">
        <f ca="1">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 ca="1">IF($C$5="Operating Margins",'Segment Analysis'!C16,"Total Company")</f>
        <v>Total Company</v>
      </c>
      <c r="D7" s="16"/>
      <c r="E7" s="16"/>
      <c r="F7" s="377">
        <f ca="1">IF($C$5="Operating Margins",'Segment Analysis'!F155,Model!F66)</f>
        <v>0.34631336405529956</v>
      </c>
      <c r="G7" s="377">
        <f ca="1">IF($C$5="Operating Margins",'Segment Analysis'!G155,Model!G66)</f>
        <v>0.34464764458062047</v>
      </c>
      <c r="H7" s="377">
        <f ca="1">IF($C$5="Operating Margins",'Segment Analysis'!H155,Model!H66)</f>
        <v>0.32500717772035603</v>
      </c>
      <c r="I7" s="377">
        <f ca="1">IF($C$5="Operating Margins",'Segment Analysis'!I155,Model!I66)</f>
        <v>0.2580212194810175</v>
      </c>
      <c r="J7" s="378">
        <f ca="1">IF($C$5="Operating Margins",'Segment Analysis'!J155,Model!J66)</f>
        <v>0.3212497721185264</v>
      </c>
      <c r="K7" s="377">
        <f ca="1">IF($C$5="Operating Margins",'Segment Analysis'!K155,Model!K66)</f>
        <v>0.314582041598557</v>
      </c>
      <c r="L7" s="377">
        <f ca="1">IF($C$5="Operating Margins",'Segment Analysis'!L155,Model!L66)</f>
        <v>0.3210746951219512</v>
      </c>
      <c r="M7" s="377">
        <f ca="1">IF($C$5="Operating Margins",'Segment Analysis'!M155,Model!M66)</f>
        <v>0.3243616287094548</v>
      </c>
      <c r="N7" s="377">
        <f ca="1">IF($C$5="Operating Margins",'Segment Analysis'!N155,Model!N66)</f>
        <v>0.31085043988269795</v>
      </c>
      <c r="O7" s="378">
        <f ca="1">IF($C$5="Operating Margins",'Segment Analysis'!O155,Model!O66)</f>
        <v>0.3179991129345235</v>
      </c>
      <c r="P7" s="377">
        <f ca="1">IF($C$5="Operating Margins",'Segment Analysis'!P155,Model!P66)</f>
        <v>0.3310292249047014</v>
      </c>
      <c r="Q7" s="377">
        <f ca="1">IF($C$5="Operating Margins",'Segment Analysis'!Q155,Model!Q66)</f>
        <v>0.3407808951725148</v>
      </c>
      <c r="R7" s="377">
        <f ca="1">IF($C$5="Operating Margins",'Segment Analysis'!R155,Model!R66)</f>
        <v>0.3272221973194675</v>
      </c>
      <c r="S7" s="377">
        <f ca="1">IF($C$5="Operating Margins",'Segment Analysis'!S155,Model!S66)</f>
        <v>0.31834966274432575</v>
      </c>
      <c r="T7" s="378">
        <f ca="1">IF($C$5="Operating Margins",'Segment Analysis'!T155,Model!T66)</f>
        <v>0.3301784657968459</v>
      </c>
      <c r="U7" s="377">
        <f ca="1">IF($C$5="Operating Margins",'Segment Analysis'!U155,Model!U66)</f>
        <v>0.3328965686675948</v>
      </c>
      <c r="V7" s="377">
        <f ca="1">IF($C$5="Operating Margins",'Segment Analysis'!V155,Model!V66)</f>
        <v>0.33775843307943415</v>
      </c>
      <c r="W7" s="377">
        <f ca="1">IF($C$5="Operating Margins",'Segment Analysis'!W155,Model!W66)</f>
        <v>0.33104982982808273</v>
      </c>
      <c r="X7" s="379">
        <f ca="1">IF(Case_Scenario="Bull",X8,IF(Case_Scenario="Base",X9,IF(Case_Scenario="bear",X10,"N/A")))</f>
        <v>0.13</v>
      </c>
      <c r="Y7" s="378">
        <f ca="1">IF($C$5="Operating Margins",'Segment Analysis'!Y155,Model!Y66)</f>
        <v>0.28815440500361494</v>
      </c>
      <c r="Z7" s="379">
        <f ca="1">IF(Case_Scenario="Bull",Z8,IF(Case_Scenario="Base",Z9,IF(Case_Scenario="bear",Z10,"N/A")))</f>
        <v>0.14</v>
      </c>
      <c r="AA7" s="379">
        <f ca="1">IF(Case_Scenario="Bull",AA8,IF(Case_Scenario="Base",AA9,IF(Case_Scenario="bear",AA10,"N/A")))</f>
        <v>0.145</v>
      </c>
      <c r="AB7" s="379">
        <f ca="1">IF(Case_Scenario="Bull",AB8,IF(Case_Scenario="Base",AB9,IF(Case_Scenario="bear",AB10,"N/A")))</f>
        <v>0.12</v>
      </c>
      <c r="AC7" s="379">
        <f ca="1">IF(Case_Scenario="Bull",AC8,IF(Case_Scenario="Base",AC9,IF(Case_Scenario="bear",AC10,"N/A")))</f>
        <v>0.135</v>
      </c>
      <c r="AD7" s="378">
        <f ca="1">IF($C$5="Operating Margins",'Segment Analysis'!AD155,Model!AD66)</f>
        <v>0.13533005878561802</v>
      </c>
      <c r="AE7" s="378">
        <f ca="1">IF(Case_Scenario="Bull",AE8,IF(Case_Scenario="Base",AE9,IF(Case_Scenario="bear",AE10,"N/A")))</f>
        <v>0.139</v>
      </c>
      <c r="AF7" s="378">
        <f ca="1">IF(Case_Scenario="Bull",AF8,IF(Case_Scenario="Base",AF9,IF(Case_Scenario="bear",AF10,"N/A")))</f>
        <v>0.14</v>
      </c>
      <c r="AG7" s="378">
        <f ca="1">IF(Case_Scenario="Bull",AG8,IF(Case_Scenario="Base",AG9,IF(Case_Scenario="bear",AG10,"N/A")))</f>
        <v>0.142</v>
      </c>
      <c r="AH7" s="16"/>
      <c r="AI7" s="16"/>
    </row>
    <row r="8" ht="12.75" customHeight="1" spans="1:35" x14ac:dyDescent="0.25">
      <c r="A8" s="16"/>
      <c r="B8" s="16"/>
      <c r="C8" s="139" t="str">
        <f ca="1">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 ca="1">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 ca="1">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t="str">
        <f ca="1">IF($C$5="Operating Margins",'Segment Analysis'!C17,"")</f>
        <v/>
      </c>
      <c r="D12" s="16"/>
      <c r="E12" s="16"/>
      <c r="F12" s="377" t="str">
        <f ca="1">'Segment Analysis'!F156</f>
        <v>N/A</v>
      </c>
      <c r="G12" s="377" t="str">
        <f ca="1">'Segment Analysis'!G156</f>
        <v>N/A</v>
      </c>
      <c r="H12" s="377" t="str">
        <f ca="1">'Segment Analysis'!H156</f>
        <v>N/A</v>
      </c>
      <c r="I12" s="377" t="str">
        <f ca="1">'Segment Analysis'!I156</f>
        <v>N/A</v>
      </c>
      <c r="J12" s="378" t="str">
        <f ca="1">'Segment Analysis'!J156</f>
        <v>N/A</v>
      </c>
      <c r="K12" s="377" t="str">
        <f ca="1">'Segment Analysis'!K156</f>
        <v>N/A</v>
      </c>
      <c r="L12" s="377" t="str">
        <f ca="1">'Segment Analysis'!L156</f>
        <v>N/A</v>
      </c>
      <c r="M12" s="377" t="str">
        <f ca="1">'Segment Analysis'!M156</f>
        <v>N/A</v>
      </c>
      <c r="N12" s="377" t="str">
        <f ca="1">'Segment Analysis'!N156</f>
        <v>N/A</v>
      </c>
      <c r="O12" s="378" t="str">
        <f ca="1">'Segment Analysis'!O156</f>
        <v>N/A</v>
      </c>
      <c r="P12" s="377" t="str">
        <f ca="1">'Segment Analysis'!P156</f>
        <v>N/A</v>
      </c>
      <c r="Q12" s="377" t="str">
        <f ca="1">'Segment Analysis'!Q156</f>
        <v>N/A</v>
      </c>
      <c r="R12" s="377" t="str">
        <f ca="1">'Segment Analysis'!R156</f>
        <v>N/A</v>
      </c>
      <c r="S12" s="377" t="str">
        <f ca="1">'Segment Analysis'!S156</f>
        <v>N/A</v>
      </c>
      <c r="T12" s="378" t="str">
        <f ca="1">'Segment Analysis'!T156</f>
        <v>N/A</v>
      </c>
      <c r="U12" s="377" t="str">
        <f ca="1">'Segment Analysis'!U156</f>
        <v>N/A</v>
      </c>
      <c r="V12" s="377" t="str">
        <f ca="1">'Segment Analysis'!V156</f>
        <v>N/A</v>
      </c>
      <c r="W12" s="377" t="str">
        <f ca="1">'Segment Analysis'!W156</f>
        <v>N/A</v>
      </c>
      <c r="X12" s="379">
        <f ca="1">IF(Case_Scenario="Bull",X13,IF(Case_Scenario="Base",X14,IF(Case_Scenario="bear",X15,"N/A")))</f>
        <v>0.13</v>
      </c>
      <c r="Y12" s="378" t="str">
        <f ca="1">'Segment Analysis'!Y156</f>
        <v>N/A</v>
      </c>
      <c r="Z12" s="379">
        <f ca="1">IF(Case_Scenario="Bull",Z13,IF(Case_Scenario="Base",Z14,IF(Case_Scenario="bear",Z15,"N/A")))</f>
        <v>0.14</v>
      </c>
      <c r="AA12" s="379">
        <f ca="1">IF(Case_Scenario="Bull",AA13,IF(Case_Scenario="Base",AA14,IF(Case_Scenario="bear",AA15,"N/A")))</f>
        <v>0.145</v>
      </c>
      <c r="AB12" s="379">
        <f ca="1">IF(Case_Scenario="Bull",AB13,IF(Case_Scenario="Base",AB14,IF(Case_Scenario="bear",AB15,"N/A")))</f>
        <v>0.12</v>
      </c>
      <c r="AC12" s="379">
        <f ca="1">IF(Case_Scenario="Bull",AC13,IF(Case_Scenario="Base",AC14,IF(Case_Scenario="bear",AC15,"N/A")))</f>
        <v>0.135</v>
      </c>
      <c r="AD12" s="378" t="str">
        <f ca="1">'Segment Analysis'!AD156</f>
        <v>N/A</v>
      </c>
      <c r="AE12" s="378">
        <f ca="1">IF(Case_Scenario="Bull",AE13,IF(Case_Scenario="Base",AE14,IF(Case_Scenario="bear",AE15,"N/A")))</f>
        <v>0.139</v>
      </c>
      <c r="AF12" s="378">
        <f ca="1">IF(Case_Scenario="Bull",AF13,IF(Case_Scenario="Base",AF14,IF(Case_Scenario="bear",AF15,"N/A")))</f>
        <v>0.14</v>
      </c>
      <c r="AG12" s="378">
        <f ca="1">IF(Case_Scenario="Bull",AG13,IF(Case_Scenario="Base",AG14,IF(Case_Scenario="bear",AG15,"N/A")))</f>
        <v>0.142</v>
      </c>
      <c r="AH12" s="264" t="s">
        <v>1</v>
      </c>
      <c r="AI12" s="264"/>
    </row>
    <row r="13" ht="12.75" customHeight="1" spans="1:35" x14ac:dyDescent="0.25">
      <c r="A13" s="16"/>
      <c r="B13" s="16"/>
      <c r="C13" s="139" t="str">
        <f ca="1">IF(C12="","","Bull Case")</f>
        <v/>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t="str">
        <f ca="1">IF(C12="","","Base Case")</f>
        <v/>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t="str">
        <f ca="1">IF(C12="","","Bear Case")</f>
        <v/>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t="str">
        <f ca="1">IF($C$5="Operating Margins",'Segment Analysis'!C18,"")</f>
        <v/>
      </c>
      <c r="D17" s="16"/>
      <c r="E17" s="16"/>
      <c r="F17" s="377" t="str">
        <f ca="1">'Segment Analysis'!F157</f>
        <v>N/A</v>
      </c>
      <c r="G17" s="377" t="str">
        <f ca="1">'Segment Analysis'!G157</f>
        <v>N/A</v>
      </c>
      <c r="H17" s="377" t="str">
        <f ca="1">'Segment Analysis'!H157</f>
        <v>N/A</v>
      </c>
      <c r="I17" s="377" t="str">
        <f ca="1">'Segment Analysis'!I157</f>
        <v>N/A</v>
      </c>
      <c r="J17" s="378" t="str">
        <f ca="1">'Segment Analysis'!J157</f>
        <v>N/A</v>
      </c>
      <c r="K17" s="377" t="str">
        <f ca="1">'Segment Analysis'!K157</f>
        <v>N/A</v>
      </c>
      <c r="L17" s="377" t="str">
        <f ca="1">'Segment Analysis'!L157</f>
        <v>N/A</v>
      </c>
      <c r="M17" s="377" t="str">
        <f ca="1">'Segment Analysis'!M157</f>
        <v>N/A</v>
      </c>
      <c r="N17" s="377" t="str">
        <f ca="1">'Segment Analysis'!N157</f>
        <v>N/A</v>
      </c>
      <c r="O17" s="378" t="str">
        <f ca="1">'Segment Analysis'!O157</f>
        <v>N/A</v>
      </c>
      <c r="P17" s="377" t="str">
        <f ca="1">'Segment Analysis'!P157</f>
        <v>N/A</v>
      </c>
      <c r="Q17" s="377" t="str">
        <f ca="1">'Segment Analysis'!Q157</f>
        <v>N/A</v>
      </c>
      <c r="R17" s="377" t="str">
        <f ca="1">'Segment Analysis'!R157</f>
        <v>N/A</v>
      </c>
      <c r="S17" s="377" t="str">
        <f ca="1">'Segment Analysis'!S157</f>
        <v>N/A</v>
      </c>
      <c r="T17" s="378" t="str">
        <f ca="1">'Segment Analysis'!T157</f>
        <v>N/A</v>
      </c>
      <c r="U17" s="377" t="str">
        <f ca="1">'Segment Analysis'!U157</f>
        <v>N/A</v>
      </c>
      <c r="V17" s="377" t="str">
        <f ca="1">'Segment Analysis'!V157</f>
        <v>N/A</v>
      </c>
      <c r="W17" s="377" t="str">
        <f ca="1">'Segment Analysis'!W157</f>
        <v>N/A</v>
      </c>
      <c r="X17" s="379">
        <f ca="1">IF(Case_Scenario="Bull",X18,IF(Case_Scenario="Base",X19,IF(Case_Scenario="bear",X20,"N/A")))</f>
        <v>0.13</v>
      </c>
      <c r="Y17" s="378" t="str">
        <f ca="1">'Segment Analysis'!Y157</f>
        <v>N/A</v>
      </c>
      <c r="Z17" s="379">
        <f ca="1">IF(Case_Scenario="Bull",Z18,IF(Case_Scenario="Base",Z19,IF(Case_Scenario="bear",Z20,"N/A")))</f>
        <v>0.14</v>
      </c>
      <c r="AA17" s="379">
        <f ca="1">IF(Case_Scenario="Bull",AA18,IF(Case_Scenario="Base",AA19,IF(Case_Scenario="bear",AA20,"N/A")))</f>
        <v>0.145</v>
      </c>
      <c r="AB17" s="379">
        <f ca="1">IF(Case_Scenario="Bull",AB18,IF(Case_Scenario="Base",AB19,IF(Case_Scenario="bear",AB20,"N/A")))</f>
        <v>0.12</v>
      </c>
      <c r="AC17" s="379">
        <f ca="1">IF(Case_Scenario="Bull",AC18,IF(Case_Scenario="Base",AC19,IF(Case_Scenario="bear",AC20,"N/A")))</f>
        <v>0.135</v>
      </c>
      <c r="AD17" s="378" t="str">
        <f ca="1">'Segment Analysis'!AD157</f>
        <v>N/A</v>
      </c>
      <c r="AE17" s="378">
        <f ca="1">IF(Case_Scenario="Bull",AE18,IF(Case_Scenario="Base",AE19,IF(Case_Scenario="bear",AE20,"N/A")))</f>
        <v>0.139</v>
      </c>
      <c r="AF17" s="378">
        <f ca="1">IF(Case_Scenario="Bull",AF18,IF(Case_Scenario="Base",AF19,IF(Case_Scenario="bear",AF20,"N/A")))</f>
        <v>0.14</v>
      </c>
      <c r="AG17" s="378">
        <f ca="1">IF(Case_Scenario="Bull",AG18,IF(Case_Scenario="Base",AG19,IF(Case_Scenario="bear",AG20,"N/A")))</f>
        <v>0.142</v>
      </c>
      <c r="AH17" s="16"/>
      <c r="AI17" s="16"/>
    </row>
    <row r="18" ht="12.75" customHeight="1" spans="1:35" x14ac:dyDescent="0.25">
      <c r="A18" s="16"/>
      <c r="B18" s="16"/>
      <c r="C18" s="139" t="str">
        <f ca="1">IF(C17="","","Bull Case")</f>
        <v/>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t="str">
        <f ca="1">IF(C17="","","Base Case")</f>
        <v/>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t="str">
        <f ca="1">IF(C17="","","Bear Case")</f>
        <v/>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t="str">
        <f ca="1">IF($C$5="Operating Margins",'Segment Analysis'!C19,"")</f>
        <v/>
      </c>
      <c r="D22" s="16"/>
      <c r="E22" s="16"/>
      <c r="F22" s="377" t="str">
        <f ca="1">'Segment Analysis'!F158</f>
        <v>N/A</v>
      </c>
      <c r="G22" s="377" t="str">
        <f ca="1">'Segment Analysis'!G158</f>
        <v>N/A</v>
      </c>
      <c r="H22" s="377" t="str">
        <f ca="1">'Segment Analysis'!H158</f>
        <v>N/A</v>
      </c>
      <c r="I22" s="377" t="str">
        <f ca="1">'Segment Analysis'!I158</f>
        <v>N/A</v>
      </c>
      <c r="J22" s="378" t="str">
        <f ca="1">'Segment Analysis'!J158</f>
        <v>N/A</v>
      </c>
      <c r="K22" s="377" t="str">
        <f ca="1">'Segment Analysis'!K158</f>
        <v>N/A</v>
      </c>
      <c r="L22" s="377" t="str">
        <f ca="1">'Segment Analysis'!L158</f>
        <v>N/A</v>
      </c>
      <c r="M22" s="377" t="str">
        <f ca="1">'Segment Analysis'!M158</f>
        <v>N/A</v>
      </c>
      <c r="N22" s="377" t="str">
        <f ca="1">'Segment Analysis'!N158</f>
        <v>N/A</v>
      </c>
      <c r="O22" s="378" t="str">
        <f ca="1">'Segment Analysis'!O158</f>
        <v>N/A</v>
      </c>
      <c r="P22" s="377" t="str">
        <f ca="1">'Segment Analysis'!P158</f>
        <v>N/A</v>
      </c>
      <c r="Q22" s="377" t="str">
        <f ca="1">'Segment Analysis'!Q158</f>
        <v>N/A</v>
      </c>
      <c r="R22" s="377" t="str">
        <f ca="1">'Segment Analysis'!R158</f>
        <v>N/A</v>
      </c>
      <c r="S22" s="377" t="str">
        <f ca="1">'Segment Analysis'!S158</f>
        <v>N/A</v>
      </c>
      <c r="T22" s="378" t="str">
        <f ca="1">'Segment Analysis'!T158</f>
        <v>N/A</v>
      </c>
      <c r="U22" s="377" t="str">
        <f ca="1">'Segment Analysis'!U158</f>
        <v>N/A</v>
      </c>
      <c r="V22" s="377" t="str">
        <f ca="1">'Segment Analysis'!V158</f>
        <v>N/A</v>
      </c>
      <c r="W22" s="377" t="str">
        <f ca="1">'Segment Analysis'!W158</f>
        <v>N/A</v>
      </c>
      <c r="X22" s="379">
        <f ca="1">IF(Case_Scenario="Bull",X23,IF(Case_Scenario="Base",X24,IF(Case_Scenario="bear",X25,"N/A")))</f>
        <v>0.13</v>
      </c>
      <c r="Y22" s="378" t="str">
        <f ca="1">'Segment Analysis'!Y158</f>
        <v>N/A</v>
      </c>
      <c r="Z22" s="379">
        <f ca="1">IF(Case_Scenario="Bull",Z23,IF(Case_Scenario="Base",Z24,IF(Case_Scenario="bear",Z25,"N/A")))</f>
        <v>0.14</v>
      </c>
      <c r="AA22" s="379">
        <f ca="1">IF(Case_Scenario="Bull",AA23,IF(Case_Scenario="Base",AA24,IF(Case_Scenario="bear",AA25,"N/A")))</f>
        <v>0.145</v>
      </c>
      <c r="AB22" s="379">
        <f ca="1">IF(Case_Scenario="Bull",AB23,IF(Case_Scenario="Base",AB24,IF(Case_Scenario="bear",AB25,"N/A")))</f>
        <v>0.12</v>
      </c>
      <c r="AC22" s="379">
        <f ca="1">IF(Case_Scenario="Bull",AC23,IF(Case_Scenario="Base",AC24,IF(Case_Scenario="bear",AC25,"N/A")))</f>
        <v>0.135</v>
      </c>
      <c r="AD22" s="378" t="str">
        <f ca="1">'Segment Analysis'!AD158</f>
        <v>N/A</v>
      </c>
      <c r="AE22" s="378">
        <f ca="1">IF(Case_Scenario="Bull",AE23,IF(Case_Scenario="Base",AE24,IF(Case_Scenario="bear",AE25,"N/A")))</f>
        <v>0.139</v>
      </c>
      <c r="AF22" s="378">
        <f ca="1">IF(Case_Scenario="Bull",AF23,IF(Case_Scenario="Base",AF24,IF(Case_Scenario="bear",AF25,"N/A")))</f>
        <v>0.14</v>
      </c>
      <c r="AG22" s="378">
        <f ca="1">IF(Case_Scenario="Bull",AG23,IF(Case_Scenario="Base",AG24,IF(Case_Scenario="bear",AG25,"N/A")))</f>
        <v>0.142</v>
      </c>
      <c r="AH22" s="16"/>
      <c r="AI22" s="16"/>
    </row>
    <row r="23" ht="12.75" customHeight="1" spans="1:35" x14ac:dyDescent="0.25">
      <c r="A23" s="16"/>
      <c r="B23" s="16"/>
      <c r="C23" s="139" t="str">
        <f ca="1">IF(C22="","","Bull Case")</f>
        <v/>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t="str">
        <f ca="1">IF(C22="","","Base Case")</f>
        <v/>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t="str">
        <f ca="1">IF(C22="","","Bear Case")</f>
        <v/>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t="str">
        <f ca="1">IF($C$5="Operating Margins",'Segment Analysis'!C20,"")</f>
        <v/>
      </c>
      <c r="D27" s="16"/>
      <c r="E27" s="16"/>
      <c r="F27" s="377" t="str">
        <f ca="1">'Segment Analysis'!F159</f>
        <v>N/A</v>
      </c>
      <c r="G27" s="377" t="str">
        <f ca="1">'Segment Analysis'!G159</f>
        <v>N/A</v>
      </c>
      <c r="H27" s="377" t="str">
        <f ca="1">'Segment Analysis'!H159</f>
        <v>N/A</v>
      </c>
      <c r="I27" s="377" t="str">
        <f ca="1">'Segment Analysis'!I159</f>
        <v>N/A</v>
      </c>
      <c r="J27" s="378" t="str">
        <f ca="1">'Segment Analysis'!J159</f>
        <v>N/A</v>
      </c>
      <c r="K27" s="377" t="str">
        <f ca="1">'Segment Analysis'!K159</f>
        <v>N/A</v>
      </c>
      <c r="L27" s="377" t="str">
        <f ca="1">'Segment Analysis'!L159</f>
        <v>N/A</v>
      </c>
      <c r="M27" s="377" t="str">
        <f ca="1">'Segment Analysis'!M159</f>
        <v>N/A</v>
      </c>
      <c r="N27" s="377" t="str">
        <f ca="1">'Segment Analysis'!N159</f>
        <v>N/A</v>
      </c>
      <c r="O27" s="378" t="str">
        <f ca="1">'Segment Analysis'!O159</f>
        <v>N/A</v>
      </c>
      <c r="P27" s="377" t="str">
        <f ca="1">'Segment Analysis'!P159</f>
        <v>N/A</v>
      </c>
      <c r="Q27" s="377" t="str">
        <f ca="1">'Segment Analysis'!Q159</f>
        <v>N/A</v>
      </c>
      <c r="R27" s="377" t="str">
        <f ca="1">'Segment Analysis'!R159</f>
        <v>N/A</v>
      </c>
      <c r="S27" s="377" t="str">
        <f ca="1">'Segment Analysis'!S159</f>
        <v>N/A</v>
      </c>
      <c r="T27" s="378" t="str">
        <f ca="1">'Segment Analysis'!T159</f>
        <v>N/A</v>
      </c>
      <c r="U27" s="377" t="str">
        <f ca="1">'Segment Analysis'!U159</f>
        <v>N/A</v>
      </c>
      <c r="V27" s="377" t="str">
        <f ca="1">'Segment Analysis'!V159</f>
        <v>N/A</v>
      </c>
      <c r="W27" s="377" t="str">
        <f ca="1">'Segment Analysis'!W159</f>
        <v>N/A</v>
      </c>
      <c r="X27" s="379">
        <f ca="1">IF(Case_Scenario="Bull",X28,IF(Case_Scenario="Base",X29,IF(Case_Scenario="bear",X30,"N/A")))</f>
        <v>0.13</v>
      </c>
      <c r="Y27" s="378" t="str">
        <f ca="1">'Segment Analysis'!Y159</f>
        <v>N/A</v>
      </c>
      <c r="Z27" s="379">
        <f ca="1">IF(Case_Scenario="Bull",Z28,IF(Case_Scenario="Base",Z29,IF(Case_Scenario="bear",Z30,"N/A")))</f>
        <v>0.14</v>
      </c>
      <c r="AA27" s="379">
        <f ca="1">IF(Case_Scenario="Bull",AA28,IF(Case_Scenario="Base",AA29,IF(Case_Scenario="bear",AA30,"N/A")))</f>
        <v>0.145</v>
      </c>
      <c r="AB27" s="379">
        <f ca="1">IF(Case_Scenario="Bull",AB28,IF(Case_Scenario="Base",AB29,IF(Case_Scenario="bear",AB30,"N/A")))</f>
        <v>0.12</v>
      </c>
      <c r="AC27" s="379">
        <f ca="1">IF(Case_Scenario="Bull",AC28,IF(Case_Scenario="Base",AC29,IF(Case_Scenario="bear",AC30,"N/A")))</f>
        <v>0.135</v>
      </c>
      <c r="AD27" s="378" t="str">
        <f ca="1">'Segment Analysis'!AD159</f>
        <v>N/A</v>
      </c>
      <c r="AE27" s="378">
        <f ca="1">IF(Case_Scenario="Bull",AE28,IF(Case_Scenario="Base",AE29,IF(Case_Scenario="bear",AE30,"N/A")))</f>
        <v>0.139</v>
      </c>
      <c r="AF27" s="378">
        <f ca="1">IF(Case_Scenario="Bull",AF28,IF(Case_Scenario="Base",AF29,IF(Case_Scenario="bear",AF30,"N/A")))</f>
        <v>0.14</v>
      </c>
      <c r="AG27" s="378">
        <f ca="1">IF(Case_Scenario="Bull",AG28,IF(Case_Scenario="Base",AG29,IF(Case_Scenario="bear",AG30,"N/A")))</f>
        <v>0.142</v>
      </c>
      <c r="AH27" s="16"/>
      <c r="AI27" s="16"/>
    </row>
    <row r="28" ht="12.75" customHeight="1" spans="1:35" x14ac:dyDescent="0.25">
      <c r="A28" s="16"/>
      <c r="B28" s="16"/>
      <c r="C28" s="139" t="str">
        <f ca="1">IF(C27="","","Bull Case")</f>
        <v/>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t="str">
        <f ca="1">IF(C27="","","Base Case")</f>
        <v/>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t="str">
        <f ca="1">IF(C27="","","Bear Case")</f>
        <v/>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t="str">
        <f ca="1">IF($C$5="Operating Margins",'Segment Analysis'!C21,"")</f>
        <v/>
      </c>
      <c r="D32" s="16"/>
      <c r="E32" s="16"/>
      <c r="F32" s="377" t="str">
        <f ca="1">'Segment Analysis'!F160</f>
        <v>N/A</v>
      </c>
      <c r="G32" s="377" t="str">
        <f ca="1">'Segment Analysis'!G160</f>
        <v>N/A</v>
      </c>
      <c r="H32" s="377" t="str">
        <f ca="1">'Segment Analysis'!H160</f>
        <v>N/A</v>
      </c>
      <c r="I32" s="377" t="str">
        <f ca="1">'Segment Analysis'!I160</f>
        <v>N/A</v>
      </c>
      <c r="J32" s="378" t="str">
        <f ca="1">'Segment Analysis'!J160</f>
        <v>N/A</v>
      </c>
      <c r="K32" s="377" t="str">
        <f ca="1">'Segment Analysis'!K160</f>
        <v>N/A</v>
      </c>
      <c r="L32" s="377" t="str">
        <f ca="1">'Segment Analysis'!L160</f>
        <v>N/A</v>
      </c>
      <c r="M32" s="377" t="str">
        <f ca="1">'Segment Analysis'!M160</f>
        <v>N/A</v>
      </c>
      <c r="N32" s="377" t="str">
        <f ca="1">'Segment Analysis'!N160</f>
        <v>N/A</v>
      </c>
      <c r="O32" s="378" t="str">
        <f ca="1">'Segment Analysis'!O160</f>
        <v>N/A</v>
      </c>
      <c r="P32" s="377" t="str">
        <f ca="1">'Segment Analysis'!P160</f>
        <v>N/A</v>
      </c>
      <c r="Q32" s="377" t="str">
        <f ca="1">'Segment Analysis'!Q160</f>
        <v>N/A</v>
      </c>
      <c r="R32" s="377" t="str">
        <f ca="1">'Segment Analysis'!R160</f>
        <v>N/A</v>
      </c>
      <c r="S32" s="377" t="str">
        <f ca="1">'Segment Analysis'!S160</f>
        <v>N/A</v>
      </c>
      <c r="T32" s="378" t="str">
        <f ca="1">'Segment Analysis'!T160</f>
        <v>N/A</v>
      </c>
      <c r="U32" s="377" t="str">
        <f ca="1">'Segment Analysis'!U160</f>
        <v>N/A</v>
      </c>
      <c r="V32" s="377" t="str">
        <f ca="1">'Segment Analysis'!V160</f>
        <v>N/A</v>
      </c>
      <c r="W32" s="377" t="str">
        <f ca="1">'Segment Analysis'!W160</f>
        <v>N/A</v>
      </c>
      <c r="X32" s="379">
        <f ca="1">IF(Case_Scenario="Bull",X33,IF(Case_Scenario="Base",X34,IF(Case_Scenario="bear",X35,"N/A")))</f>
        <v>0.13</v>
      </c>
      <c r="Y32" s="378" t="str">
        <f ca="1">'Segment Analysis'!Y160</f>
        <v>N/A</v>
      </c>
      <c r="Z32" s="379">
        <f ca="1">IF(Case_Scenario="Bull",Z33,IF(Case_Scenario="Base",Z34,IF(Case_Scenario="bear",Z35,"N/A")))</f>
        <v>0.14</v>
      </c>
      <c r="AA32" s="379">
        <f ca="1">IF(Case_Scenario="Bull",AA33,IF(Case_Scenario="Base",AA34,IF(Case_Scenario="bear",AA35,"N/A")))</f>
        <v>0.145</v>
      </c>
      <c r="AB32" s="379">
        <f ca="1">IF(Case_Scenario="Bull",AB33,IF(Case_Scenario="Base",AB34,IF(Case_Scenario="bear",AB35,"N/A")))</f>
        <v>0.12</v>
      </c>
      <c r="AC32" s="379">
        <f ca="1">IF(Case_Scenario="Bull",AC33,IF(Case_Scenario="Base",AC34,IF(Case_Scenario="bear",AC35,"N/A")))</f>
        <v>0.135</v>
      </c>
      <c r="AD32" s="378" t="str">
        <f ca="1">'Segment Analysis'!AD160</f>
        <v>N/A</v>
      </c>
      <c r="AE32" s="378">
        <f ca="1">IF(Case_Scenario="Bull",AE33,IF(Case_Scenario="Base",AE34,IF(Case_Scenario="bear",AE35,"N/A")))</f>
        <v>0.139</v>
      </c>
      <c r="AF32" s="378">
        <f ca="1">IF(Case_Scenario="Bull",AF33,IF(Case_Scenario="Base",AF34,IF(Case_Scenario="bear",AF35,"N/A")))</f>
        <v>0.14</v>
      </c>
      <c r="AG32" s="378">
        <f ca="1">IF(Case_Scenario="Bull",AG33,IF(Case_Scenario="Base",AG34,IF(Case_Scenario="bear",AG35,"N/A")))</f>
        <v>0.142</v>
      </c>
      <c r="AH32" s="16"/>
      <c r="AI32" s="16"/>
    </row>
    <row r="33" ht="12.75" customHeight="1" spans="1:35" x14ac:dyDescent="0.25">
      <c r="A33" s="16"/>
      <c r="B33" s="16"/>
      <c r="C33" s="139" t="str">
        <f ca="1">IF(C32="","","Bull Case")</f>
        <v/>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t="str">
        <f ca="1">IF(C32="","","Base Case")</f>
        <v/>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t="str">
        <f ca="1">IF(C32="","","Bear Case")</f>
        <v/>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 ca="1">Model!C67</f>
        <v>SG&amp;A as % of Revenue</v>
      </c>
      <c r="D40" s="16"/>
      <c r="E40" s="16"/>
      <c r="F40" s="377">
        <f ca="1">Model!F67</f>
        <v>-0.24118663594470047</v>
      </c>
      <c r="G40" s="377">
        <f ca="1">Model!G67</f>
        <v>-0.2245787054768288</v>
      </c>
      <c r="H40" s="377">
        <f ca="1">Model!H67</f>
        <v>-0.24519092736147</v>
      </c>
      <c r="I40" s="377">
        <f ca="1">Model!I67</f>
        <v>-0.27259363415569476</v>
      </c>
      <c r="J40" s="378">
        <f ca="1">Model!J67</f>
        <v>-0.2441907753579492</v>
      </c>
      <c r="K40" s="377">
        <f ca="1">Model!K67</f>
        <v>-0.21768784172256356</v>
      </c>
      <c r="L40" s="377">
        <f ca="1">Model!L67</f>
        <v>-0.19283536585365854</v>
      </c>
      <c r="M40" s="377">
        <f ca="1">Model!M67</f>
        <v>-0.21693121693121692</v>
      </c>
      <c r="N40" s="377">
        <f ca="1">Model!N67</f>
        <v>-0.2299245024021963</v>
      </c>
      <c r="O40" s="378">
        <f ca="1">Model!O67</f>
        <v>-0.21299273715141098</v>
      </c>
      <c r="P40" s="377">
        <f ca="1">Model!P67</f>
        <v>-0.21326556543837358</v>
      </c>
      <c r="Q40" s="377">
        <f ca="1">Model!Q67</f>
        <v>-0.18386931360339903</v>
      </c>
      <c r="R40" s="377">
        <f ca="1">Model!R67</f>
        <v>-0.2138150522210767</v>
      </c>
      <c r="S40" s="377">
        <f ca="1">Model!S67</f>
        <v>-0.16281817734232681</v>
      </c>
      <c r="T40" s="378">
        <f ca="1">Model!T67</f>
        <v>-0.19300869448753866</v>
      </c>
      <c r="U40" s="377">
        <f ca="1">Model!U67</f>
        <v>-0.18401441323396936</v>
      </c>
      <c r="V40" s="377">
        <f ca="1">Model!V67</f>
        <v>-0.17022125498730503</v>
      </c>
      <c r="W40" s="377">
        <f ca="1">Model!W67</f>
        <v>-0.19081071646740552</v>
      </c>
      <c r="X40" s="379">
        <f ca="1">IF(Case_Scenario="Bull",X41,IF(Case_Scenario="Base",X42,IF(Case_Scenario="bear",X43,"N/A")))</f>
        <v>-0.22</v>
      </c>
      <c r="Y40" s="378">
        <f ca="1">Model!Y67</f>
        <v>-0.18979585673045993</v>
      </c>
      <c r="Z40" s="379">
        <f ca="1">IF(Case_Scenario="Bull",Z41,IF(Case_Scenario="Base",Z42,IF(Case_Scenario="bear",Z43,"N/A")))</f>
        <v>-0.225</v>
      </c>
      <c r="AA40" s="379">
        <f ca="1">IF(Case_Scenario="Bull",AA41,IF(Case_Scenario="Base",AA42,IF(Case_Scenario="bear",AA43,"N/A")))</f>
        <v>-0.225</v>
      </c>
      <c r="AB40" s="379">
        <f ca="1">IF(Case_Scenario="Bull",AB41,IF(Case_Scenario="Base",AB42,IF(Case_Scenario="bear",AB43,"N/A")))</f>
        <v>-0.22</v>
      </c>
      <c r="AC40" s="379">
        <f ca="1">IF(Case_Scenario="Bull",AC41,IF(Case_Scenario="Base",AC42,IF(Case_Scenario="bear",AC43,"N/A")))</f>
        <v>-0.22</v>
      </c>
      <c r="AD40" s="378">
        <f ca="1">Model!AD67</f>
        <v>-0.22261215163174033</v>
      </c>
      <c r="AE40" s="378">
        <f ca="1">IF(Case_Scenario="Bull",AE41,IF(Case_Scenario="Base",AE42,IF(Case_Scenario="bear",AE43,"N/A")))</f>
        <v>-0.215</v>
      </c>
      <c r="AF40" s="378">
        <f ca="1">IF(Case_Scenario="Bull",AF41,IF(Case_Scenario="Base",AF42,IF(Case_Scenario="bear",AF43,"N/A")))</f>
        <v>-0.211</v>
      </c>
      <c r="AG40" s="378">
        <f ca="1">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 ca="1">Model!C68</f>
        <v>R&amp;D as a % of Revenue</v>
      </c>
      <c r="D45" s="16"/>
      <c r="E45" s="16"/>
      <c r="F45" s="377">
        <f ca="1">Model!F68</f>
        <v>-0.1643285998824996</v>
      </c>
      <c r="G45" s="377">
        <f ca="1">Model!G68</f>
        <v>-0.14192268511071793</v>
      </c>
      <c r="H45" s="377">
        <f ca="1">Model!H68</f>
        <v>-0.14679305803658743</v>
      </c>
      <c r="I45" s="377">
        <f ca="1">Model!I68</f>
        <v>-0.14034294983200093</v>
      </c>
      <c r="J45" s="378">
        <f ca="1">Model!J68</f>
        <v>-0.14778102370247956</v>
      </c>
      <c r="K45" s="377">
        <f ca="1">Model!K68</f>
        <v>-0.1477917530637331</v>
      </c>
      <c r="L45" s="377">
        <f ca="1">Model!L68</f>
        <v>-0.13995421396710014</v>
      </c>
      <c r="M45" s="377">
        <f ca="1">Model!M68</f>
        <v>-0.1410137309104092</v>
      </c>
      <c r="N45" s="377">
        <f ca="1">Model!N68</f>
        <v>-0.13596077496397807</v>
      </c>
      <c r="O45" s="378">
        <f ca="1">Model!O68</f>
        <v>-0.14092418104211785</v>
      </c>
      <c r="P45" s="377">
        <f ca="1">Model!P68</f>
        <v>-0.15023162001019572</v>
      </c>
      <c r="Q45" s="377">
        <f ca="1">Model!Q68</f>
        <v>-0.1431949226365786</v>
      </c>
      <c r="R45" s="377">
        <f ca="1">Model!R68</f>
        <v>-0.14803705078850174</v>
      </c>
      <c r="S45" s="377">
        <f ca="1">Model!S68</f>
        <v>-0.16315701622609352</v>
      </c>
      <c r="T45" s="378">
        <f ca="1">Model!T68</f>
        <v>-0.15164197926208367</v>
      </c>
      <c r="U45" s="377">
        <f ca="1">Model!U68</f>
        <v>-0.15498289291693965</v>
      </c>
      <c r="V45" s="377">
        <f ca="1">Model!V68</f>
        <v>1e-12</v>
      </c>
      <c r="W45" s="377">
        <f ca="1">Model!W68</f>
        <v>1e-12</v>
      </c>
      <c r="X45" s="379">
        <f ca="1">IF(Case_Scenario="Bull",X46,IF(Case_Scenario="Base",X47,IF(Case_Scenario="bear",X48,"N/A")))</f>
        <v>0</v>
      </c>
      <c r="Y45" s="378">
        <f ca="1">Model!Y68</f>
        <v>-0.38111349045985576</v>
      </c>
      <c r="Z45" s="379">
        <f ca="1">IF(Case_Scenario="Bull",Z46,IF(Case_Scenario="Base",Z47,IF(Case_Scenario="bear",Z48,"N/A")))</f>
        <v>0</v>
      </c>
      <c r="AA45" s="379">
        <f ca="1">IF(Case_Scenario="Bull",AA46,IF(Case_Scenario="Base",AA47,IF(Case_Scenario="bear",AA48,"N/A")))</f>
        <v>0</v>
      </c>
      <c r="AB45" s="379">
        <f ca="1">IF(Case_Scenario="Bull",AB46,IF(Case_Scenario="Base",AB47,IF(Case_Scenario="bear",AB48,"N/A")))</f>
        <v>0</v>
      </c>
      <c r="AC45" s="379">
        <f ca="1">IF(Case_Scenario="Bull",AC46,IF(Case_Scenario="Base",AC47,IF(Case_Scenario="bear",AC48,"N/A")))</f>
        <v>0</v>
      </c>
      <c r="AD45" s="378">
        <f ca="1">Model!AD68</f>
        <v>1e-12</v>
      </c>
      <c r="AE45" s="378">
        <f ca="1">IF(Case_Scenario="Bull",AE46,IF(Case_Scenario="Base",AE47,IF(Case_Scenario="bear",AE48,"N/A")))</f>
        <v>0</v>
      </c>
      <c r="AF45" s="378">
        <f ca="1">IF(Case_Scenario="Bull",AF46,IF(Case_Scenario="Base",AF47,IF(Case_Scenario="bear",AF48,"N/A")))</f>
        <v>0</v>
      </c>
      <c r="AG45" s="378">
        <f ca="1">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 ca="1">Model!C69</f>
        <v>Other Operating Income as a % of Revenue</v>
      </c>
      <c r="D50" s="16"/>
      <c r="E50" s="16"/>
      <c r="F50" s="377">
        <f ca="1">Model!F69</f>
        <v>0</v>
      </c>
      <c r="G50" s="377">
        <f ca="1">Model!G69</f>
        <v>0</v>
      </c>
      <c r="H50" s="377">
        <f ca="1">Model!H69</f>
        <v>0</v>
      </c>
      <c r="I50" s="377">
        <f ca="1">Model!I69</f>
        <v>0</v>
      </c>
      <c r="J50" s="378">
        <f ca="1">Model!J69</f>
        <v>0</v>
      </c>
      <c r="K50" s="377">
        <f ca="1">Model!K69</f>
        <v>0</v>
      </c>
      <c r="L50" s="377">
        <f ca="1">Model!L69</f>
        <v>0</v>
      </c>
      <c r="M50" s="377">
        <f ca="1">Model!M69</f>
        <v>0</v>
      </c>
      <c r="N50" s="377">
        <f ca="1">Model!N69</f>
        <v>0</v>
      </c>
      <c r="O50" s="378">
        <f ca="1">Model!O69</f>
        <v>0</v>
      </c>
      <c r="P50" s="377">
        <f ca="1">Model!P69</f>
        <v>0</v>
      </c>
      <c r="Q50" s="377">
        <f ca="1">Model!Q69</f>
        <v>0</v>
      </c>
      <c r="R50" s="377">
        <f ca="1">Model!R69</f>
        <v>0</v>
      </c>
      <c r="S50" s="377">
        <f ca="1">Model!S69</f>
        <v>0</v>
      </c>
      <c r="T50" s="378">
        <f ca="1">Model!T69</f>
        <v>0</v>
      </c>
      <c r="U50" s="377">
        <f ca="1">Model!U69</f>
        <v>0</v>
      </c>
      <c r="V50" s="377">
        <f ca="1">Model!V69</f>
        <v>1e-12</v>
      </c>
      <c r="W50" s="377">
        <f ca="1">Model!W69</f>
        <v>1e-12</v>
      </c>
      <c r="X50" s="379">
        <f ca="1">IF(Case_Scenario="Bull",X51,IF(Case_Scenario="Base",X52,IF(Case_Scenario="bear",X53,"N/A")))</f>
        <v>0</v>
      </c>
      <c r="Y50" s="378">
        <f ca="1">Model!Y69</f>
        <v>1e-12</v>
      </c>
      <c r="Z50" s="379">
        <f ca="1">IF(Case_Scenario="Bull",Z51,IF(Case_Scenario="Base",Z52,IF(Case_Scenario="bear",Z53,"N/A")))</f>
        <v>0</v>
      </c>
      <c r="AA50" s="379">
        <f ca="1">IF(Case_Scenario="Bull",AA51,IF(Case_Scenario="Base",AA52,IF(Case_Scenario="bear",AA53,"N/A")))</f>
        <v>0</v>
      </c>
      <c r="AB50" s="379">
        <f ca="1">IF(Case_Scenario="Bull",AB51,IF(Case_Scenario="Base",AB52,IF(Case_Scenario="bear",AB53,"N/A")))</f>
        <v>0</v>
      </c>
      <c r="AC50" s="379">
        <f ca="1">IF(Case_Scenario="Bull",AC51,IF(Case_Scenario="Base",AC52,IF(Case_Scenario="bear",AC53,"N/A")))</f>
        <v>0</v>
      </c>
      <c r="AD50" s="378">
        <f ca="1">Model!AD69</f>
        <v>1e-12</v>
      </c>
      <c r="AE50" s="378">
        <f ca="1">IF(Case_Scenario="Bull",AE51,IF(Case_Scenario="Base",AE52,IF(Case_Scenario="bear",AE53,"N/A")))</f>
        <v>0</v>
      </c>
      <c r="AF50" s="378">
        <f ca="1">IF(Case_Scenario="Bull",AF51,IF(Case_Scenario="Base",AF52,IF(Case_Scenario="bear",AF53,"N/A")))</f>
        <v>0</v>
      </c>
      <c r="AG50" s="378">
        <f ca="1">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 ca="1">Model!C70</f>
        <v>Other Non-Operating Income as a % of Revenue</v>
      </c>
      <c r="D57" s="16"/>
      <c r="E57" s="16"/>
      <c r="F57" s="377">
        <f ca="1">Model!F70</f>
        <v>0.0010460400934271426</v>
      </c>
      <c r="G57" s="377">
        <f ca="1">Model!G70</f>
        <v>-0.010508819902418101</v>
      </c>
      <c r="H57" s="377">
        <f ca="1">Model!H70</f>
        <v>-0.014290743614149922</v>
      </c>
      <c r="I57" s="377">
        <f ca="1">Model!I70</f>
        <v>-0.0037770826091993977</v>
      </c>
      <c r="J57" s="378">
        <f ca="1">Model!J70</f>
        <v>-0.006938977338529705</v>
      </c>
      <c r="K57" s="377">
        <f ca="1">Model!K70</f>
        <v>0.023293062988117556</v>
      </c>
      <c r="L57" s="377">
        <f ca="1">Model!L70</f>
        <v>-0.011293101413702768</v>
      </c>
      <c r="M57" s="377">
        <f ca="1">Model!M70</f>
        <v>0.02209181130194408</v>
      </c>
      <c r="N57" s="377">
        <f ca="1">Model!N70</f>
        <v>0.0019902766691890657</v>
      </c>
      <c r="O57" s="378">
        <f ca="1">Model!O70</f>
        <v>0.008745264529252781</v>
      </c>
      <c r="P57" s="377">
        <f ca="1">Model!P70</f>
        <v>0.11300618392180331</v>
      </c>
      <c r="Q57" s="377">
        <f ca="1">Model!Q70</f>
        <v>0.016883063010743767</v>
      </c>
      <c r="R57" s="377">
        <f ca="1">Model!R70</f>
        <v>-0.047514456049128156</v>
      </c>
      <c r="S57" s="377">
        <f ca="1">Model!S70</f>
        <v>-0.061296834227758355</v>
      </c>
      <c r="T57" s="378">
        <f ca="1">Model!T70</f>
        <v>-0.02572630780048439</v>
      </c>
      <c r="U57" s="377">
        <f ca="1">Model!U70</f>
        <v>0.3307854698988134</v>
      </c>
      <c r="V57" s="377">
        <f ca="1">Model!V70</f>
        <v>1e-12</v>
      </c>
      <c r="W57" s="377">
        <f ca="1">Model!W70</f>
        <v>1e-12</v>
      </c>
      <c r="X57" s="379">
        <f ca="1">IF(Case_Scenario="Bull",X58,IF(Case_Scenario="Base",X59,IF(Case_Scenario="bear",X60,"N/A")))</f>
        <v>0</v>
      </c>
      <c r="Y57" s="378">
        <f ca="1">Model!Y70</f>
        <v>0.8134240021839289</v>
      </c>
      <c r="Z57" s="379">
        <f ca="1">IF(Case_Scenario="Bull",Z58,IF(Case_Scenario="Base",Z59,IF(Case_Scenario="bear",Z60,"N/A")))</f>
        <v>0</v>
      </c>
      <c r="AA57" s="379">
        <f ca="1">IF(Case_Scenario="Bull",AA58,IF(Case_Scenario="Base",AA59,IF(Case_Scenario="bear",AA60,"N/A")))</f>
        <v>0</v>
      </c>
      <c r="AB57" s="379">
        <f ca="1">IF(Case_Scenario="Bull",AB58,IF(Case_Scenario="Base",AB59,IF(Case_Scenario="bear",AB60,"N/A")))</f>
        <v>0</v>
      </c>
      <c r="AC57" s="379">
        <f ca="1">IF(Case_Scenario="Bull",AC58,IF(Case_Scenario="Base",AC59,IF(Case_Scenario="bear",AC60,"N/A")))</f>
        <v>0</v>
      </c>
      <c r="AD57" s="378">
        <f ca="1">Model!AD70</f>
        <v>1e-12</v>
      </c>
      <c r="AE57" s="378">
        <f ca="1">IF(Case_Scenario="Bull",AE58,IF(Case_Scenario="Base",AE59,IF(Case_Scenario="bear",AE60,"N/A")))</f>
        <v>0</v>
      </c>
      <c r="AF57" s="378">
        <f ca="1">IF(Case_Scenario="Bull",AF58,IF(Case_Scenario="Base",AF59,IF(Case_Scenario="bear",AF60,"N/A")))</f>
        <v>0</v>
      </c>
      <c r="AG57" s="378">
        <f ca="1">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 ca="1">Model!C40</f>
        <v>Goodwill Impairment</v>
      </c>
      <c r="D62" s="16"/>
      <c r="E62" s="16"/>
      <c r="F62" s="325">
        <f ca="1">Model!F40</f>
        <v>1e-12</v>
      </c>
      <c r="G62" s="325">
        <f ca="1">Model!G40</f>
        <v>1e-12</v>
      </c>
      <c r="H62" s="325">
        <f ca="1">Model!H40</f>
        <v>1e-12</v>
      </c>
      <c r="I62" s="325">
        <f ca="1">Model!I40</f>
        <v>1e-12</v>
      </c>
      <c r="J62" s="326">
        <f ca="1">Model!J40</f>
        <v>1e-12</v>
      </c>
      <c r="K62" s="325">
        <f ca="1">Model!K40</f>
        <v>1e-12</v>
      </c>
      <c r="L62" s="325">
        <f ca="1">Model!L40</f>
        <v>1e-12</v>
      </c>
      <c r="M62" s="325">
        <f ca="1">Model!M40</f>
        <v>1e-12</v>
      </c>
      <c r="N62" s="325">
        <f ca="1">Model!N40</f>
        <v>1e-12</v>
      </c>
      <c r="O62" s="326">
        <f ca="1">Model!O40</f>
        <v>1e-12</v>
      </c>
      <c r="P62" s="325">
        <f ca="1">Model!P40</f>
        <v>1e-12</v>
      </c>
      <c r="Q62" s="325">
        <f ca="1">Model!Q40</f>
        <v>1e-12</v>
      </c>
      <c r="R62" s="325">
        <f ca="1">Model!R40</f>
        <v>1e-12</v>
      </c>
      <c r="S62" s="325">
        <f ca="1">Model!S40</f>
        <v>1e-12</v>
      </c>
      <c r="T62" s="326">
        <f ca="1">Model!T40</f>
        <v>1e-12</v>
      </c>
      <c r="U62" s="325">
        <f ca="1">Model!U40</f>
        <v>1e-12</v>
      </c>
      <c r="V62" s="325">
        <f ca="1">Model!V40</f>
        <v>1e-12</v>
      </c>
      <c r="W62" s="325">
        <f ca="1">Model!W40</f>
        <v>1e-12</v>
      </c>
      <c r="X62" s="517">
        <v>0</v>
      </c>
      <c r="Y62" s="326">
        <f ca="1">Model!Y40</f>
        <v>1e-12</v>
      </c>
      <c r="Z62" s="517">
        <v>0</v>
      </c>
      <c r="AA62" s="517">
        <v>0</v>
      </c>
      <c r="AB62" s="517">
        <v>0</v>
      </c>
      <c r="AC62" s="517">
        <v>0</v>
      </c>
      <c r="AD62" s="326">
        <f ca="1">Model!AD40</f>
        <v>1e-12</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 ca="1">Model!C71</f>
        <v>Tax Rate</v>
      </c>
      <c r="D64" s="16"/>
      <c r="E64" s="16"/>
      <c r="F64" s="377">
        <f ca="1">Model!F71</f>
        <v>0.24291187739463602</v>
      </c>
      <c r="G64" s="377">
        <f ca="1">Model!G71</f>
        <v>0.24365987071108902</v>
      </c>
      <c r="H64" s="377">
        <f ca="1">Model!H71</f>
        <v>0.21766169154228857</v>
      </c>
      <c r="I64" s="377">
        <f ca="1">Model!I71</f>
        <v>-0.1349862258953168</v>
      </c>
      <c r="J64" s="378">
        <f ca="1">Model!J71</f>
        <v>0.3182086034177961</v>
      </c>
      <c r="K64" s="377">
        <f ca="1">Model!K71</f>
        <v>0.16653386454183267</v>
      </c>
      <c r="L64" s="377">
        <f ca="1">Model!L71</f>
        <v>0.2423146473779385</v>
      </c>
      <c r="M64" s="377">
        <f ca="1">Model!M71</f>
        <v>0.24040550325850832</v>
      </c>
      <c r="N64" s="377">
        <f ca="1">Model!N71</f>
        <v>0.3419354838709677</v>
      </c>
      <c r="O64" s="378">
        <f ca="1">Model!O71</f>
        <v>0.23866263560377024</v>
      </c>
      <c r="P64" s="377">
        <f ca="1">Model!P71</f>
        <v>0.25139977603583424</v>
      </c>
      <c r="Q64" s="377">
        <f ca="1">Model!Q71</f>
        <v>0.24344569288389514</v>
      </c>
      <c r="R64" s="377">
        <f ca="1">Model!R71</f>
        <v>0.22595078299776286</v>
      </c>
      <c r="S64" s="377">
        <f ca="1">Model!S71</f>
        <v>0.2590909090909091</v>
      </c>
      <c r="T64" s="378">
        <f ca="1">Model!T71</f>
        <v>0.24592918066683897</v>
      </c>
      <c r="U64" s="377">
        <f ca="1">Model!U71</f>
        <v>0.23500329597890574</v>
      </c>
      <c r="V64" s="377">
        <f ca="1">Model!V71</f>
        <v>0.2443665498247371</v>
      </c>
      <c r="W64" s="377">
        <f ca="1">Model!W71</f>
        <v>0.26110678098207324</v>
      </c>
      <c r="X64" s="379">
        <f ca="1">IF(Case_Scenario="Bull",X65,IF(Case_Scenario="Base",X66,IF(Case_Scenario="bear",X67,"N/A")))</f>
        <v>0.24</v>
      </c>
      <c r="Y64" s="378">
        <f ca="1">Model!Y71</f>
        <v>-0.28352091084656006</v>
      </c>
      <c r="Z64" s="379">
        <f ca="1">IF(Case_Scenario="Bull",Z65,IF(Case_Scenario="Base",Z66,IF(Case_Scenario="bear",Z67,"N/A")))</f>
        <v>0.24</v>
      </c>
      <c r="AA64" s="379">
        <f ca="1">IF(Case_Scenario="Bull",AA65,IF(Case_Scenario="Base",AA66,IF(Case_Scenario="bear",AA67,"N/A")))</f>
        <v>0.24</v>
      </c>
      <c r="AB64" s="379">
        <f ca="1">IF(Case_Scenario="Bull",AB65,IF(Case_Scenario="Base",AB66,IF(Case_Scenario="bear",AB67,"N/A")))</f>
        <v>0.24</v>
      </c>
      <c r="AC64" s="379">
        <f ca="1">IF(Case_Scenario="Bull",AC65,IF(Case_Scenario="Base",AC66,IF(Case_Scenario="bear",AC67,"N/A")))</f>
        <v>0.24</v>
      </c>
      <c r="AD64" s="378">
        <f ca="1">Model!AD71</f>
        <v>0.23999999999999996</v>
      </c>
      <c r="AE64" s="378">
        <f ca="1">IF(Case_Scenario="Bull",AE65,IF(Case_Scenario="Base",AE66,IF(Case_Scenario="bear",AE67,"N/A")))</f>
        <v>0.24</v>
      </c>
      <c r="AF64" s="378">
        <f ca="1">IF(Case_Scenario="Bull",AF65,IF(Case_Scenario="Base",AF66,IF(Case_Scenario="bear",AF67,"N/A")))</f>
        <v>0.24</v>
      </c>
      <c r="AG64" s="378">
        <f ca="1">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 ca="1">Model!F$25</f>
        <v>1Q23</v>
      </c>
      <c r="G69" s="194" t="str">
        <f ca="1">Model!G$25</f>
        <v>2Q23</v>
      </c>
      <c r="H69" s="194" t="str">
        <f ca="1">Model!H$25</f>
        <v>3Q23</v>
      </c>
      <c r="I69" s="194" t="str">
        <f ca="1">Model!I$25</f>
        <v>4Q23</v>
      </c>
      <c r="J69" s="194">
        <f ca="1">Model!J$25</f>
        <v>2023</v>
      </c>
      <c r="K69" s="194" t="str">
        <f ca="1">Model!K$25</f>
        <v>1Q24</v>
      </c>
      <c r="L69" s="194" t="str">
        <f ca="1">Model!L$25</f>
        <v>2Q24</v>
      </c>
      <c r="M69" s="194" t="str">
        <f ca="1">Model!M$25</f>
        <v>3Q24</v>
      </c>
      <c r="N69" s="194" t="str">
        <f ca="1">Model!N$25</f>
        <v>4Q24</v>
      </c>
      <c r="O69" s="194">
        <f ca="1">Model!O$25</f>
        <v>2024</v>
      </c>
      <c r="P69" s="194" t="str">
        <f ca="1">Model!P$25</f>
        <v>1Q25</v>
      </c>
      <c r="Q69" s="194" t="str">
        <f ca="1">Model!Q$25</f>
        <v>2Q25</v>
      </c>
      <c r="R69" s="194" t="str">
        <f ca="1">Model!R$25</f>
        <v>3Q25</v>
      </c>
      <c r="S69" s="194" t="str">
        <f ca="1">Model!S$25</f>
        <v>4Q25</v>
      </c>
      <c r="T69" s="194">
        <f ca="1">Model!T$25</f>
        <v>2025</v>
      </c>
      <c r="U69" s="194" t="str">
        <f ca="1">Model!U$25</f>
        <v>1Q26</v>
      </c>
      <c r="V69" s="194" t="str">
        <f ca="1">Model!V$25</f>
        <v>2Q26</v>
      </c>
      <c r="W69" s="194" t="str">
        <f ca="1">Model!W$25</f>
        <v>3Q26e</v>
      </c>
      <c r="X69" s="194" t="str">
        <f ca="1">Model!X$25</f>
        <v>4Q26e</v>
      </c>
      <c r="Y69" s="194" t="str">
        <f ca="1">Model!Y$25</f>
        <v>2026e</v>
      </c>
      <c r="Z69" s="194" t="str">
        <f ca="1">Model!Z$25</f>
        <v>1Q27e</v>
      </c>
      <c r="AA69" s="194" t="str">
        <f ca="1">Model!AA$25</f>
        <v>2Q27e</v>
      </c>
      <c r="AB69" s="194" t="str">
        <f ca="1">Model!AB$25</f>
        <v>3Q27e</v>
      </c>
      <c r="AC69" s="194" t="str">
        <f ca="1">Model!AC$25</f>
        <v>4Q27e</v>
      </c>
      <c r="AD69" s="194" t="str">
        <f ca="1">Model!AD$25</f>
        <v>2027e</v>
      </c>
      <c r="AE69" s="194" t="str">
        <f ca="1">Model!AE$25</f>
        <v>2028e</v>
      </c>
      <c r="AF69" s="194" t="str">
        <f ca="1">Model!AF$25</f>
        <v>2029e</v>
      </c>
      <c r="AG69" s="352" t="str">
        <f ca="1">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 ca="1">Model!C201</f>
        <v>Depreciation as a % of Avg. PP&amp;E</v>
      </c>
      <c r="D72" s="16"/>
      <c r="E72" s="16"/>
      <c r="F72" s="377"/>
      <c r="G72" s="377">
        <f ca="1">Model!G201</f>
        <v>0.07136946628051304</v>
      </c>
      <c r="H72" s="377">
        <f ca="1">Model!H201</f>
        <v>0.09093056831605198</v>
      </c>
      <c r="I72" s="377">
        <f ca="1">Model!I201</f>
        <v>0.07260072279480659</v>
      </c>
      <c r="J72" s="378">
        <f ca="1">Model!J201</f>
        <v>0.07770923487708314</v>
      </c>
      <c r="K72" s="377">
        <f ca="1">Model!K201</f>
        <v>0.06604340932699142</v>
      </c>
      <c r="L72" s="377">
        <f ca="1">Model!L201</f>
        <v>0.06844001870547135</v>
      </c>
      <c r="M72" s="377">
        <f ca="1">Model!M201</f>
        <v>0.06780773226882485</v>
      </c>
      <c r="N72" s="377">
        <f ca="1">Model!N201</f>
        <v>0.07321814254859611</v>
      </c>
      <c r="O72" s="378">
        <f ca="1">Model!O201</f>
        <v>0.06803051130697285</v>
      </c>
      <c r="P72" s="377">
        <f ca="1">Model!P201</f>
        <v>0.07016411084207694</v>
      </c>
      <c r="Q72" s="377">
        <f ca="1">Model!Q201</f>
        <v>0.0704874302804947</v>
      </c>
      <c r="R72" s="377">
        <f ca="1">Model!R201</f>
        <v>0.07614961791124816</v>
      </c>
      <c r="S72" s="377">
        <f ca="1">Model!S201</f>
        <v>0.07487401007919367</v>
      </c>
      <c r="T72" s="378">
        <f ca="1">Model!T201</f>
        <v>0.06712118302285384</v>
      </c>
      <c r="U72" s="377">
        <f ca="1">Model!U201</f>
        <v>0.07439471055510631</v>
      </c>
      <c r="V72" s="377">
        <f ca="1">Model!V201</f>
        <v>0.042425833552113414</v>
      </c>
      <c r="W72" s="377">
        <f ca="1">Model!W201</f>
        <v>0.04405100642849615</v>
      </c>
      <c r="X72" s="379">
        <f ca="1">IF(Case_Scenario="Bull",X73,IF(Case_Scenario="Base",X74,IF(Case_Scenario="bear",X75,"N/A")))</f>
        <v>0.07</v>
      </c>
      <c r="Y72" s="378">
        <f ca="1">Model!Y201</f>
        <v>0.054024417503968955</v>
      </c>
      <c r="Z72" s="379">
        <f ca="1">IF(Case_Scenario="Bull",Z73,IF(Case_Scenario="Base",Z74,IF(Case_Scenario="bear",Z75,"N/A")))</f>
        <v>0.07</v>
      </c>
      <c r="AA72" s="379">
        <f ca="1">IF(Case_Scenario="Bull",AA73,IF(Case_Scenario="Base",AA74,IF(Case_Scenario="bear",AA75,"N/A")))</f>
        <v>0.07</v>
      </c>
      <c r="AB72" s="379">
        <f ca="1">IF(Case_Scenario="Bull",AB73,IF(Case_Scenario="Base",AB74,IF(Case_Scenario="bear",AB75,"N/A")))</f>
        <v>0.07</v>
      </c>
      <c r="AC72" s="379">
        <f ca="1">IF(Case_Scenario="Bull",AC73,IF(Case_Scenario="Base",AC74,IF(Case_Scenario="bear",AC75,"N/A")))</f>
        <v>0.07</v>
      </c>
      <c r="AD72" s="378">
        <f ca="1">Model!AD201</f>
        <v>0.07003993909428458</v>
      </c>
      <c r="AE72" s="378">
        <f ca="1">IF(Case_Scenario="Bull",AE73,IF(Case_Scenario="Base",AE74,IF(Case_Scenario="bear",AE75,"N/A")))</f>
        <v>0.072</v>
      </c>
      <c r="AF72" s="378">
        <f ca="1">IF(Case_Scenario="Bull",AF73,IF(Case_Scenario="Base",AF74,IF(Case_Scenario="bear",AF75,"N/A")))</f>
        <v>0.072</v>
      </c>
      <c r="AG72" s="378">
        <f ca="1">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 ca="1">'Segment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 ca="1">'Segment Analysis'!C62</f>
        <v>Home Improvement Retail</v>
      </c>
      <c r="D78" s="16"/>
      <c r="E78" s="16"/>
      <c r="F78" s="522">
        <f ca="1">'Segment Analysis'!F62</f>
        <v>1</v>
      </c>
      <c r="G78" s="522">
        <f ca="1">'Segment Analysis'!G62</f>
        <v>1</v>
      </c>
      <c r="H78" s="522">
        <f ca="1">'Segment Analysis'!H62</f>
        <v>1</v>
      </c>
      <c r="I78" s="522">
        <f ca="1">'Segment Analysis'!I62</f>
        <v>1</v>
      </c>
      <c r="J78" s="381">
        <f ca="1">'Segment Analysis'!J62</f>
        <v>1</v>
      </c>
      <c r="K78" s="522">
        <f ca="1">'Segment Analysis'!K62</f>
        <v>1</v>
      </c>
      <c r="L78" s="522">
        <f ca="1">'Segment Analysis'!L62</f>
        <v>1</v>
      </c>
      <c r="M78" s="522">
        <f ca="1">'Segment Analysis'!M62</f>
        <v>1</v>
      </c>
      <c r="N78" s="522">
        <f ca="1">'Segment Analysis'!N62</f>
        <v>1</v>
      </c>
      <c r="O78" s="381">
        <f ca="1">'Segment Analysis'!O62</f>
        <v>1</v>
      </c>
      <c r="P78" s="522">
        <f ca="1">'Segment Analysis'!P62</f>
        <v>1</v>
      </c>
      <c r="Q78" s="522">
        <f ca="1">'Segment Analysis'!Q62</f>
        <v>1</v>
      </c>
      <c r="R78" s="522">
        <f ca="1">'Segment Analysis'!R62</f>
        <v>1</v>
      </c>
      <c r="S78" s="522">
        <f ca="1">'Segment Analysis'!S62</f>
        <v>1</v>
      </c>
      <c r="T78" s="381">
        <f ca="1">'Segment Analysis'!T62</f>
        <v>1</v>
      </c>
      <c r="U78" s="522">
        <f ca="1">'Segment Analysis'!U62</f>
        <v>1</v>
      </c>
      <c r="V78" s="522">
        <f ca="1">'Segment Analysis'!V62</f>
        <v>1</v>
      </c>
      <c r="W78" s="522">
        <f ca="1">'Segment Analysis'!W62</f>
        <v>1</v>
      </c>
      <c r="X78" s="320">
        <v>1</v>
      </c>
      <c r="Y78" s="381">
        <f ca="1">'Segment Analysis'!Y62</f>
        <v>1</v>
      </c>
      <c r="Z78" s="320">
        <v>1</v>
      </c>
      <c r="AA78" s="320">
        <v>1</v>
      </c>
      <c r="AB78" s="320">
        <v>1</v>
      </c>
      <c r="AC78" s="320">
        <v>1</v>
      </c>
      <c r="AD78" s="381">
        <f ca="1">'Segment Analysis'!AD62</f>
        <v>1</v>
      </c>
      <c r="AE78" s="321">
        <v>1</v>
      </c>
      <c r="AF78" s="321">
        <v>1</v>
      </c>
      <c r="AG78" s="321">
        <v>1</v>
      </c>
      <c r="AH78" s="16"/>
      <c r="AI78" s="16"/>
    </row>
    <row r="79" ht="12.75" customHeight="1" spans="1:35" x14ac:dyDescent="0.25">
      <c r="A79" s="16"/>
      <c r="B79" s="16"/>
      <c r="C79" s="491" t="str">
        <f ca="1">'Segment Analysis'!C63</f>
        <v>Segment 2</v>
      </c>
      <c r="D79" s="16"/>
      <c r="E79" s="16"/>
      <c r="F79" s="522">
        <f ca="1">'Segment Analysis'!F63</f>
        <v>1e-12</v>
      </c>
      <c r="G79" s="522">
        <f ca="1">'Segment Analysis'!G63</f>
        <v>1e-12</v>
      </c>
      <c r="H79" s="522">
        <f ca="1">'Segment Analysis'!H63</f>
        <v>1e-12</v>
      </c>
      <c r="I79" s="522">
        <f ca="1">'Segment Analysis'!I63</f>
        <v>1e-12</v>
      </c>
      <c r="J79" s="381">
        <f ca="1">'Segment Analysis'!J63</f>
        <v>1e-12</v>
      </c>
      <c r="K79" s="522">
        <f ca="1">'Segment Analysis'!K63</f>
        <v>1e-12</v>
      </c>
      <c r="L79" s="522">
        <f ca="1">'Segment Analysis'!L63</f>
        <v>1e-12</v>
      </c>
      <c r="M79" s="522">
        <f ca="1">'Segment Analysis'!M63</f>
        <v>1e-12</v>
      </c>
      <c r="N79" s="522">
        <f ca="1">'Segment Analysis'!N63</f>
        <v>1e-12</v>
      </c>
      <c r="O79" s="381">
        <f ca="1">'Segment Analysis'!O63</f>
        <v>1e-12</v>
      </c>
      <c r="P79" s="522">
        <f ca="1">'Segment Analysis'!P63</f>
        <v>1e-12</v>
      </c>
      <c r="Q79" s="522">
        <f ca="1">'Segment Analysis'!Q63</f>
        <v>1e-12</v>
      </c>
      <c r="R79" s="522">
        <f ca="1">'Segment Analysis'!R63</f>
        <v>1e-12</v>
      </c>
      <c r="S79" s="522">
        <f ca="1">'Segment Analysis'!S63</f>
        <v>1e-12</v>
      </c>
      <c r="T79" s="381">
        <f ca="1">'Segment Analysis'!T63</f>
        <v>1e-12</v>
      </c>
      <c r="U79" s="522">
        <f ca="1">'Segment Analysis'!U63</f>
        <v>1e-12</v>
      </c>
      <c r="V79" s="522">
        <f ca="1">'Segment Analysis'!V63</f>
        <v>1e-12</v>
      </c>
      <c r="W79" s="522">
        <f ca="1">'Segment Analysis'!W63</f>
        <v>1e-12</v>
      </c>
      <c r="X79" s="320">
        <v>0</v>
      </c>
      <c r="Y79" s="381">
        <f ca="1">'Segment Analysis'!Y63</f>
        <v>1e-12</v>
      </c>
      <c r="Z79" s="320">
        <v>0</v>
      </c>
      <c r="AA79" s="320">
        <v>0</v>
      </c>
      <c r="AB79" s="320">
        <v>0</v>
      </c>
      <c r="AC79" s="320">
        <v>0</v>
      </c>
      <c r="AD79" s="381">
        <f ca="1">'Segment Analysis'!AD63</f>
        <v>1e-12</v>
      </c>
      <c r="AE79" s="321">
        <v>0</v>
      </c>
      <c r="AF79" s="321">
        <v>0</v>
      </c>
      <c r="AG79" s="321">
        <v>0</v>
      </c>
      <c r="AH79" s="16"/>
      <c r="AI79" s="16"/>
    </row>
    <row r="80" ht="12.75" customHeight="1" spans="1:35" x14ac:dyDescent="0.25">
      <c r="A80" s="16"/>
      <c r="B80" s="16"/>
      <c r="C80" s="491" t="str">
        <f ca="1">'Segment Analysis'!C64</f>
        <v>Segment 3</v>
      </c>
      <c r="D80" s="16"/>
      <c r="E80" s="16"/>
      <c r="F80" s="522">
        <f ca="1">'Segment Analysis'!F64</f>
        <v>1e-12</v>
      </c>
      <c r="G80" s="522">
        <f ca="1">'Segment Analysis'!G64</f>
        <v>1e-12</v>
      </c>
      <c r="H80" s="522">
        <f ca="1">'Segment Analysis'!H64</f>
        <v>1e-12</v>
      </c>
      <c r="I80" s="522">
        <f ca="1">'Segment Analysis'!I64</f>
        <v>1e-12</v>
      </c>
      <c r="J80" s="381">
        <f ca="1">'Segment Analysis'!J64</f>
        <v>1e-12</v>
      </c>
      <c r="K80" s="522">
        <f ca="1">'Segment Analysis'!K64</f>
        <v>1e-12</v>
      </c>
      <c r="L80" s="522">
        <f ca="1">'Segment Analysis'!L64</f>
        <v>1e-12</v>
      </c>
      <c r="M80" s="522">
        <f ca="1">'Segment Analysis'!M64</f>
        <v>1e-12</v>
      </c>
      <c r="N80" s="522">
        <f ca="1">'Segment Analysis'!N64</f>
        <v>1e-12</v>
      </c>
      <c r="O80" s="381">
        <f ca="1">'Segment Analysis'!O64</f>
        <v>1e-12</v>
      </c>
      <c r="P80" s="522">
        <f ca="1">'Segment Analysis'!P64</f>
        <v>1e-12</v>
      </c>
      <c r="Q80" s="522">
        <f ca="1">'Segment Analysis'!Q64</f>
        <v>1e-12</v>
      </c>
      <c r="R80" s="522">
        <f ca="1">'Segment Analysis'!R64</f>
        <v>1e-12</v>
      </c>
      <c r="S80" s="522">
        <f ca="1">'Segment Analysis'!S64</f>
        <v>1e-12</v>
      </c>
      <c r="T80" s="381">
        <f ca="1">'Segment Analysis'!T64</f>
        <v>1e-12</v>
      </c>
      <c r="U80" s="522">
        <f ca="1">'Segment Analysis'!U64</f>
        <v>1e-12</v>
      </c>
      <c r="V80" s="522">
        <f ca="1">'Segment Analysis'!V64</f>
        <v>1e-12</v>
      </c>
      <c r="W80" s="522">
        <f ca="1">'Segment Analysis'!W64</f>
        <v>1e-12</v>
      </c>
      <c r="X80" s="320">
        <v>0</v>
      </c>
      <c r="Y80" s="381">
        <f ca="1">'Segment Analysis'!Y64</f>
        <v>1e-12</v>
      </c>
      <c r="Z80" s="320">
        <v>0</v>
      </c>
      <c r="AA80" s="320">
        <v>0</v>
      </c>
      <c r="AB80" s="320">
        <v>0</v>
      </c>
      <c r="AC80" s="320">
        <v>0</v>
      </c>
      <c r="AD80" s="381">
        <f ca="1">'Segment Analysis'!AD64</f>
        <v>1e-12</v>
      </c>
      <c r="AE80" s="321">
        <v>0</v>
      </c>
      <c r="AF80" s="321">
        <v>0</v>
      </c>
      <c r="AG80" s="321">
        <v>0</v>
      </c>
      <c r="AH80" s="16"/>
      <c r="AI80" s="16"/>
    </row>
    <row r="81" ht="12.75" customHeight="1" spans="1:35" x14ac:dyDescent="0.25">
      <c r="A81" s="16"/>
      <c r="B81" s="16"/>
      <c r="C81" s="491" t="str">
        <f ca="1">'Segment Analysis'!C65</f>
        <v>Segment 4</v>
      </c>
      <c r="D81" s="16"/>
      <c r="E81" s="16"/>
      <c r="F81" s="522">
        <f ca="1">'Segment Analysis'!F65</f>
        <v>1e-12</v>
      </c>
      <c r="G81" s="522">
        <f ca="1">'Segment Analysis'!G65</f>
        <v>1e-12</v>
      </c>
      <c r="H81" s="522">
        <f ca="1">'Segment Analysis'!H65</f>
        <v>1e-12</v>
      </c>
      <c r="I81" s="522">
        <f ca="1">'Segment Analysis'!I65</f>
        <v>1e-12</v>
      </c>
      <c r="J81" s="381">
        <f ca="1">'Segment Analysis'!J65</f>
        <v>1e-12</v>
      </c>
      <c r="K81" s="522">
        <f ca="1">'Segment Analysis'!K65</f>
        <v>1e-12</v>
      </c>
      <c r="L81" s="522">
        <f ca="1">'Segment Analysis'!L65</f>
        <v>1e-12</v>
      </c>
      <c r="M81" s="522">
        <f ca="1">'Segment Analysis'!M65</f>
        <v>1e-12</v>
      </c>
      <c r="N81" s="522">
        <f ca="1">'Segment Analysis'!N65</f>
        <v>1e-12</v>
      </c>
      <c r="O81" s="381">
        <f ca="1">'Segment Analysis'!O65</f>
        <v>1e-12</v>
      </c>
      <c r="P81" s="522">
        <f ca="1">'Segment Analysis'!P65</f>
        <v>1e-12</v>
      </c>
      <c r="Q81" s="522">
        <f ca="1">'Segment Analysis'!Q65</f>
        <v>1e-12</v>
      </c>
      <c r="R81" s="522">
        <f ca="1">'Segment Analysis'!R65</f>
        <v>1e-12</v>
      </c>
      <c r="S81" s="522">
        <f ca="1">'Segment Analysis'!S65</f>
        <v>1e-12</v>
      </c>
      <c r="T81" s="381">
        <f ca="1">'Segment Analysis'!T65</f>
        <v>1e-12</v>
      </c>
      <c r="U81" s="522">
        <f ca="1">'Segment Analysis'!U65</f>
        <v>1e-12</v>
      </c>
      <c r="V81" s="522">
        <f ca="1">'Segment Analysis'!V65</f>
        <v>1e-12</v>
      </c>
      <c r="W81" s="522">
        <f ca="1">'Segment Analysis'!W65</f>
        <v>1e-12</v>
      </c>
      <c r="X81" s="320">
        <v>0</v>
      </c>
      <c r="Y81" s="381">
        <f ca="1">'Segment Analysis'!Y65</f>
        <v>1e-12</v>
      </c>
      <c r="Z81" s="320">
        <v>0</v>
      </c>
      <c r="AA81" s="320">
        <v>0</v>
      </c>
      <c r="AB81" s="320">
        <v>0</v>
      </c>
      <c r="AC81" s="320">
        <v>0</v>
      </c>
      <c r="AD81" s="381">
        <f ca="1">'Segment Analysis'!AD65</f>
        <v>1e-12</v>
      </c>
      <c r="AE81" s="321">
        <v>0</v>
      </c>
      <c r="AF81" s="321">
        <v>0</v>
      </c>
      <c r="AG81" s="321">
        <v>0</v>
      </c>
      <c r="AH81" s="16"/>
      <c r="AI81" s="16"/>
    </row>
    <row r="82" ht="12.75" customHeight="1" spans="1:35" x14ac:dyDescent="0.25">
      <c r="A82" s="16"/>
      <c r="B82" s="16"/>
      <c r="C82" s="491" t="str">
        <f ca="1">'Segment Analysis'!C66</f>
        <v>Segment 5</v>
      </c>
      <c r="D82" s="16"/>
      <c r="E82" s="16"/>
      <c r="F82" s="522">
        <f ca="1">'Segment Analysis'!F66</f>
        <v>1e-12</v>
      </c>
      <c r="G82" s="522">
        <f ca="1">'Segment Analysis'!G66</f>
        <v>1e-12</v>
      </c>
      <c r="H82" s="522">
        <f ca="1">'Segment Analysis'!H66</f>
        <v>1e-12</v>
      </c>
      <c r="I82" s="522">
        <f ca="1">'Segment Analysis'!I66</f>
        <v>1e-12</v>
      </c>
      <c r="J82" s="381">
        <f ca="1">'Segment Analysis'!J66</f>
        <v>1e-12</v>
      </c>
      <c r="K82" s="522">
        <f ca="1">'Segment Analysis'!K66</f>
        <v>1e-12</v>
      </c>
      <c r="L82" s="522">
        <f ca="1">'Segment Analysis'!L66</f>
        <v>1e-12</v>
      </c>
      <c r="M82" s="522">
        <f ca="1">'Segment Analysis'!M66</f>
        <v>1e-12</v>
      </c>
      <c r="N82" s="522">
        <f ca="1">'Segment Analysis'!N66</f>
        <v>1e-12</v>
      </c>
      <c r="O82" s="381">
        <f ca="1">'Segment Analysis'!O66</f>
        <v>1e-12</v>
      </c>
      <c r="P82" s="522">
        <f ca="1">'Segment Analysis'!P66</f>
        <v>1e-12</v>
      </c>
      <c r="Q82" s="522">
        <f ca="1">'Segment Analysis'!Q66</f>
        <v>1e-12</v>
      </c>
      <c r="R82" s="522">
        <f ca="1">'Segment Analysis'!R66</f>
        <v>1e-12</v>
      </c>
      <c r="S82" s="522">
        <f ca="1">'Segment Analysis'!S66</f>
        <v>1e-12</v>
      </c>
      <c r="T82" s="381">
        <f ca="1">'Segment Analysis'!T66</f>
        <v>1e-12</v>
      </c>
      <c r="U82" s="522">
        <f ca="1">'Segment Analysis'!U66</f>
        <v>1e-12</v>
      </c>
      <c r="V82" s="522">
        <f ca="1">'Segment Analysis'!V66</f>
        <v>1e-12</v>
      </c>
      <c r="W82" s="522">
        <f ca="1">'Segment Analysis'!W66</f>
        <v>1e-12</v>
      </c>
      <c r="X82" s="320">
        <v>0</v>
      </c>
      <c r="Y82" s="381">
        <f ca="1">'Segment Analysis'!Y66</f>
        <v>1e-12</v>
      </c>
      <c r="Z82" s="320">
        <v>0</v>
      </c>
      <c r="AA82" s="320">
        <v>0</v>
      </c>
      <c r="AB82" s="320">
        <v>0</v>
      </c>
      <c r="AC82" s="320">
        <v>0</v>
      </c>
      <c r="AD82" s="381">
        <f ca="1">'Segment Analysis'!AD66</f>
        <v>1e-12</v>
      </c>
      <c r="AE82" s="321">
        <v>0</v>
      </c>
      <c r="AF82" s="321">
        <v>0</v>
      </c>
      <c r="AG82" s="321">
        <v>0</v>
      </c>
      <c r="AH82" s="16"/>
      <c r="AI82" s="16"/>
    </row>
    <row r="83" ht="12.75" customHeight="1" spans="1:35" x14ac:dyDescent="0.25">
      <c r="A83" s="16"/>
      <c r="B83" s="16"/>
      <c r="C83" s="491" t="str">
        <f ca="1">'Segment Analysis'!C67</f>
        <v>Segment 6</v>
      </c>
      <c r="D83" s="16"/>
      <c r="E83" s="16"/>
      <c r="F83" s="522">
        <f ca="1">'Segment Analysis'!F67</f>
        <v>1e-12</v>
      </c>
      <c r="G83" s="522">
        <f ca="1">'Segment Analysis'!G67</f>
        <v>1e-12</v>
      </c>
      <c r="H83" s="522">
        <f ca="1">'Segment Analysis'!H67</f>
        <v>1e-12</v>
      </c>
      <c r="I83" s="522">
        <f ca="1">'Segment Analysis'!I67</f>
        <v>1e-12</v>
      </c>
      <c r="J83" s="381">
        <f ca="1">'Segment Analysis'!J67</f>
        <v>1e-12</v>
      </c>
      <c r="K83" s="522">
        <f ca="1">'Segment Analysis'!K67</f>
        <v>1e-12</v>
      </c>
      <c r="L83" s="522">
        <f ca="1">'Segment Analysis'!L67</f>
        <v>1e-12</v>
      </c>
      <c r="M83" s="522">
        <f ca="1">'Segment Analysis'!M67</f>
        <v>1e-12</v>
      </c>
      <c r="N83" s="522">
        <f ca="1">'Segment Analysis'!N67</f>
        <v>1e-12</v>
      </c>
      <c r="O83" s="381">
        <f ca="1">'Segment Analysis'!O67</f>
        <v>1e-12</v>
      </c>
      <c r="P83" s="522">
        <f ca="1">'Segment Analysis'!P67</f>
        <v>1e-12</v>
      </c>
      <c r="Q83" s="522">
        <f ca="1">'Segment Analysis'!Q67</f>
        <v>1e-12</v>
      </c>
      <c r="R83" s="522">
        <f ca="1">'Segment Analysis'!R67</f>
        <v>1e-12</v>
      </c>
      <c r="S83" s="522">
        <f ca="1">'Segment Analysis'!S67</f>
        <v>1e-12</v>
      </c>
      <c r="T83" s="381">
        <f ca="1">'Segment Analysis'!T67</f>
        <v>1e-12</v>
      </c>
      <c r="U83" s="522">
        <f ca="1">'Segment Analysis'!U67</f>
        <v>1e-12</v>
      </c>
      <c r="V83" s="522">
        <f ca="1">'Segment Analysis'!V67</f>
        <v>1e-12</v>
      </c>
      <c r="W83" s="522">
        <f ca="1">'Segment Analysis'!W67</f>
        <v>1e-12</v>
      </c>
      <c r="X83" s="320">
        <v>0</v>
      </c>
      <c r="Y83" s="381">
        <f ca="1">'Segment Analysis'!Y67</f>
        <v>1e-12</v>
      </c>
      <c r="Z83" s="320">
        <v>0</v>
      </c>
      <c r="AA83" s="320">
        <v>0</v>
      </c>
      <c r="AB83" s="320">
        <v>0</v>
      </c>
      <c r="AC83" s="320">
        <v>0</v>
      </c>
      <c r="AD83" s="381">
        <f ca="1">'Segment Analysis'!AD67</f>
        <v>1e-12</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 ca="1">Model!C214</f>
        <v>Amortization as a % of Avg. Intangibles</v>
      </c>
      <c r="D85" s="16"/>
      <c r="E85" s="16"/>
      <c r="F85" s="377"/>
      <c r="G85" s="377">
        <f ca="1">Model!G214</f>
      </c>
      <c r="H85" s="377">
        <f ca="1">Model!H214</f>
      </c>
      <c r="I85" s="377">
        <f ca="1">Model!I214</f>
      </c>
      <c r="J85" s="378">
        <f ca="1">Model!J214</f>
      </c>
      <c r="K85" s="377">
        <f ca="1">Model!K214</f>
      </c>
      <c r="L85" s="377">
        <f ca="1">Model!L214</f>
      </c>
      <c r="M85" s="377">
        <f ca="1">Model!M214</f>
      </c>
      <c r="N85" s="377">
        <f ca="1">Model!N214</f>
      </c>
      <c r="O85" s="378">
        <f ca="1">Model!O214</f>
      </c>
      <c r="P85" s="377">
        <f ca="1">Model!P214</f>
      </c>
      <c r="Q85" s="377">
        <f ca="1">Model!Q214</f>
      </c>
      <c r="R85" s="377">
        <f ca="1">Model!R214</f>
      </c>
      <c r="S85" s="377">
        <f ca="1">Model!S214</f>
      </c>
      <c r="T85" s="378">
        <f ca="1">Model!T214</f>
      </c>
      <c r="U85" s="377">
        <f ca="1">Model!U214</f>
      </c>
      <c r="V85" s="377">
        <f ca="1">Model!V214</f>
        <v>1e-12</v>
      </c>
      <c r="W85" s="377">
        <f ca="1">Model!W214</f>
        <v>1e-12</v>
      </c>
      <c r="X85" s="379">
        <f ca="1">IF(Case_Scenario="Bull",X86,IF(Case_Scenario="Base",X87,IF(Case_Scenario="bear",X88,"N/A")))</f>
        <v>0</v>
      </c>
      <c r="Y85" s="378">
        <f ca="1">Model!Y214</f>
        <v>1e-12</v>
      </c>
      <c r="Z85" s="379">
        <f ca="1">IF(Case_Scenario="Bull",Z86,IF(Case_Scenario="Base",Z87,IF(Case_Scenario="bear",Z88,"N/A")))</f>
        <v>0</v>
      </c>
      <c r="AA85" s="379">
        <f ca="1">IF(Case_Scenario="Bull",AA86,IF(Case_Scenario="Base",AA87,IF(Case_Scenario="bear",AA88,"N/A")))</f>
        <v>0</v>
      </c>
      <c r="AB85" s="379">
        <f ca="1">IF(Case_Scenario="Bull",AB86,IF(Case_Scenario="Base",AB87,IF(Case_Scenario="bear",AB88,"N/A")))</f>
        <v>0</v>
      </c>
      <c r="AC85" s="379">
        <f ca="1">IF(Case_Scenario="Bull",AC86,IF(Case_Scenario="Base",AC87,IF(Case_Scenario="bear",AC88,"N/A")))</f>
        <v>0</v>
      </c>
      <c r="AD85" s="378">
        <f ca="1">Model!AD214</f>
        <v>1e-12</v>
      </c>
      <c r="AE85" s="378">
        <f ca="1">IF(Case_Scenario="Bull",AE86,IF(Case_Scenario="Base",AE87,IF(Case_Scenario="bear",AE88,"N/A")))</f>
        <v>0</v>
      </c>
      <c r="AF85" s="378">
        <f ca="1">IF(Case_Scenario="Bull",AF86,IF(Case_Scenario="Base",AF87,IF(Case_Scenario="bear",AF88,"N/A")))</f>
        <v>0</v>
      </c>
      <c r="AG85" s="378">
        <f ca="1">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 ca="1">Model!C200</f>
        <v>Capex as a % of Sales</v>
      </c>
      <c r="D92" s="16"/>
      <c r="E92" s="16"/>
      <c r="F92" s="377">
        <f ca="1">Model!F200</f>
        <v>0.012903225806451613</v>
      </c>
      <c r="G92" s="377">
        <f ca="1">Model!G200</f>
        <v>0.015271926464955956</v>
      </c>
      <c r="H92" s="377">
        <f ca="1">Model!H200</f>
        <v>0.01739879414298019</v>
      </c>
      <c r="I92" s="377">
        <f ca="1">Model!I200</f>
        <v>0.020963824619711108</v>
      </c>
      <c r="J92" s="378">
        <f ca="1">Model!J200</f>
        <v>0.016463559999439062</v>
      </c>
      <c r="K92" s="377">
        <f ca="1">Model!K200</f>
        <v>0.011555154726340116</v>
      </c>
      <c r="L92" s="377">
        <f ca="1">Model!L200</f>
        <v>0.015291539634146341</v>
      </c>
      <c r="M92" s="377">
        <f ca="1">Model!M200</f>
        <v>0.02306188175753393</v>
      </c>
      <c r="N92" s="377">
        <f ca="1">Model!N200</f>
        <v>0.03475385287327635</v>
      </c>
      <c r="O92" s="378">
        <f ca="1">Model!O200</f>
        <v>0.020568830736818762</v>
      </c>
      <c r="P92" s="377">
        <f ca="1">Model!P200</f>
        <v>0.016670902160101652</v>
      </c>
      <c r="Q92" s="377">
        <f ca="1">Model!Q200</f>
        <v>0.013991648963445902</v>
      </c>
      <c r="R92" s="377">
        <f ca="1">Model!R200</f>
        <v>0.02070913084405397</v>
      </c>
      <c r="S92" s="377">
        <f ca="1">Model!S200</f>
        <v>0.02742356358623406</v>
      </c>
      <c r="T92" s="378">
        <f ca="1">Model!T200</f>
        <v>0.019297521122359006</v>
      </c>
      <c r="U92" s="377">
        <f ca="1">Model!U200</f>
        <v>0.018876422897387602</v>
      </c>
      <c r="V92" s="377">
        <f ca="1">Model!V200</f>
        <v>0.013964454116793616</v>
      </c>
      <c r="W92" s="377">
        <f ca="1">Model!W200</f>
        <v>0.017889868225848676</v>
      </c>
      <c r="X92" s="379">
        <f ca="1">IF(Case_Scenario="Bull",X93,IF(Case_Scenario="Base",X94,IF(Case_Scenario="bear",X95,"N/A")))</f>
        <v>0.017</v>
      </c>
      <c r="Y92" s="378">
        <f ca="1">Model!Y200</f>
        <v>0.016819304711006483</v>
      </c>
      <c r="Z92" s="379">
        <f ca="1">IF(Case_Scenario="Bull",Z93,IF(Case_Scenario="Base",Z94,IF(Case_Scenario="bear",Z95,"N/A")))</f>
        <v>0.024</v>
      </c>
      <c r="AA92" s="379">
        <f ca="1">IF(Case_Scenario="Bull",AA93,IF(Case_Scenario="Base",AA94,IF(Case_Scenario="bear",AA95,"N/A")))</f>
        <v>0.022</v>
      </c>
      <c r="AB92" s="379">
        <f ca="1">IF(Case_Scenario="Bull",AB93,IF(Case_Scenario="Base",AB94,IF(Case_Scenario="bear",AB95,"N/A")))</f>
        <v>0.017</v>
      </c>
      <c r="AC92" s="379">
        <f ca="1">IF(Case_Scenario="Bull",AC93,IF(Case_Scenario="Base",AC94,IF(Case_Scenario="bear",AC95,"N/A")))</f>
        <v>0.017</v>
      </c>
      <c r="AD92" s="378">
        <f ca="1">Model!AD200</f>
        <v>0.02010040427318712</v>
      </c>
      <c r="AE92" s="378">
        <f ca="1">IF(Case_Scenario="Bull",AE93,IF(Case_Scenario="Base",AE94,IF(Case_Scenario="bear",AE95,"N/A")))</f>
        <v>0.02</v>
      </c>
      <c r="AF92" s="378">
        <f ca="1">IF(Case_Scenario="Bull",AF93,IF(Case_Scenario="Base",AF94,IF(Case_Scenario="bear",AF95,"N/A")))</f>
        <v>0.02</v>
      </c>
      <c r="AG92" s="378">
        <f ca="1">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 ca="1">Model!C84</f>
        <v>Proceeds From/(Acquisitions of) Businesses</v>
      </c>
      <c r="D97" s="16"/>
      <c r="E97" s="16"/>
      <c r="F97" s="325">
        <f ca="1">Model!F84</f>
        <v>1e-12</v>
      </c>
      <c r="G97" s="325">
        <f ca="1">Model!G84</f>
        <v>1e-12</v>
      </c>
      <c r="H97" s="325">
        <f ca="1">Model!H84</f>
        <v>1e-12</v>
      </c>
      <c r="I97" s="325">
        <f ca="1">Model!I84</f>
        <v>1e-12</v>
      </c>
      <c r="J97" s="326">
        <f ca="1">Model!J84</f>
        <v>1e-12</v>
      </c>
      <c r="K97" s="325">
        <f ca="1">Model!K84</f>
        <v>1e-12</v>
      </c>
      <c r="L97" s="325">
        <f ca="1">Model!L84</f>
        <v>1e-12</v>
      </c>
      <c r="M97" s="325">
        <f ca="1">Model!M84</f>
        <v>1e-12</v>
      </c>
      <c r="N97" s="325">
        <f ca="1">Model!N84</f>
        <v>1e-12</v>
      </c>
      <c r="O97" s="326">
        <f ca="1">Model!O84</f>
        <v>1e-12</v>
      </c>
      <c r="P97" s="325">
        <f ca="1">Model!P84</f>
        <v>1e-12</v>
      </c>
      <c r="Q97" s="325">
        <f ca="1">Model!Q84</f>
        <v>1e-12</v>
      </c>
      <c r="R97" s="325">
        <f ca="1">Model!R84</f>
        <v>1e-12</v>
      </c>
      <c r="S97" s="325">
        <f ca="1">Model!S84</f>
        <v>1e-12</v>
      </c>
      <c r="T97" s="326">
        <f ca="1">Model!T84</f>
        <v>1e-12</v>
      </c>
      <c r="U97" s="325">
        <f ca="1">Model!U84</f>
        <v>1e-12</v>
      </c>
      <c r="V97" s="325">
        <f ca="1">Model!V84</f>
        <v>1e-12</v>
      </c>
      <c r="W97" s="325">
        <f ca="1">Model!W84</f>
        <v>1e-12</v>
      </c>
      <c r="X97" s="517">
        <v>0</v>
      </c>
      <c r="Y97" s="326">
        <f ca="1">Model!Y84</f>
        <v>1e-12</v>
      </c>
      <c r="Z97" s="517">
        <v>0</v>
      </c>
      <c r="AA97" s="517">
        <v>0</v>
      </c>
      <c r="AB97" s="517">
        <v>0</v>
      </c>
      <c r="AC97" s="517">
        <v>0</v>
      </c>
      <c r="AD97" s="326">
        <f ca="1">Model!AD84</f>
        <v>1e-12</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 ca="1">Model!C273</f>
        <v>Dividends YoY Growth Rate</v>
      </c>
      <c r="D101" s="16"/>
      <c r="E101" s="16"/>
      <c r="F101" s="377"/>
      <c r="G101" s="377"/>
      <c r="H101" s="377"/>
      <c r="I101" s="377"/>
      <c r="J101" s="378"/>
      <c r="K101" s="377">
        <f ca="1">Model!K273</f>
        <v>0.13235294117647056</v>
      </c>
      <c r="L101" s="377">
        <f ca="1">Model!L273</f>
        <v>0.1301775147928994</v>
      </c>
      <c r="M101" s="377">
        <f ca="1">Model!M273</f>
        <v>0.09743589743589753</v>
      </c>
      <c r="N101" s="377">
        <f ca="1">Model!N273</f>
        <v>0.09302325581395343</v>
      </c>
      <c r="O101" s="378"/>
      <c r="P101" s="377">
        <f ca="1">Model!P273</f>
        <v>0.09090909090909083</v>
      </c>
      <c r="Q101" s="377">
        <f ca="1">Model!Q273</f>
        <v>0.08900523560209428</v>
      </c>
      <c r="R101" s="377">
        <f ca="1">Model!R273</f>
        <v>-0.028037383177570097</v>
      </c>
      <c r="S101" s="377">
        <f ca="1">Model!S273</f>
        <v>0.0685579196217494</v>
      </c>
      <c r="T101" s="378"/>
      <c r="U101" s="377">
        <f ca="1">Model!U273</f>
        <v>0.04761904761904767</v>
      </c>
      <c r="V101" s="377">
        <f ca="1">Model!V273</f>
        <v>0.033653846153846256</v>
      </c>
      <c r="W101" s="377">
        <f ca="1">Model!W273</f>
        <v>0.3533653846153846</v>
      </c>
      <c r="X101" s="379">
        <f ca="1">IF(Case_Scenario="Bull",X102,IF(Case_Scenario="Base",X103,IF(Case_Scenario="bear",X104,"N/A")))</f>
        <v>0.15</v>
      </c>
      <c r="Y101" s="378"/>
      <c r="Z101" s="379">
        <f ca="1">IF(Case_Scenario="Bull",Z102,IF(Case_Scenario="Base",Z103,IF(Case_Scenario="bear",Z104,"N/A")))</f>
        <v>0.15</v>
      </c>
      <c r="AA101" s="379">
        <f ca="1">IF(Case_Scenario="Bull",AA102,IF(Case_Scenario="Base",AA103,IF(Case_Scenario="bear",AA104,"N/A")))</f>
        <v>0.15</v>
      </c>
      <c r="AB101" s="379">
        <f ca="1">IF(Case_Scenario="Bull",AB102,IF(Case_Scenario="Base",AB103,IF(Case_Scenario="bear",AB104,"N/A")))</f>
        <v>0.15</v>
      </c>
      <c r="AC101" s="379">
        <f ca="1">IF(Case_Scenario="Bull",AC102,IF(Case_Scenario="Base",AC103,IF(Case_Scenario="bear",AC104,"N/A")))</f>
        <v>0.15</v>
      </c>
      <c r="AD101" s="378"/>
      <c r="AE101" s="378">
        <f ca="1">IF(Case_Scenario="Bull",AE102,IF(Case_Scenario="Base",AE103,IF(Case_Scenario="bear",AE104,"N/A")))</f>
        <v>0.1</v>
      </c>
      <c r="AF101" s="378">
        <f ca="1">IF(Case_Scenario="Bull",AF102,IF(Case_Scenario="Base",AF103,IF(Case_Scenario="bear",AF104,"N/A")))</f>
        <v>0.1</v>
      </c>
      <c r="AG101" s="378">
        <f ca="1">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 ca="1">Model!C95</f>
        <v>Change in Noncontrolling Interests</v>
      </c>
      <c r="D106" s="16"/>
      <c r="E106" s="16"/>
      <c r="F106" s="325">
        <f ca="1">Model!F95</f>
        <v>1e-12</v>
      </c>
      <c r="G106" s="325">
        <f ca="1">Model!G95</f>
        <v>1e-12</v>
      </c>
      <c r="H106" s="325">
        <f ca="1">Model!H95</f>
        <v>1e-12</v>
      </c>
      <c r="I106" s="325">
        <f ca="1">Model!I95</f>
        <v>1e-12</v>
      </c>
      <c r="J106" s="326">
        <f ca="1">Model!J95</f>
        <v>1e-12</v>
      </c>
      <c r="K106" s="325">
        <f ca="1">Model!K95</f>
        <v>1e-12</v>
      </c>
      <c r="L106" s="325">
        <f ca="1">Model!L95</f>
        <v>1e-12</v>
      </c>
      <c r="M106" s="325">
        <f ca="1">Model!M95</f>
        <v>1e-12</v>
      </c>
      <c r="N106" s="325">
        <f ca="1">Model!N95</f>
        <v>1e-12</v>
      </c>
      <c r="O106" s="326">
        <f ca="1">Model!O95</f>
        <v>1e-12</v>
      </c>
      <c r="P106" s="325">
        <f ca="1">Model!P95</f>
        <v>1e-12</v>
      </c>
      <c r="Q106" s="325">
        <f ca="1">Model!Q95</f>
        <v>1e-12</v>
      </c>
      <c r="R106" s="325">
        <f ca="1">Model!R95</f>
        <v>1e-12</v>
      </c>
      <c r="S106" s="325">
        <f ca="1">Model!S95</f>
        <v>1e-12</v>
      </c>
      <c r="T106" s="326">
        <f ca="1">Model!T95</f>
        <v>1e-12</v>
      </c>
      <c r="U106" s="325">
        <f ca="1">Model!U95</f>
        <v>1e-12</v>
      </c>
      <c r="V106" s="325">
        <f ca="1">Model!V95</f>
        <v>1e-12</v>
      </c>
      <c r="W106" s="325">
        <f ca="1">Model!W95</f>
        <v>1e-12</v>
      </c>
      <c r="X106" s="517">
        <v>0</v>
      </c>
      <c r="Y106" s="326">
        <f ca="1">Model!Y95</f>
        <v>1e-12</v>
      </c>
      <c r="Z106" s="517">
        <v>0</v>
      </c>
      <c r="AA106" s="517">
        <v>0</v>
      </c>
      <c r="AB106" s="517">
        <v>0</v>
      </c>
      <c r="AC106" s="517">
        <v>0</v>
      </c>
      <c r="AD106" s="326">
        <f ca="1">Model!AD95</f>
        <v>1e-12</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 ca="1">Model!C98</f>
        <v>Effect of FX Rate Changes on Cash</v>
      </c>
      <c r="D108" s="16"/>
      <c r="E108" s="16"/>
      <c r="F108" s="325">
        <f ca="1">Model!F98</f>
        <v>1e-12</v>
      </c>
      <c r="G108" s="325">
        <f ca="1">Model!G98</f>
        <v>1e-12</v>
      </c>
      <c r="H108" s="325">
        <f ca="1">Model!H98</f>
        <v>1e-12</v>
      </c>
      <c r="I108" s="325">
        <f ca="1">Model!I98</f>
        <v>1e-12</v>
      </c>
      <c r="J108" s="326">
        <f ca="1">Model!J98</f>
        <v>1e-12</v>
      </c>
      <c r="K108" s="325">
        <f ca="1">Model!K98</f>
        <v>1e-12</v>
      </c>
      <c r="L108" s="325">
        <f ca="1">Model!L98</f>
        <v>1e-12</v>
      </c>
      <c r="M108" s="325">
        <f ca="1">Model!M98</f>
        <v>1e-12</v>
      </c>
      <c r="N108" s="325">
        <f ca="1">Model!N98</f>
        <v>1e-12</v>
      </c>
      <c r="O108" s="326">
        <f ca="1">Model!O98</f>
        <v>1e-12</v>
      </c>
      <c r="P108" s="325">
        <f ca="1">Model!P98</f>
        <v>1e-12</v>
      </c>
      <c r="Q108" s="325">
        <f ca="1">Model!Q98</f>
        <v>1e-12</v>
      </c>
      <c r="R108" s="325">
        <f ca="1">Model!R98</f>
        <v>1e-12</v>
      </c>
      <c r="S108" s="325">
        <f ca="1">Model!S98</f>
        <v>1e-12</v>
      </c>
      <c r="T108" s="326">
        <f ca="1">Model!T98</f>
        <v>1e-12</v>
      </c>
      <c r="U108" s="325">
        <f ca="1">Model!U98</f>
        <v>1e-12</v>
      </c>
      <c r="V108" s="325">
        <f ca="1">Model!V98</f>
        <v>1e-12</v>
      </c>
      <c r="W108" s="325">
        <f ca="1">Model!W98</f>
        <v>1e-12</v>
      </c>
      <c r="X108" s="517">
        <v>0</v>
      </c>
      <c r="Y108" s="326">
        <f ca="1">Model!Y98</f>
        <v>1e-12</v>
      </c>
      <c r="Z108" s="517">
        <v>0</v>
      </c>
      <c r="AA108" s="517">
        <v>0</v>
      </c>
      <c r="AB108" s="517">
        <v>0</v>
      </c>
      <c r="AC108" s="517">
        <v>0</v>
      </c>
      <c r="AD108" s="326">
        <f ca="1">Model!AD98</f>
        <v>1e-12</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 ca="1">Model!F$25</f>
        <v>1Q23</v>
      </c>
      <c r="G110" s="194" t="str">
        <f ca="1">Model!G$25</f>
        <v>2Q23</v>
      </c>
      <c r="H110" s="194" t="str">
        <f ca="1">Model!H$25</f>
        <v>3Q23</v>
      </c>
      <c r="I110" s="194" t="str">
        <f ca="1">Model!I$25</f>
        <v>4Q23</v>
      </c>
      <c r="J110" s="194">
        <f ca="1">Model!J$25</f>
        <v>2023</v>
      </c>
      <c r="K110" s="194" t="str">
        <f ca="1">Model!K$25</f>
        <v>1Q24</v>
      </c>
      <c r="L110" s="194" t="str">
        <f ca="1">Model!L$25</f>
        <v>2Q24</v>
      </c>
      <c r="M110" s="194" t="str">
        <f ca="1">Model!M$25</f>
        <v>3Q24</v>
      </c>
      <c r="N110" s="194" t="str">
        <f ca="1">Model!N$25</f>
        <v>4Q24</v>
      </c>
      <c r="O110" s="194">
        <f ca="1">Model!O$25</f>
        <v>2024</v>
      </c>
      <c r="P110" s="194" t="str">
        <f ca="1">Model!P$25</f>
        <v>1Q25</v>
      </c>
      <c r="Q110" s="194" t="str">
        <f ca="1">Model!Q$25</f>
        <v>2Q25</v>
      </c>
      <c r="R110" s="194" t="str">
        <f ca="1">Model!R$25</f>
        <v>3Q25</v>
      </c>
      <c r="S110" s="194" t="str">
        <f ca="1">Model!S$25</f>
        <v>4Q25</v>
      </c>
      <c r="T110" s="194">
        <f ca="1">Model!T$25</f>
        <v>2025</v>
      </c>
      <c r="U110" s="194" t="str">
        <f ca="1">Model!U$25</f>
        <v>1Q26</v>
      </c>
      <c r="V110" s="194" t="str">
        <f ca="1">Model!V$25</f>
        <v>2Q26</v>
      </c>
      <c r="W110" s="194" t="str">
        <f ca="1">Model!W$25</f>
        <v>3Q26e</v>
      </c>
      <c r="X110" s="194" t="str">
        <f ca="1">Model!X$25</f>
        <v>4Q26e</v>
      </c>
      <c r="Y110" s="194" t="str">
        <f ca="1">Model!Y$25</f>
        <v>2026e</v>
      </c>
      <c r="Z110" s="194" t="str">
        <f ca="1">Model!Z$25</f>
        <v>1Q27e</v>
      </c>
      <c r="AA110" s="194" t="str">
        <f ca="1">Model!AA$25</f>
        <v>2Q27e</v>
      </c>
      <c r="AB110" s="194" t="str">
        <f ca="1">Model!AB$25</f>
        <v>3Q27e</v>
      </c>
      <c r="AC110" s="194" t="str">
        <f ca="1">Model!AC$25</f>
        <v>4Q27e</v>
      </c>
      <c r="AD110" s="194" t="str">
        <f ca="1">Model!AD$25</f>
        <v>2027e</v>
      </c>
      <c r="AE110" s="194" t="str">
        <f ca="1">Model!AE$25</f>
        <v>2028e</v>
      </c>
      <c r="AF110" s="194" t="str">
        <f ca="1">Model!AF$25</f>
        <v>2029e</v>
      </c>
      <c r="AG110" s="352" t="str">
        <f ca="1">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 ca="1">Model!C182</f>
        <v>Days Sales Outstanding</v>
      </c>
      <c r="D113" s="16"/>
      <c r="E113" s="16"/>
      <c r="F113" s="377"/>
      <c r="G113" s="325">
        <f ca="1">Model!G182</f>
        <v>0</v>
      </c>
      <c r="H113" s="325">
        <f ca="1">Model!H182</f>
        <v>0</v>
      </c>
      <c r="I113" s="325">
        <f ca="1">Model!I182</f>
        <v>0</v>
      </c>
      <c r="J113" s="326">
        <f ca="1">Model!J182</f>
        <v>0</v>
      </c>
      <c r="K113" s="325">
        <f ca="1">Model!K182</f>
        <v>0</v>
      </c>
      <c r="L113" s="325">
        <f ca="1">Model!L182</f>
        <v>0</v>
      </c>
      <c r="M113" s="325">
        <f ca="1">Model!M182</f>
        <v>0</v>
      </c>
      <c r="N113" s="325">
        <f ca="1">Model!N182</f>
        <v>0</v>
      </c>
      <c r="O113" s="326">
        <f ca="1">Model!O182</f>
        <v>0</v>
      </c>
      <c r="P113" s="325">
        <f ca="1">Model!P182</f>
        <v>0</v>
      </c>
      <c r="Q113" s="325">
        <f ca="1">Model!Q182</f>
        <v>0</v>
      </c>
      <c r="R113" s="325">
        <f ca="1">Model!R182</f>
        <v>0</v>
      </c>
      <c r="S113" s="325">
        <f ca="1">Model!S182</f>
        <v>0</v>
      </c>
      <c r="T113" s="326">
        <f ca="1">Model!T182</f>
        <v>0</v>
      </c>
      <c r="U113" s="325">
        <f ca="1">Model!U182</f>
        <v>0</v>
      </c>
      <c r="V113" s="325">
        <f ca="1">Model!V182</f>
        <v>1e-12</v>
      </c>
      <c r="W113" s="325">
        <f ca="1">Model!W182</f>
        <v>1e-12</v>
      </c>
      <c r="X113" s="327">
        <f ca="1">IF(Case_Scenario="Bull",X114,IF(Case_Scenario="Base",X115,IF(Case_Scenario="bear",X116,"N/A")))</f>
        <v>0</v>
      </c>
      <c r="Y113" s="326">
        <f ca="1">Model!Y182</f>
        <v>1e-12</v>
      </c>
      <c r="Z113" s="327">
        <f ca="1">IF(Case_Scenario="Bull",Z114,IF(Case_Scenario="Base",Z115,IF(Case_Scenario="bear",Z116,"N/A")))</f>
        <v>0</v>
      </c>
      <c r="AA113" s="327">
        <f ca="1">IF(Case_Scenario="Bull",AA114,IF(Case_Scenario="Base",AA115,IF(Case_Scenario="bear",AA116,"N/A")))</f>
        <v>0</v>
      </c>
      <c r="AB113" s="327">
        <f ca="1">IF(Case_Scenario="Bull",AB114,IF(Case_Scenario="Base",AB115,IF(Case_Scenario="bear",AB116,"N/A")))</f>
        <v>0</v>
      </c>
      <c r="AC113" s="327">
        <f ca="1">IF(Case_Scenario="Bull",AC114,IF(Case_Scenario="Base",AC115,IF(Case_Scenario="bear",AC116,"N/A")))</f>
        <v>0</v>
      </c>
      <c r="AD113" s="326">
        <f ca="1">Model!AD182</f>
        <v>1e-12</v>
      </c>
      <c r="AE113" s="326">
        <f ca="1">IF(Case_Scenario="Bull",AE114,IF(Case_Scenario="Base",AE115,IF(Case_Scenario="bear",AE116,"N/A")))</f>
        <v>0</v>
      </c>
      <c r="AF113" s="326">
        <f ca="1">IF(Case_Scenario="Bull",AF114,IF(Case_Scenario="Base",AF115,IF(Case_Scenario="bear",AF116,"N/A")))</f>
        <v>0</v>
      </c>
      <c r="AG113" s="326">
        <f ca="1">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 ca="1">Model!C183</f>
        <v>Days Inventory Outstanding</v>
      </c>
      <c r="D118" s="16"/>
      <c r="E118" s="16"/>
      <c r="F118" s="377"/>
      <c r="G118" s="325">
        <f ca="1">Model!G183</f>
        <v>83.39173789173789</v>
      </c>
      <c r="H118" s="325">
        <f ca="1">Model!H183</f>
        <v>94.8957890259464</v>
      </c>
      <c r="I118" s="325">
        <f ca="1">Model!I183</f>
        <v>98.76785252821087</v>
      </c>
      <c r="J118" s="326">
        <f ca="1">Model!J183</f>
        <v>94.5511972893122</v>
      </c>
      <c r="K118" s="325">
        <f ca="1">Model!K183</f>
        <v>102.09004934210527</v>
      </c>
      <c r="L118" s="325">
        <f ca="1">Model!L183</f>
        <v>91.80451866404715</v>
      </c>
      <c r="M118" s="325">
        <f ca="1">Model!M183</f>
        <v>107.46646237657474</v>
      </c>
      <c r="N118" s="325">
        <f ca="1">Model!N183</f>
        <v>112.01177003168854</v>
      </c>
      <c r="O118" s="326">
        <f ca="1">Model!O183</f>
        <v>95.46895640686921</v>
      </c>
      <c r="P118" s="325">
        <f ca="1">Model!P183</f>
        <v>93.89074608722079</v>
      </c>
      <c r="Q118" s="325">
        <f ca="1">Model!Q183</f>
        <v>71.07384153794867</v>
      </c>
      <c r="R118" s="325">
        <f ca="1">Model!R183</f>
        <v>90.54420680924778</v>
      </c>
      <c r="S118" s="325">
        <f ca="1">Model!S183</f>
        <v>106.00433369447454</v>
      </c>
      <c r="T118" s="326">
        <f ca="1">Model!T183</f>
        <v>89.31899223514513</v>
      </c>
      <c r="U118" s="325">
        <f ca="1">Model!U183</f>
        <v>95.49932482199853</v>
      </c>
      <c r="V118" s="325">
        <f ca="1">Model!V183</f>
        <v>88.97644868003067</v>
      </c>
      <c r="W118" s="325">
        <f ca="1">Model!W183</f>
        <v>102.03652729763225</v>
      </c>
      <c r="X118" s="327">
        <f ca="1">IF(Case_Scenario="Bull",X119,IF(Case_Scenario="Base",X120,IF(Case_Scenario="bear",X121,"N/A")))</f>
        <v>90</v>
      </c>
      <c r="Y118" s="326">
        <f ca="1">Model!Y183</f>
        <v>92.07624734938022</v>
      </c>
      <c r="Z118" s="327">
        <f ca="1">IF(Case_Scenario="Bull",Z119,IF(Case_Scenario="Base",Z120,IF(Case_Scenario="bear",Z121,"N/A")))</f>
        <v>95</v>
      </c>
      <c r="AA118" s="327">
        <f ca="1">IF(Case_Scenario="Bull",AA119,IF(Case_Scenario="Base",AA120,IF(Case_Scenario="bear",AA121,"N/A")))</f>
        <v>80</v>
      </c>
      <c r="AB118" s="327">
        <f ca="1">IF(Case_Scenario="Bull",AB119,IF(Case_Scenario="Base",AB120,IF(Case_Scenario="bear",AB121,"N/A")))</f>
        <v>85</v>
      </c>
      <c r="AC118" s="327">
        <f ca="1">IF(Case_Scenario="Bull",AC119,IF(Case_Scenario="Base",AC120,IF(Case_Scenario="bear",AC121,"N/A")))</f>
        <v>90</v>
      </c>
      <c r="AD118" s="326">
        <f ca="1">Model!AD183</f>
        <v>78.93300806770992</v>
      </c>
      <c r="AE118" s="326">
        <f ca="1">IF(Case_Scenario="Bull",AE119,IF(Case_Scenario="Base",AE120,IF(Case_Scenario="bear",AE121,"N/A")))</f>
        <v>84</v>
      </c>
      <c r="AF118" s="326">
        <f ca="1">IF(Case_Scenario="Bull",AF119,IF(Case_Scenario="Base",AF120,IF(Case_Scenario="bear",AF121,"N/A")))</f>
        <v>84</v>
      </c>
      <c r="AG118" s="326">
        <f ca="1">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 ca="1">Model!C186</f>
        <v>Prepaid &amp; Other Current Assets as a % of Sales</v>
      </c>
      <c r="D123" s="16"/>
      <c r="E123" s="16"/>
      <c r="F123" s="377">
        <f ca="1">Model!F186</f>
        <v>0.015250576036866359</v>
      </c>
      <c r="G123" s="377">
        <f ca="1">Model!G186</f>
        <v>0.011441976254308693</v>
      </c>
      <c r="H123" s="377">
        <f ca="1">Model!H186</f>
        <v>0.012876830318690784</v>
      </c>
      <c r="I123" s="377">
        <f ca="1">Model!I186</f>
        <v>0.014987856321104435</v>
      </c>
      <c r="J123" s="378">
        <f ca="1">Model!J186</f>
        <v>0.01315401982919407</v>
      </c>
      <c r="K123" s="377">
        <f ca="1">Model!K186</f>
        <v>0.016149033312665578</v>
      </c>
      <c r="L123" s="377">
        <f ca="1">Model!L186</f>
        <v>0.011849752286585366</v>
      </c>
      <c r="M123" s="377">
        <f ca="1">Model!M186</f>
        <v>0.01473717506326202</v>
      </c>
      <c r="N123" s="377">
        <f ca="1">Model!N186</f>
        <v>0.01970112934423161</v>
      </c>
      <c r="O123" s="378">
        <f ca="1">Model!O186</f>
        <v>0.01750568276320896</v>
      </c>
      <c r="P123" s="377">
        <f ca="1">Model!P186</f>
        <v>0.018894536213468868</v>
      </c>
      <c r="Q123" s="377">
        <f ca="1">Model!Q186</f>
        <v>0.010621932459160502</v>
      </c>
      <c r="R123" s="377">
        <f ca="1">Model!R186</f>
        <v>0.012360482316553857</v>
      </c>
      <c r="S123" s="377">
        <f ca="1">Model!S186</f>
        <v>0.011533159371768992</v>
      </c>
      <c r="T123" s="378">
        <f ca="1">Model!T186</f>
        <v>0.010457939439936606</v>
      </c>
      <c r="U123" s="377">
        <f ca="1">Model!U186</f>
        <v>0.01318483334698223</v>
      </c>
      <c r="V123" s="377">
        <f ca="1">Model!V186</f>
        <v>0.013656147986942329</v>
      </c>
      <c r="W123" s="377">
        <f ca="1">Model!W186</f>
        <v>0.016264508246792913</v>
      </c>
      <c r="X123" s="379">
        <f ca="1">IF(Case_Scenario="Bull",X124,IF(Case_Scenario="Base",X125,IF(Case_Scenario="bear",X126,"N/A")))</f>
        <v>0</v>
      </c>
      <c r="Y123" s="378">
        <f ca="1">Model!Y186</f>
        <v>1e-12</v>
      </c>
      <c r="Z123" s="379">
        <f ca="1">IF(Case_Scenario="Bull",Z124,IF(Case_Scenario="Base",Z125,IF(Case_Scenario="bear",Z126,"N/A")))</f>
        <v>0.018</v>
      </c>
      <c r="AA123" s="379">
        <f ca="1">IF(Case_Scenario="Bull",AA124,IF(Case_Scenario="Base",AA125,IF(Case_Scenario="bear",AA126,"N/A")))</f>
        <v>0.018</v>
      </c>
      <c r="AB123" s="379">
        <f ca="1">IF(Case_Scenario="Bull",AB124,IF(Case_Scenario="Base",AB125,IF(Case_Scenario="bear",AB126,"N/A")))</f>
        <v>0.018</v>
      </c>
      <c r="AC123" s="379">
        <f ca="1">IF(Case_Scenario="Bull",AC124,IF(Case_Scenario="Base",AC125,IF(Case_Scenario="bear",AC126,"N/A")))</f>
        <v>0.018</v>
      </c>
      <c r="AD123" s="378">
        <f ca="1">Model!AD186</f>
        <v>0.016751674706560162</v>
      </c>
      <c r="AE123" s="378">
        <f ca="1">IF(Case_Scenario="Bull",AE124,IF(Case_Scenario="Base",AE125,IF(Case_Scenario="bear",AE126,"N/A")))</f>
        <v>0.018</v>
      </c>
      <c r="AF123" s="378">
        <f ca="1">IF(Case_Scenario="Bull",AF124,IF(Case_Scenario="Base",AF125,IF(Case_Scenario="bear",AF126,"N/A")))</f>
        <v>0.018</v>
      </c>
      <c r="AG123" s="378">
        <f ca="1">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 ca="1">W125</f>
        <v>1e-12</v>
      </c>
      <c r="Y125" s="378"/>
      <c r="Z125" s="320">
        <v>0.018</v>
      </c>
      <c r="AA125" s="320">
        <f t="shared" ref="AA125:AC125" si="0" ca="1">Z125</f>
        <v>0.018</v>
      </c>
      <c r="AB125" s="320">
        <f ca="1">AA125</f>
        <v>0.018</v>
      </c>
      <c r="AC125" s="320">
        <f ca="1">AB125</f>
        <v>0.018</v>
      </c>
      <c r="AD125" s="378"/>
      <c r="AE125" s="321">
        <f ca="1">AC125</f>
        <v>0.018</v>
      </c>
      <c r="AF125" s="321">
        <f t="shared" ref="AF125:AG125" si="1" ca="1">AE125</f>
        <v>0.018</v>
      </c>
      <c r="AG125" s="321">
        <f ca="1">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 ca="1">Model!C232</f>
        <v>% Change in LT Assets</v>
      </c>
      <c r="D128" s="16"/>
      <c r="E128" s="16"/>
      <c r="F128" s="377">
        <f ca="1">Model!F232</f>
        <v>1e-12</v>
      </c>
      <c r="G128" s="377">
        <f ca="1">Model!G232</f>
        <v>-0.1673728813559322</v>
      </c>
      <c r="H128" s="377">
        <f ca="1">Model!H232</f>
        <v>0.17048346055979646</v>
      </c>
      <c r="I128" s="377">
        <f ca="1">Model!I232</f>
        <v>0.11956521739130443</v>
      </c>
      <c r="J128" s="378">
        <f ca="1">Model!J232</f>
        <v>1e-12</v>
      </c>
      <c r="K128" s="377">
        <f ca="1">Model!K232</f>
        <v>2.515210355987055</v>
      </c>
      <c r="L128" s="377">
        <f ca="1">Model!L232</f>
        <v>-0.00699686982139569</v>
      </c>
      <c r="M128" s="377">
        <f ca="1">Model!M232</f>
        <v>0.0064898943074356286</v>
      </c>
      <c r="N128" s="377">
        <f ca="1">Model!N232</f>
        <v>-0.045504789977892424</v>
      </c>
      <c r="O128" s="378">
        <f ca="1">Model!O232</f>
        <v>2.353398058252427</v>
      </c>
      <c r="P128" s="377">
        <f ca="1">Model!P232</f>
        <v>0.04323489673808134</v>
      </c>
      <c r="Q128" s="377">
        <f ca="1">Model!Q232</f>
        <v>0.005365402405180353</v>
      </c>
      <c r="R128" s="377">
        <f ca="1">Model!R232</f>
        <v>-0.028156054471843994</v>
      </c>
      <c r="S128" s="377">
        <f ca="1">Model!S232</f>
        <v>-0.7896231774285173</v>
      </c>
      <c r="T128" s="378">
        <f ca="1">Model!T232</f>
        <v>-0.7855626326963907</v>
      </c>
      <c r="U128" s="377">
        <f ca="1">Model!U232</f>
        <v>3.7929792979297927</v>
      </c>
      <c r="V128" s="377">
        <f ca="1">Model!V232</f>
        <v>-0.0065727699530516714</v>
      </c>
      <c r="W128" s="377">
        <f ca="1">Model!W232</f>
        <v>0.06351606805293009</v>
      </c>
      <c r="X128" s="379">
        <f ca="1">IF(Case_Scenario="Bull",X129,IF(Case_Scenario="Base",X130,IF(Case_Scenario="bear",X131,"N/A")))</f>
        <v>0.02</v>
      </c>
      <c r="Y128" s="378">
        <f ca="1">Model!Y232</f>
        <v>4.165184518451846</v>
      </c>
      <c r="Z128" s="379">
        <f ca="1">IF(Case_Scenario="Bull",Z129,IF(Case_Scenario="Base",Z130,IF(Case_Scenario="bear",Z131,"N/A")))</f>
        <v>0.02</v>
      </c>
      <c r="AA128" s="379">
        <f ca="1">IF(Case_Scenario="Bull",AA129,IF(Case_Scenario="Base",AA130,IF(Case_Scenario="bear",AA131,"N/A")))</f>
        <v>0.02</v>
      </c>
      <c r="AB128" s="379">
        <f ca="1">IF(Case_Scenario="Bull",AB129,IF(Case_Scenario="Base",AB130,IF(Case_Scenario="bear",AB131,"N/A")))</f>
        <v>0.02</v>
      </c>
      <c r="AC128" s="379">
        <f ca="1">IF(Case_Scenario="Bull",AC129,IF(Case_Scenario="Base",AC130,IF(Case_Scenario="bear",AC131,"N/A")))</f>
        <v>0.02</v>
      </c>
      <c r="AD128" s="378">
        <f ca="1">Model!AD232</f>
        <v>0.0824321600000002</v>
      </c>
      <c r="AE128" s="378">
        <f ca="1">IF(Case_Scenario="Bull",AE129,IF(Case_Scenario="Base",AE130,IF(Case_Scenario="bear",AE131,"N/A")))</f>
        <v>0.02</v>
      </c>
      <c r="AF128" s="378">
        <f ca="1">IF(Case_Scenario="Bull",AF129,IF(Case_Scenario="Base",AF130,IF(Case_Scenario="bear",AF131,"N/A")))</f>
        <v>0.02</v>
      </c>
      <c r="AG128" s="378">
        <f ca="1">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 ca="1">Model!C184</f>
        <v>Days Payables Outstanding</v>
      </c>
      <c r="D135" s="16"/>
      <c r="E135" s="16"/>
      <c r="F135" s="377"/>
      <c r="G135" s="325">
        <f ca="1">Model!G184</f>
        <v>63.44539411206078</v>
      </c>
      <c r="H135" s="325">
        <f ca="1">Model!H184</f>
        <v>71.48294342832837</v>
      </c>
      <c r="I135" s="325">
        <f ca="1">Model!I184</f>
        <v>69.58842277543286</v>
      </c>
      <c r="J135" s="326">
        <f ca="1">Model!J184</f>
        <v>69.28524204045371</v>
      </c>
      <c r="K135" s="325">
        <f ca="1">Model!K184</f>
        <v>73.13980263157895</v>
      </c>
      <c r="L135" s="325">
        <f ca="1">Model!L184</f>
        <v>66.99214145383104</v>
      </c>
      <c r="M135" s="325">
        <f ca="1">Model!M184</f>
        <v>71.73697650663944</v>
      </c>
      <c r="N135" s="325">
        <f ca="1">Model!N184</f>
        <v>68.63974649162517</v>
      </c>
      <c r="O135" s="326">
        <f ca="1">Model!O184</f>
        <v>59.11360634081902</v>
      </c>
      <c r="P135" s="325">
        <f ca="1">Model!P184</f>
        <v>63.250265917033886</v>
      </c>
      <c r="Q135" s="325">
        <f ca="1">Model!Q184</f>
        <v>60.05908989887765</v>
      </c>
      <c r="R135" s="325">
        <f ca="1">Model!R184</f>
        <v>78.68945299486974</v>
      </c>
      <c r="S135" s="325">
        <f ca="1">Model!S184</f>
        <v>78.55384615384615</v>
      </c>
      <c r="T135" s="326">
        <f ca="1">Model!T184</f>
        <v>56.38846769087213</v>
      </c>
      <c r="U135" s="325">
        <f ca="1">Model!U184</f>
        <v>68.63245764792536</v>
      </c>
      <c r="V135" s="325">
        <f ca="1">Model!V184</f>
        <v>64.7312137145361</v>
      </c>
      <c r="W135" s="325">
        <f ca="1">Model!W184</f>
        <v>70.04565912204032</v>
      </c>
      <c r="X135" s="327">
        <f ca="1">IF(Case_Scenario="Bull",X136,IF(Case_Scenario="Base",X137,IF(Case_Scenario="bear",X138,"N/A")))</f>
        <v>55</v>
      </c>
      <c r="Y135" s="326">
        <f ca="1">Model!Y184</f>
        <v>58.889473853616515</v>
      </c>
      <c r="Z135" s="327">
        <f ca="1">IF(Case_Scenario="Bull",Z136,IF(Case_Scenario="Base",Z137,IF(Case_Scenario="bear",Z138,"N/A")))</f>
        <v>58</v>
      </c>
      <c r="AA135" s="327">
        <f ca="1">IF(Case_Scenario="Bull",AA136,IF(Case_Scenario="Base",AA137,IF(Case_Scenario="bear",AA138,"N/A")))</f>
        <v>48</v>
      </c>
      <c r="AB135" s="327">
        <f ca="1">IF(Case_Scenario="Bull",AB136,IF(Case_Scenario="Base",AB137,IF(Case_Scenario="bear",AB138,"N/A")))</f>
        <v>53</v>
      </c>
      <c r="AC135" s="327">
        <f ca="1">IF(Case_Scenario="Bull",AC136,IF(Case_Scenario="Base",AC137,IF(Case_Scenario="bear",AC138,"N/A")))</f>
        <v>55</v>
      </c>
      <c r="AD135" s="326">
        <f ca="1">Model!AD184</f>
        <v>48.236838263600504</v>
      </c>
      <c r="AE135" s="326">
        <f ca="1">IF(Case_Scenario="Bull",AE136,IF(Case_Scenario="Base",AE137,IF(Case_Scenario="bear",AE138,"N/A")))</f>
        <v>54</v>
      </c>
      <c r="AF135" s="326">
        <f ca="1">IF(Case_Scenario="Bull",AF136,IF(Case_Scenario="Base",AF137,IF(Case_Scenario="bear",AF138,"N/A")))</f>
        <v>54</v>
      </c>
      <c r="AG135" s="326">
        <f ca="1">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 ca="1">Model!C187</f>
        <v>Accrued Liabilities as a % of COGS</v>
      </c>
      <c r="D140" s="16"/>
      <c r="E140" s="16"/>
      <c r="F140" s="377">
        <f ca="1">Model!F187</f>
        <v>0.015751674303842087</v>
      </c>
      <c r="G140" s="377">
        <f ca="1">Model!G187</f>
        <v>0.012254364818467383</v>
      </c>
      <c r="H140" s="377">
        <f ca="1">Model!H187</f>
        <v>0.017141641854529988</v>
      </c>
      <c r="I140" s="377">
        <f ca="1">Model!I187</f>
        <v>0.014256180549573607</v>
      </c>
      <c r="J140" s="378">
        <f ca="1">Model!J187</f>
        <v>0.013677403359434723</v>
      </c>
      <c r="K140" s="377">
        <f ca="1">Model!K187</f>
        <v>0.015810032894736842</v>
      </c>
      <c r="L140" s="377">
        <f ca="1">Model!L187</f>
        <v>0.012577182149873701</v>
      </c>
      <c r="M140" s="377">
        <f ca="1">Model!M187</f>
        <v>0.016577289751447056</v>
      </c>
      <c r="N140" s="377">
        <f ca="1">Model!N187</f>
        <v>0.015482118605703938</v>
      </c>
      <c r="O140" s="378">
        <f ca="1">Model!O187</f>
        <v>0.01390102631846357</v>
      </c>
      <c r="P140" s="377">
        <f ca="1">Model!P187</f>
        <v>0.01865218051967786</v>
      </c>
      <c r="Q140" s="377">
        <f ca="1">Model!Q187</f>
        <v>0.015821202355817313</v>
      </c>
      <c r="R140" s="377">
        <f ca="1">Model!R187</f>
        <v>0.018605503364647877</v>
      </c>
      <c r="S140" s="377">
        <f ca="1">Model!S187</f>
        <v>0.04353557240881185</v>
      </c>
      <c r="T140" s="378">
        <f ca="1">Model!T187</f>
        <v>0.040173959409471126</v>
      </c>
      <c r="U140" s="377">
        <f ca="1">Model!U187</f>
        <v>0.020132580407561995</v>
      </c>
      <c r="V140" s="377">
        <f ca="1">Model!V187</f>
        <v>0.01822488772045131</v>
      </c>
      <c r="W140" s="377">
        <f ca="1">Model!W187</f>
        <v>0.02206314004305003</v>
      </c>
      <c r="X140" s="379">
        <f ca="1">IF(Case_Scenario="Bull",X141,IF(Case_Scenario="Base",X142,IF(Case_Scenario="bear",X143,"N/A")))</f>
        <v>0.0125</v>
      </c>
      <c r="Y140" s="378">
        <f ca="1">Model!Y187</f>
        <v>0.013761244159941528</v>
      </c>
      <c r="Z140" s="379">
        <f ca="1">IF(Case_Scenario="Bull",Z141,IF(Case_Scenario="Base",Z142,IF(Case_Scenario="bear",Z143,"N/A")))</f>
        <v>0.0125</v>
      </c>
      <c r="AA140" s="379">
        <f ca="1">IF(Case_Scenario="Bull",AA141,IF(Case_Scenario="Base",AA142,IF(Case_Scenario="bear",AA143,"N/A")))</f>
        <v>0.0125</v>
      </c>
      <c r="AB140" s="379">
        <f ca="1">IF(Case_Scenario="Bull",AB141,IF(Case_Scenario="Base",AB142,IF(Case_Scenario="bear",AB143,"N/A")))</f>
        <v>0.0125</v>
      </c>
      <c r="AC140" s="379">
        <f ca="1">IF(Case_Scenario="Bull",AC141,IF(Case_Scenario="Base",AC142,IF(Case_Scenario="bear",AC143,"N/A")))</f>
        <v>0.0125</v>
      </c>
      <c r="AD140" s="378">
        <f ca="1">Model!AD187</f>
        <v>0.01163754798419242</v>
      </c>
      <c r="AE140" s="378">
        <f ca="1">IF(Case_Scenario="Bull",AE141,IF(Case_Scenario="Base",AE142,IF(Case_Scenario="bear",AE143,"N/A")))</f>
        <v>0.013</v>
      </c>
      <c r="AF140" s="378">
        <f ca="1">IF(Case_Scenario="Bull",AF141,IF(Case_Scenario="Base",AF142,IF(Case_Scenario="bear",AF143,"N/A")))</f>
        <v>0.013</v>
      </c>
      <c r="AG140" s="378">
        <f ca="1">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 ca="1">Model!C188</f>
        <v>Other Current Liabilities as a % of COGS</v>
      </c>
      <c r="D145" s="16"/>
      <c r="E145" s="16"/>
      <c r="F145" s="377">
        <f ca="1">Model!F188</f>
        <v>0.08942104335565738</v>
      </c>
      <c r="G145" s="377">
        <f ca="1">Model!G188</f>
        <v>0.07363576594345825</v>
      </c>
      <c r="H145" s="377">
        <f ca="1">Model!H188</f>
        <v>0.08215652913653765</v>
      </c>
      <c r="I145" s="377">
        <f ca="1">Model!I188</f>
        <v>0.09574468085106383</v>
      </c>
      <c r="J145" s="378">
        <f ca="1">Model!J188</f>
        <v>0.0918576062478048</v>
      </c>
      <c r="K145" s="377">
        <f ca="1">Model!K188</f>
        <v>0.09290707236842105</v>
      </c>
      <c r="L145" s="377">
        <f ca="1">Model!L188</f>
        <v>0.08086584339040134</v>
      </c>
      <c r="M145" s="377">
        <f ca="1">Model!M188</f>
        <v>0.10401770514130065</v>
      </c>
      <c r="N145" s="377">
        <f ca="1">Model!N188</f>
        <v>0.1412856496152105</v>
      </c>
      <c r="O145" s="378">
        <f ca="1">Model!O188</f>
        <v>0.12685702672492633</v>
      </c>
      <c r="P145" s="377">
        <f ca="1">Model!P188</f>
        <v>0.11202704756116091</v>
      </c>
      <c r="Q145" s="377">
        <f ca="1">Model!Q188</f>
        <v>0.09314923880431158</v>
      </c>
      <c r="R145" s="377">
        <f ca="1">Model!R188</f>
        <v>0.08459924045572656</v>
      </c>
      <c r="S145" s="377">
        <f ca="1">Model!S188</f>
        <v>0.06525821596244132</v>
      </c>
      <c r="T145" s="378">
        <f ca="1">Model!T188</f>
        <v>0.060219282167494254</v>
      </c>
      <c r="U145" s="377">
        <f ca="1">Model!U188</f>
        <v>0.09633562484655045</v>
      </c>
      <c r="V145" s="377">
        <f ca="1">Model!V188</f>
        <v>0.09554715741045021</v>
      </c>
      <c r="W145" s="377">
        <f ca="1">Model!W188</f>
        <v>0.11080490509425348</v>
      </c>
      <c r="X145" s="379">
        <f ca="1">IF(Case_Scenario="Bull",X146,IF(Case_Scenario="Base",X147,IF(Case_Scenario="bear",X148,"N/A")))</f>
        <v>0.125</v>
      </c>
      <c r="Y145" s="378">
        <f ca="1">Model!Y188</f>
        <v>0.13761244159941527</v>
      </c>
      <c r="Z145" s="379">
        <f ca="1">IF(Case_Scenario="Bull",Z146,IF(Case_Scenario="Base",Z147,IF(Case_Scenario="bear",Z148,"N/A")))</f>
        <v>0.11</v>
      </c>
      <c r="AA145" s="379">
        <f ca="1">IF(Case_Scenario="Bull",AA146,IF(Case_Scenario="Base",AA147,IF(Case_Scenario="bear",AA148,"N/A")))</f>
        <v>0.11</v>
      </c>
      <c r="AB145" s="379">
        <f ca="1">IF(Case_Scenario="Bull",AB146,IF(Case_Scenario="Base",AB147,IF(Case_Scenario="bear",AB148,"N/A")))</f>
        <v>0.125</v>
      </c>
      <c r="AC145" s="379">
        <f ca="1">IF(Case_Scenario="Bull",AC146,IF(Case_Scenario="Base",AC147,IF(Case_Scenario="bear",AC148,"N/A")))</f>
        <v>0.125</v>
      </c>
      <c r="AD145" s="378">
        <f ca="1">Model!AD188</f>
        <v>0.11637547984192419</v>
      </c>
      <c r="AE145" s="378">
        <f ca="1">IF(Case_Scenario="Bull",AE146,IF(Case_Scenario="Base",AE147,IF(Case_Scenario="bear",AE148,"N/A")))</f>
        <v>0.12</v>
      </c>
      <c r="AF145" s="378">
        <f ca="1">IF(Case_Scenario="Bull",AF146,IF(Case_Scenario="Base",AF147,IF(Case_Scenario="bear",AF148,"N/A")))</f>
        <v>0.12</v>
      </c>
      <c r="AG145" s="378">
        <f ca="1">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 ca="1">Model!C308</f>
        <v>Issuance of Debt</v>
      </c>
      <c r="D152" s="16"/>
      <c r="E152" s="16"/>
      <c r="F152" s="353">
        <f ca="1">Model!F308</f>
        <v>15844</v>
      </c>
      <c r="G152" s="353">
        <f ca="1">Model!G308</f>
        <v>0</v>
      </c>
      <c r="H152" s="353">
        <f ca="1">Model!H308</f>
        <v>0</v>
      </c>
      <c r="I152" s="353">
        <f ca="1">Model!I308</f>
        <v>0</v>
      </c>
      <c r="J152" s="282">
        <f ca="1">F152</f>
        <v>15844</v>
      </c>
      <c r="K152" s="353">
        <f ca="1">Model!K308</f>
        <v>2049</v>
      </c>
      <c r="L152" s="353">
        <f ca="1">Model!L308</f>
        <v>0</v>
      </c>
      <c r="M152" s="353">
        <f ca="1">Model!M308</f>
        <v>0</v>
      </c>
      <c r="N152" s="353">
        <f ca="1">Model!N308</f>
        <v>156</v>
      </c>
      <c r="O152" s="282">
        <f ca="1">K152</f>
        <v>2049</v>
      </c>
      <c r="P152" s="353">
        <f ca="1">Model!P308</f>
        <v>3439</v>
      </c>
      <c r="Q152" s="353">
        <f ca="1">Model!Q308</f>
        <v>2</v>
      </c>
      <c r="R152" s="353">
        <f ca="1">Model!R308</f>
        <v>988</v>
      </c>
      <c r="S152" s="353">
        <f ca="1">Model!S308</f>
        <v>4417</v>
      </c>
      <c r="T152" s="282">
        <f ca="1">P152</f>
        <v>3439</v>
      </c>
      <c r="U152" s="353">
        <f ca="1">Model!U308</f>
        <v>0</v>
      </c>
      <c r="V152" s="353">
        <f ca="1">Model!V308</f>
        <v>67</v>
      </c>
      <c r="W152" s="353">
        <f ca="1">Model!W308</f>
        <v>1922</v>
      </c>
      <c r="X152" s="525">
        <f ca="1">IF(Case_Scenario="Bull",X153,IF(Case_Scenario="Base",X154,IF(Case_Scenario="bear",X155,"N/A")))</f>
        <v>0</v>
      </c>
      <c r="Y152" s="282">
        <f ca="1">SUM(U152:X152)</f>
        <v>1989</v>
      </c>
      <c r="Z152" s="525">
        <f ca="1">IF(Case_Scenario="Bull",Z153,IF(Case_Scenario="Base",Z154,IF(Case_Scenario="bear",Z155,"N/A")))</f>
        <v>0</v>
      </c>
      <c r="AA152" s="525">
        <f ca="1">IF(Case_Scenario="Bull",AA153,IF(Case_Scenario="Base",AA154,IF(Case_Scenario="bear",AA155,"N/A")))</f>
        <v>0</v>
      </c>
      <c r="AB152" s="525">
        <f ca="1">IF(Case_Scenario="Bull",AB153,IF(Case_Scenario="Base",AB154,IF(Case_Scenario="bear",AB155,"N/A")))</f>
        <v>0</v>
      </c>
      <c r="AC152" s="525">
        <f ca="1">IF(Case_Scenario="Bull",AC153,IF(Case_Scenario="Base",AC154,IF(Case_Scenario="bear",AC155,"N/A")))</f>
        <v>0</v>
      </c>
      <c r="AD152" s="282">
        <f ca="1">SUM(Z152:AC152)</f>
        <v>1e-12</v>
      </c>
      <c r="AE152" s="526">
        <f ca="1">IF(Case_Scenario="Bull",AE153,IF(Case_Scenario="Base",AE154,IF(Case_Scenario="bear",AE155,"N/A")))</f>
        <v>0</v>
      </c>
      <c r="AF152" s="526">
        <f ca="1">IF(Case_Scenario="Bull",AF153,IF(Case_Scenario="Base",AF154,IF(Case_Scenario="bear",AF155,"N/A")))</f>
        <v>0</v>
      </c>
      <c r="AG152" s="526">
        <f ca="1">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 ca="1">Model!C309</f>
        <v>Repayment of Debt</v>
      </c>
      <c r="D157" s="16"/>
      <c r="E157" s="16"/>
      <c r="F157" s="353">
        <f ca="1">Model!F309</f>
        <v>0</v>
      </c>
      <c r="G157" s="353">
        <f ca="1">Model!G309</f>
        <v>-13</v>
      </c>
      <c r="H157" s="353">
        <f ca="1">Model!H309</f>
        <v>-254</v>
      </c>
      <c r="I157" s="353">
        <f ca="1">Model!I309</f>
        <v>-76</v>
      </c>
      <c r="J157" s="282">
        <f ca="1">Model!J309</f>
        <v>0</v>
      </c>
      <c r="K157" s="353">
        <f ca="1">Model!K309</f>
        <v>0</v>
      </c>
      <c r="L157" s="353">
        <f ca="1">Model!L309</f>
        <v>-3</v>
      </c>
      <c r="M157" s="353">
        <f ca="1">Model!M309</f>
        <v>-338</v>
      </c>
      <c r="N157" s="353">
        <f ca="1">Model!N309</f>
        <v>0</v>
      </c>
      <c r="O157" s="282">
        <f ca="1">Model!O309</f>
        <v>0</v>
      </c>
      <c r="P157" s="353">
        <f ca="1">Model!P309</f>
        <v>0</v>
      </c>
      <c r="Q157" s="353">
        <f ca="1">Model!Q309</f>
        <v>0</v>
      </c>
      <c r="R157" s="353">
        <f ca="1">Model!R309</f>
        <v>0</v>
      </c>
      <c r="S157" s="353">
        <f ca="1">Model!S309</f>
        <v>0</v>
      </c>
      <c r="T157" s="282">
        <f ca="1">Model!T309</f>
        <v>0</v>
      </c>
      <c r="U157" s="353">
        <f ca="1">Model!U309</f>
        <v>-2967</v>
      </c>
      <c r="V157" s="353">
        <f ca="1">Model!V309</f>
        <v>1e-12</v>
      </c>
      <c r="W157" s="353">
        <f ca="1">Model!W309</f>
        <v>1e-12</v>
      </c>
      <c r="X157" s="286">
        <f ca="1">IF(Case_Scenario="Bull",X158,IF(Case_Scenario="Base",X159,IF(Case_Scenario="bear",X160,"N/A")))</f>
        <v>-500</v>
      </c>
      <c r="Y157" s="282">
        <f ca="1">SUM(U157:X157)</f>
        <v>-3467</v>
      </c>
      <c r="Z157" s="286">
        <f ca="1">IF(Case_Scenario="Bull",Z158,IF(Case_Scenario="Base",Z159,IF(Case_Scenario="bear",Z160,"N/A")))</f>
        <v>-500</v>
      </c>
      <c r="AA157" s="286">
        <f ca="1">IF(Case_Scenario="Bull",AA158,IF(Case_Scenario="Base",AA159,IF(Case_Scenario="bear",AA160,"N/A")))</f>
        <v>-500</v>
      </c>
      <c r="AB157" s="286">
        <f ca="1">IF(Case_Scenario="Bull",AB158,IF(Case_Scenario="Base",AB159,IF(Case_Scenario="bear",AB160,"N/A")))</f>
        <v>-500</v>
      </c>
      <c r="AC157" s="286">
        <f ca="1">IF(Case_Scenario="Bull",AC158,IF(Case_Scenario="Base",AC159,IF(Case_Scenario="bear",AC160,"N/A")))</f>
        <v>-500</v>
      </c>
      <c r="AD157" s="282">
        <f ca="1">SUM(Z157:AC157)</f>
        <v>-2000</v>
      </c>
      <c r="AE157" s="287">
        <f ca="1">IF(Case_Scenario="Bull",AE158,IF(Case_Scenario="Base",AE159,IF(Case_Scenario="bear",AE160,"N/A")))</f>
        <v>-1400</v>
      </c>
      <c r="AF157" s="287">
        <f ca="1">IF(Case_Scenario="Bull",AF158,IF(Case_Scenario="Base",AF159,IF(Case_Scenario="bear",AF160,"N/A")))</f>
        <v>-1300</v>
      </c>
      <c r="AG157" s="287">
        <f ca="1">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 ca="1">Model!F$25</f>
        <v>1Q23</v>
      </c>
      <c r="G162" s="194" t="str">
        <f ca="1">Model!G$25</f>
        <v>2Q23</v>
      </c>
      <c r="H162" s="194" t="str">
        <f ca="1">Model!H$25</f>
        <v>3Q23</v>
      </c>
      <c r="I162" s="194" t="str">
        <f ca="1">Model!I$25</f>
        <v>4Q23</v>
      </c>
      <c r="J162" s="194">
        <f ca="1">Model!J$25</f>
        <v>2023</v>
      </c>
      <c r="K162" s="194" t="str">
        <f ca="1">Model!K$25</f>
        <v>1Q24</v>
      </c>
      <c r="L162" s="194" t="str">
        <f ca="1">Model!L$25</f>
        <v>2Q24</v>
      </c>
      <c r="M162" s="194" t="str">
        <f ca="1">Model!M$25</f>
        <v>3Q24</v>
      </c>
      <c r="N162" s="194" t="str">
        <f ca="1">Model!N$25</f>
        <v>4Q24</v>
      </c>
      <c r="O162" s="194">
        <f ca="1">Model!O$25</f>
        <v>2024</v>
      </c>
      <c r="P162" s="194" t="str">
        <f ca="1">Model!P$25</f>
        <v>1Q25</v>
      </c>
      <c r="Q162" s="194" t="str">
        <f ca="1">Model!Q$25</f>
        <v>2Q25</v>
      </c>
      <c r="R162" s="194" t="str">
        <f ca="1">Model!R$25</f>
        <v>3Q25</v>
      </c>
      <c r="S162" s="194" t="str">
        <f ca="1">Model!S$25</f>
        <v>4Q25</v>
      </c>
      <c r="T162" s="194">
        <f ca="1">Model!T$25</f>
        <v>2025</v>
      </c>
      <c r="U162" s="194" t="str">
        <f ca="1">Model!U$25</f>
        <v>1Q26</v>
      </c>
      <c r="V162" s="194" t="str">
        <f ca="1">Model!V$25</f>
        <v>2Q26</v>
      </c>
      <c r="W162" s="194" t="str">
        <f ca="1">Model!W$25</f>
        <v>3Q26e</v>
      </c>
      <c r="X162" s="194" t="str">
        <f ca="1">Model!X$25</f>
        <v>4Q26e</v>
      </c>
      <c r="Y162" s="194" t="str">
        <f ca="1">Model!Y$25</f>
        <v>2026e</v>
      </c>
      <c r="Z162" s="194" t="str">
        <f ca="1">Model!Z$25</f>
        <v>1Q27e</v>
      </c>
      <c r="AA162" s="194" t="str">
        <f ca="1">Model!AA$25</f>
        <v>2Q27e</v>
      </c>
      <c r="AB162" s="194" t="str">
        <f ca="1">Model!AB$25</f>
        <v>3Q27e</v>
      </c>
      <c r="AC162" s="194" t="str">
        <f ca="1">Model!AC$25</f>
        <v>4Q27e</v>
      </c>
      <c r="AD162" s="194" t="str">
        <f ca="1">Model!AD$25</f>
        <v>2027e</v>
      </c>
      <c r="AE162" s="194" t="str">
        <f ca="1">Model!AE$25</f>
        <v>2028e</v>
      </c>
      <c r="AF162" s="194" t="str">
        <f ca="1">Model!AF$25</f>
        <v>2029e</v>
      </c>
      <c r="AG162" s="352" t="str">
        <f ca="1">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 ca="1">Model!C272</f>
        <v>Share Repurchase Guidance</v>
      </c>
      <c r="D165" s="16"/>
      <c r="E165" s="16"/>
      <c r="F165" s="353">
        <f ca="1">Model!F272</f>
        <v>728</v>
      </c>
      <c r="G165" s="353">
        <f ca="1">Model!G272</f>
        <v>1118</v>
      </c>
      <c r="H165" s="353">
        <f ca="1">Model!H272</f>
        <v>652</v>
      </c>
      <c r="I165" s="353">
        <f ca="1">Model!I272</f>
        <v>539</v>
      </c>
      <c r="J165" s="282">
        <f ca="1">Model!J272</f>
        <v>3037</v>
      </c>
      <c r="K165" s="353">
        <f ca="1">Model!K272</f>
        <v>826</v>
      </c>
      <c r="L165" s="353">
        <f ca="1">Model!L272</f>
        <v>1944</v>
      </c>
      <c r="M165" s="353">
        <f ca="1">Model!M272</f>
        <v>879</v>
      </c>
      <c r="N165" s="353">
        <f ca="1">Model!N272</f>
        <v>664</v>
      </c>
      <c r="O165" s="282">
        <f ca="1">Model!O272</f>
        <v>4313</v>
      </c>
      <c r="P165" s="353">
        <f ca="1">Model!P272</f>
        <v>966</v>
      </c>
      <c r="Q165" s="353">
        <f ca="1">Model!Q272</f>
        <v>1e-12</v>
      </c>
      <c r="R165" s="353">
        <f ca="1">Model!R272</f>
        <v>562</v>
      </c>
      <c r="S165" s="353">
        <f ca="1">Model!S272</f>
        <v>3443</v>
      </c>
      <c r="T165" s="282">
        <f ca="1">Model!T272</f>
        <v>4971</v>
      </c>
      <c r="U165" s="353">
        <f ca="1">Model!U272</f>
        <v>3038</v>
      </c>
      <c r="V165" s="353">
        <f ca="1">Model!V272</f>
        <v>3136</v>
      </c>
      <c r="W165" s="353">
        <f ca="1">Model!W272</f>
        <v>2825</v>
      </c>
      <c r="X165" s="525">
        <f ca="1">IF(Case_Scenario="Bull",X166,IF(Case_Scenario="Base",X167,IF(Case_Scenario="bear",X168,"N/A")))</f>
        <v>500</v>
      </c>
      <c r="Y165" s="282">
        <f ca="1">SUM(U165:X165)</f>
        <v>9499</v>
      </c>
      <c r="Z165" s="525">
        <f ca="1">IF(Case_Scenario="Bull",Z166,IF(Case_Scenario="Base",Z167,IF(Case_Scenario="bear",Z168,"N/A")))</f>
        <v>500</v>
      </c>
      <c r="AA165" s="525">
        <f ca="1">IF(Case_Scenario="Bull",AA166,IF(Case_Scenario="Base",AA167,IF(Case_Scenario="bear",AA168,"N/A")))</f>
        <v>500</v>
      </c>
      <c r="AB165" s="525">
        <f ca="1">IF(Case_Scenario="Bull",AB166,IF(Case_Scenario="Base",AB167,IF(Case_Scenario="bear",AB168,"N/A")))</f>
        <v>500</v>
      </c>
      <c r="AC165" s="525">
        <f ca="1">IF(Case_Scenario="Bull",AC166,IF(Case_Scenario="Base",AC167,IF(Case_Scenario="bear",AC168,"N/A")))</f>
        <v>500</v>
      </c>
      <c r="AD165" s="282">
        <f ca="1">SUM(Z165:AC165)</f>
        <v>2000</v>
      </c>
      <c r="AE165" s="287">
        <f ca="1">IF(Case_Scenario="Bull",AE166,IF(Case_Scenario="Base",AE167,IF(Case_Scenario="bear",AE168,"N/A")))</f>
        <v>3000</v>
      </c>
      <c r="AF165" s="287">
        <f ca="1">IF(Case_Scenario="Bull",AF166,IF(Case_Scenario="Base",AF167,IF(Case_Scenario="bear",AF168,"N/A")))</f>
        <v>3000</v>
      </c>
      <c r="AG165" s="287">
        <f ca="1">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 ca="1">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 ca="1">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 ca="1">$D$86</f>
        <v>Primary Peer Group</v>
      </c>
      <c r="E4" s="22"/>
      <c r="F4" s="22"/>
      <c r="G4" s="22"/>
      <c r="H4" s="22"/>
      <c r="I4" s="22"/>
      <c r="J4" s="22"/>
      <c r="K4" s="22"/>
      <c r="L4" s="22"/>
      <c r="M4" s="22"/>
      <c r="N4" s="22"/>
      <c r="O4" s="22"/>
      <c r="P4" s="22"/>
      <c r="Q4" s="22"/>
      <c r="R4" s="22"/>
      <c r="S4" s="22"/>
      <c r="T4" s="22"/>
      <c r="U4" s="22"/>
      <c r="V4" s="7"/>
      <c r="W4" s="16"/>
      <c r="X4" s="4"/>
      <c r="Y4" s="47"/>
      <c r="Z4" s="534" t="str">
        <f ca="1">$G$86</f>
        <v>Defense Peer Group</v>
      </c>
      <c r="AA4" s="22"/>
      <c r="AB4" s="22"/>
      <c r="AC4" s="22"/>
      <c r="AD4" s="22"/>
      <c r="AE4" s="22"/>
      <c r="AF4" s="22"/>
      <c r="AG4" s="22"/>
      <c r="AH4" s="22"/>
      <c r="AI4" s="22"/>
      <c r="AJ4" s="22"/>
      <c r="AK4" s="22"/>
      <c r="AL4" s="22"/>
      <c r="AM4" s="22"/>
      <c r="AN4" s="22"/>
      <c r="AO4" s="22"/>
      <c r="AP4" s="22"/>
      <c r="AQ4" s="22"/>
      <c r="AR4" s="7"/>
      <c r="AS4" s="4"/>
      <c r="AT4" s="4"/>
      <c r="AU4" s="47"/>
      <c r="AV4" s="534" t="str">
        <f ca="1">$L$86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 ca="1">Next_FYE</f>
        <v>46387</v>
      </c>
      <c r="K8" s="538" t="s">
        <v>497</v>
      </c>
      <c r="L8" s="539">
        <f ca="1">Next_FYE</f>
        <v>46387</v>
      </c>
      <c r="M8" s="538" t="s">
        <v>497</v>
      </c>
      <c r="N8" s="539">
        <f ca="1">Next_FYE</f>
        <v>46387</v>
      </c>
      <c r="O8" s="538" t="s">
        <v>497</v>
      </c>
      <c r="P8" s="539">
        <f ca="1">Next_FYE</f>
        <v>46387</v>
      </c>
      <c r="Q8" s="538" t="s">
        <v>497</v>
      </c>
      <c r="R8" s="539">
        <f ca="1">Next_FYE</f>
        <v>46387</v>
      </c>
      <c r="S8" s="538" t="s">
        <v>497</v>
      </c>
      <c r="T8" s="539">
        <f ca="1">Next_FYE</f>
        <v>46387</v>
      </c>
      <c r="U8" s="538" t="s">
        <v>497</v>
      </c>
      <c r="V8" s="539">
        <f ca="1">Next_FYE</f>
        <v>46387</v>
      </c>
      <c r="W8" s="16"/>
      <c r="X8" s="4"/>
      <c r="Y8" s="47"/>
      <c r="Z8" s="139"/>
      <c r="AA8" s="84"/>
      <c r="AB8" s="538" t="s">
        <v>25</v>
      </c>
      <c r="AC8" s="538" t="s">
        <v>496</v>
      </c>
      <c r="AD8" s="538" t="s">
        <v>66</v>
      </c>
      <c r="AE8" s="538" t="s">
        <v>497</v>
      </c>
      <c r="AF8" s="539">
        <f ca="1">Next_FYE</f>
        <v>46387</v>
      </c>
      <c r="AG8" s="538" t="str">
        <f ca="1">$I$8</f>
        <v>LTM</v>
      </c>
      <c r="AH8" s="539">
        <f ca="1">$J$8</f>
        <v>46387</v>
      </c>
      <c r="AI8" s="538" t="str">
        <f ca="1">$I$8</f>
        <v>LTM</v>
      </c>
      <c r="AJ8" s="539">
        <f ca="1">$J$8</f>
        <v>46387</v>
      </c>
      <c r="AK8" s="538" t="str">
        <f ca="1">$I$8</f>
        <v>LTM</v>
      </c>
      <c r="AL8" s="539">
        <f ca="1">$J$8</f>
        <v>46387</v>
      </c>
      <c r="AM8" s="538" t="str">
        <f ca="1">$I$8</f>
        <v>LTM</v>
      </c>
      <c r="AN8" s="539">
        <f ca="1">$J$8</f>
        <v>46387</v>
      </c>
      <c r="AO8" s="538" t="str">
        <f ca="1">$I$8</f>
        <v>LTM</v>
      </c>
      <c r="AP8" s="539">
        <f ca="1">$J$8</f>
        <v>46387</v>
      </c>
      <c r="AQ8" s="538" t="str">
        <f ca="1">$I$8</f>
        <v>LTM</v>
      </c>
      <c r="AR8" s="539">
        <f ca="1">$J$8</f>
        <v>46387</v>
      </c>
      <c r="AS8" s="4"/>
      <c r="AT8" s="4"/>
      <c r="AU8" s="47"/>
      <c r="AV8" s="139"/>
      <c r="AW8" s="84"/>
      <c r="AX8" s="538" t="s">
        <v>25</v>
      </c>
      <c r="AY8" s="538" t="s">
        <v>496</v>
      </c>
      <c r="AZ8" s="538" t="s">
        <v>66</v>
      </c>
      <c r="BA8" s="538" t="s">
        <v>497</v>
      </c>
      <c r="BB8" s="539">
        <f ca="1">Next_FYE</f>
        <v>46387</v>
      </c>
      <c r="BC8" s="538" t="str">
        <f ca="1">$I$8</f>
        <v>LTM</v>
      </c>
      <c r="BD8" s="539">
        <f ca="1">$J$8</f>
        <v>46387</v>
      </c>
      <c r="BE8" s="538" t="str">
        <f ca="1">$I$8</f>
        <v>LTM</v>
      </c>
      <c r="BF8" s="539">
        <f ca="1">$J$8</f>
        <v>46387</v>
      </c>
      <c r="BG8" s="538" t="str">
        <f ca="1">$I$8</f>
        <v>LTM</v>
      </c>
      <c r="BH8" s="539">
        <f ca="1">$J$8</f>
        <v>46387</v>
      </c>
      <c r="BI8" s="538" t="str">
        <f ca="1">$I$8</f>
        <v>LTM</v>
      </c>
      <c r="BJ8" s="539">
        <f ca="1">$J$8</f>
        <v>46387</v>
      </c>
      <c r="BK8" s="538" t="str">
        <f ca="1">$I$8</f>
        <v>LTM</v>
      </c>
      <c r="BL8" s="539">
        <f ca="1">$J$8</f>
        <v>46387</v>
      </c>
      <c r="BM8" s="538" t="str">
        <f ca="1">$I$8</f>
        <v>LTM</v>
      </c>
      <c r="BN8" s="539">
        <f ca="1">$J$8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f ca="1">D51</f>
        <v>1e-12</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 ca="1">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 ca="1">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f ca="1">D53</f>
        <v>1e-12</v>
      </c>
      <c r="E12" s="16"/>
      <c r="F12" s="84" t="s">
        <v>499</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f ca="1">Z72</f>
        <v>1e-12</v>
      </c>
      <c r="AA12" s="16"/>
      <c r="AB12" s="84" t="s">
        <v>500</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f ca="1">AV53</f>
        <v>1e-12</v>
      </c>
      <c r="AW12" s="16"/>
      <c r="AX12" s="84" t="s">
        <v>501</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f ca="1">D54</f>
        <v>1e-12</v>
      </c>
      <c r="E13" s="16"/>
      <c r="F13" s="84" t="s">
        <v>502</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f ca="1">Z73</f>
        <v>1e-12</v>
      </c>
      <c r="AA13" s="16"/>
      <c r="AB13" s="84" t="s">
        <v>503</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504</v>
      </c>
      <c r="AN13" s="551">
        <v>30.819232691225288</v>
      </c>
      <c r="AO13" s="551">
        <v>2.82676</v>
      </c>
      <c r="AP13" s="551">
        <v>2.3372126615773308</v>
      </c>
      <c r="AQ13" s="551" t="s">
        <v>504</v>
      </c>
      <c r="AR13" s="551" t="s">
        <v>504</v>
      </c>
      <c r="AS13" s="4"/>
      <c r="AT13" s="4"/>
      <c r="AU13" s="47"/>
      <c r="AV13" s="16">
        <f ca="1">AV54</f>
        <v>1e-12</v>
      </c>
      <c r="AW13" s="16"/>
      <c r="AX13" s="84" t="s">
        <v>505</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504</v>
      </c>
      <c r="BN13" s="551">
        <v>54.20820989547334</v>
      </c>
    </row>
    <row r="14" ht="13.5" customHeight="1" spans="1:66" x14ac:dyDescent="0.25">
      <c r="A14" s="4"/>
      <c r="B14" s="4"/>
      <c r="C14" s="47"/>
      <c r="D14" s="16">
        <f ca="1">D55</f>
        <v>1e-12</v>
      </c>
      <c r="E14" s="16"/>
      <c r="F14" s="84" t="s">
        <v>506</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f ca="1">Z74</f>
        <v>1e-12</v>
      </c>
      <c r="AA14" s="16"/>
      <c r="AB14" s="84" t="s">
        <v>507</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f ca="1">AV55</f>
        <v>1e-12</v>
      </c>
      <c r="AW14" s="16"/>
      <c r="AX14" s="84" t="s">
        <v>508</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f ca="1">D56</f>
        <v>1e-12</v>
      </c>
      <c r="E15" s="16"/>
      <c r="F15" s="84" t="s">
        <v>509</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504</v>
      </c>
      <c r="R15" s="551">
        <v>211.94604401245059</v>
      </c>
      <c r="S15" s="551">
        <v>34.64642</v>
      </c>
      <c r="T15" s="551">
        <v>27.278614119410697</v>
      </c>
      <c r="U15" s="551" t="s">
        <v>504</v>
      </c>
      <c r="V15" s="551">
        <v>214.40286086833686</v>
      </c>
      <c r="W15" s="16"/>
      <c r="X15" s="4"/>
      <c r="Y15" s="47"/>
      <c r="Z15" s="16">
        <f ca="1">Z75</f>
        <v>1e-12</v>
      </c>
      <c r="AA15" s="16"/>
      <c r="AB15" s="84" t="s">
        <v>510</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f ca="1">AV56</f>
        <v>1e-12</v>
      </c>
      <c r="AW15" s="16"/>
      <c r="AX15" s="84" t="s">
        <v>511</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f ca="1">D57</f>
        <v>1e-12</v>
      </c>
      <c r="E16" s="16"/>
      <c r="F16" s="84" t="s">
        <v>512</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f ca="1">Z76</f>
        <v>1e-12</v>
      </c>
      <c r="AA16" s="16"/>
      <c r="AB16" s="84" t="s">
        <v>513</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f ca="1">AV57</f>
        <v>1e-12</v>
      </c>
      <c r="AW16" s="16"/>
      <c r="AX16" s="84" t="s">
        <v>514</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0" ca="1">MAX(G10:G16)</f>
        <v>2456382.6676</v>
      </c>
      <c r="H18" s="556">
        <f ca="1">MAX(H10:H16)</f>
        <v>2398229.6676</v>
      </c>
      <c r="I18" s="557">
        <f ca="1">MAX(I10:I16)</f>
        <v>0.737091</v>
      </c>
      <c r="J18" s="557">
        <f ca="1">MAX(J10:J16)</f>
        <v>0.6779071109930239</v>
      </c>
      <c r="K18" s="557">
        <f ca="1">MAX(K10:K16)</f>
        <v>1.026417</v>
      </c>
      <c r="L18" s="557">
        <f ca="1">MAX(L10:L16)</f>
        <v>0.7232146680627087</v>
      </c>
      <c r="M18" s="557">
        <f ca="1">MAX(M10:M16)</f>
        <v>0.496984</v>
      </c>
      <c r="N18" s="557">
        <f ca="1">MAX(N10:N16)</f>
        <v>0.5518203814847791</v>
      </c>
      <c r="O18" s="557">
        <f ca="1">MAX(O10:O16)</f>
        <v>0.37176200000000004</v>
      </c>
      <c r="P18" s="557">
        <f ca="1">MAX(P10:P16)</f>
        <v>0.3457313702483525</v>
      </c>
      <c r="Q18" s="558">
        <f ca="1">MAX(Q10:Q16)</f>
        <v>25.97822</v>
      </c>
      <c r="R18" s="559">
        <f ca="1">MAX(R10:R16)</f>
        <v>211.94604401245059</v>
      </c>
      <c r="S18" s="559">
        <f ca="1">MAX(S10:S16)</f>
        <v>34.64642</v>
      </c>
      <c r="T18" s="559">
        <f ca="1">MAX(T10:T16)</f>
        <v>27.278614119410697</v>
      </c>
      <c r="U18" s="559">
        <f ca="1">MAX(U10:U16)</f>
        <v>36.41118</v>
      </c>
      <c r="V18" s="560">
        <f ca="1">MAX(V10:V16)</f>
        <v>214.40286086833686</v>
      </c>
      <c r="W18" s="16"/>
      <c r="X18" s="4"/>
      <c r="Y18" s="47"/>
      <c r="Z18" s="553" t="s">
        <v>167</v>
      </c>
      <c r="AA18" s="554"/>
      <c r="AB18" s="555"/>
      <c r="AC18" s="556">
        <f t="shared" ref="AC18:AR18" si="1" ca="1">MAX(AC10:AC16)</f>
        <v>129979.18471</v>
      </c>
      <c r="AD18" s="556">
        <f ca="1">MAX(AD10:AD16)</f>
        <v>172393.18471</v>
      </c>
      <c r="AE18" s="561">
        <f ca="1">MAX(AE10:AE16)</f>
        <v>0.284792</v>
      </c>
      <c r="AF18" s="561">
        <f ca="1">MAX(AF10:AF16)</f>
        <v>0.2682719844217478</v>
      </c>
      <c r="AG18" s="561">
        <f ca="1">MAX(AG10:AG16)</f>
        <v>0.940674</v>
      </c>
      <c r="AH18" s="561">
        <f ca="1">MAX(AH10:AH16)</f>
        <v>0.3097719390436151</v>
      </c>
      <c r="AI18" s="561">
        <f ca="1">MAX(AI10:AI16)</f>
        <v>0.28053100000000003</v>
      </c>
      <c r="AJ18" s="561">
        <f ca="1">MAX(AJ10:AJ16)</f>
        <v>0.29106114754641993</v>
      </c>
      <c r="AK18" s="561">
        <f ca="1">MAX(AK10:AK16)</f>
        <v>0.152468</v>
      </c>
      <c r="AL18" s="561">
        <f ca="1">MAX(AL10:AL16)</f>
        <v>0.20242258666034044</v>
      </c>
      <c r="AM18" s="558">
        <f ca="1">MAX(AM10:AM16)</f>
        <v>16.46107</v>
      </c>
      <c r="AN18" s="559">
        <f ca="1">MAX(AN10:AN16)</f>
        <v>30.819232691225288</v>
      </c>
      <c r="AO18" s="559">
        <f ca="1">MAX(AO10:AO16)</f>
        <v>2.82676</v>
      </c>
      <c r="AP18" s="559">
        <f ca="1">MAX(AP10:AP16)</f>
        <v>7.093838002749867</v>
      </c>
      <c r="AQ18" s="559">
        <f ca="1">MAX(AQ10:AQ16)</f>
        <v>63.46893</v>
      </c>
      <c r="AR18" s="560">
        <f ca="1">MAX(AR10:AR16)</f>
        <v>38.06344748498806</v>
      </c>
      <c r="AS18" s="4"/>
      <c r="AT18" s="4"/>
      <c r="AU18" s="47"/>
      <c r="AV18" s="553" t="s">
        <v>167</v>
      </c>
      <c r="AW18" s="554"/>
      <c r="AX18" s="555"/>
      <c r="AY18" s="556">
        <f t="shared" ref="AY18:BN18" si="2" ca="1">MAX(AY10:AY16)</f>
        <v>159578.88611</v>
      </c>
      <c r="AZ18" s="556">
        <f ca="1">MAX(AZ10:AZ16)</f>
        <v>169888.88611</v>
      </c>
      <c r="BA18" s="561">
        <f ca="1">MAX(BA10:BA16)</f>
        <v>0.19067</v>
      </c>
      <c r="BB18" s="561">
        <f ca="1">MAX(BB10:BB16)</f>
        <v>0.16134879412350056</v>
      </c>
      <c r="BC18" s="561">
        <f ca="1">MAX(BC10:BC16)</f>
        <v>0.22055499999999997</v>
      </c>
      <c r="BD18" s="561">
        <f ca="1">MAX(BD10:BD16)</f>
        <v>0.6838775055679285</v>
      </c>
      <c r="BE18" s="561">
        <f ca="1">MAX(BE10:BE16)</f>
        <v>0.362131</v>
      </c>
      <c r="BF18" s="561">
        <f ca="1">MAX(BF10:BF16)</f>
        <v>0.36653876959791054</v>
      </c>
      <c r="BG18" s="561">
        <f ca="1">MAX(BG10:BG16)</f>
        <v>0.17795100000000003</v>
      </c>
      <c r="BH18" s="561">
        <f ca="1">MAX(BH10:BH16)</f>
        <v>0.25151357300210986</v>
      </c>
      <c r="BI18" s="558">
        <f ca="1">MAX(BI10:BI16)</f>
        <v>25.12855</v>
      </c>
      <c r="BJ18" s="559">
        <f ca="1">MAX(BJ10:BJ16)</f>
        <v>24.998032555108455</v>
      </c>
      <c r="BK18" s="559">
        <f ca="1">MAX(BK10:BK16)</f>
        <v>9.38733</v>
      </c>
      <c r="BL18" s="559">
        <f ca="1">MAX(BL10:BL16)</f>
        <v>9.162748095117964</v>
      </c>
      <c r="BM18" s="559">
        <f ca="1">MAX(BM10:BM16)</f>
        <v>45.20111</v>
      </c>
      <c r="BN18" s="560">
        <f ca="1">MAX(BN10:BN16)</f>
        <v>54.20820989547334</v>
      </c>
    </row>
    <row r="19" ht="13.5" customHeight="1" spans="1:66" x14ac:dyDescent="0.25">
      <c r="A19" s="4"/>
      <c r="B19" s="4"/>
      <c r="C19" s="47"/>
      <c r="D19" s="562" t="s">
        <v>515</v>
      </c>
      <c r="E19" s="441"/>
      <c r="F19" s="563"/>
      <c r="G19" s="564">
        <f t="shared" ref="G19:V19" si="3" ca="1">AVERAGE(G10:G16)</f>
        <v>1323504.3030483332</v>
      </c>
      <c r="H19" s="564">
        <f ca="1">AVERAGE(H10:H16)</f>
        <v>1282820.167215</v>
      </c>
      <c r="I19" s="565">
        <f ca="1">AVERAGE(I10:I16)</f>
        <v>0.3463151666666667</v>
      </c>
      <c r="J19" s="565">
        <f ca="1">AVERAGE(J10:J16)</f>
        <v>0.32548700852351536</v>
      </c>
      <c r="K19" s="565">
        <f ca="1">AVERAGE(K10:K16)</f>
        <v>0.5492003333333333</v>
      </c>
      <c r="L19" s="565">
        <f ca="1">AVERAGE(L10:L16)</f>
        <v>0.13784868746689205</v>
      </c>
      <c r="M19" s="565">
        <f ca="1">AVERAGE(M10:M16)</f>
        <v>0.26566</v>
      </c>
      <c r="N19" s="565">
        <f ca="1">AVERAGE(N10:N16)</f>
        <v>0.3391890318647466</v>
      </c>
      <c r="O19" s="565">
        <f ca="1">AVERAGE(O10:O16)</f>
        <v>0.18686966666666668</v>
      </c>
      <c r="P19" s="565">
        <f ca="1">AVERAGE(P10:P16)</f>
        <v>0.2374291169624134</v>
      </c>
      <c r="Q19" s="566">
        <f ca="1">AVERAGE(Q10:Q16)</f>
        <v>19.18922</v>
      </c>
      <c r="R19" s="567">
        <f ca="1">AVERAGE(R10:R16)</f>
        <v>50.23798816361842</v>
      </c>
      <c r="S19" s="567">
        <f ca="1">AVERAGE(S10:S16)</f>
        <v>12.017526666666667</v>
      </c>
      <c r="T19" s="567">
        <f ca="1">AVERAGE(T10:T16)</f>
        <v>10.450720939371331</v>
      </c>
      <c r="U19" s="567">
        <f ca="1">AVERAGE(U10:U16)</f>
        <v>28.027836</v>
      </c>
      <c r="V19" s="568">
        <f ca="1">AVERAGE(V10:V16)</f>
        <v>57.79707316613341</v>
      </c>
      <c r="W19" s="16"/>
      <c r="X19" s="4"/>
      <c r="Y19" s="47"/>
      <c r="Z19" s="562" t="s">
        <v>515</v>
      </c>
      <c r="AA19" s="441"/>
      <c r="AB19" s="563"/>
      <c r="AC19" s="564">
        <f t="shared" ref="AC19:AR19" si="4" ca="1">AVERAGE(AC10:AC16)</f>
        <v>71835.782455</v>
      </c>
      <c r="AD19" s="564">
        <f ca="1">AVERAGE(AD10:AD16)</f>
        <v>86720.26628833334</v>
      </c>
      <c r="AE19" s="569">
        <f ca="1">AVERAGE(AE10:AE16)</f>
        <v>0.10343183333333333</v>
      </c>
      <c r="AF19" s="569">
        <f ca="1">AVERAGE(AF10:AF16)</f>
        <v>0.09008317651654629</v>
      </c>
      <c r="AG19" s="569">
        <f ca="1">AVERAGE(AG10:AG16)</f>
        <v>0.4146725</v>
      </c>
      <c r="AH19" s="569">
        <f ca="1">AVERAGE(AH10:AH16)</f>
        <v>-0.583637050724687</v>
      </c>
      <c r="AI19" s="569">
        <f ca="1">AVERAGE(AI10:AI16)</f>
        <v>0.13695283333333333</v>
      </c>
      <c r="AJ19" s="569">
        <f ca="1">AVERAGE(AJ10:AJ16)</f>
        <v>0.15539560335187066</v>
      </c>
      <c r="AK19" s="569">
        <f ca="1">AVERAGE(AK10:AK16)</f>
        <v>0.058402333333333334</v>
      </c>
      <c r="AL19" s="569">
        <f ca="1">AVERAGE(AL10:AL16)</f>
        <v>0.08502516239369384</v>
      </c>
      <c r="AM19" s="566">
        <f ca="1">AVERAGE(AM10:AM16)</f>
        <v>9.106754</v>
      </c>
      <c r="AN19" s="567">
        <f ca="1">AVERAGE(AN10:AN16)</f>
        <v>17.257650750172328</v>
      </c>
      <c r="AO19" s="567">
        <f ca="1">AVERAGE(AO10:AO16)</f>
        <v>1.6406083333333334</v>
      </c>
      <c r="AP19" s="567">
        <f ca="1">AVERAGE(AP10:AP16)</f>
        <v>2.713906375995124</v>
      </c>
      <c r="AQ19" s="567">
        <f ca="1">AVERAGE(AQ10:AQ16)</f>
        <v>20.281439999999996</v>
      </c>
      <c r="AR19" s="568">
        <f ca="1">AVERAGE(AR10:AR16)</f>
        <v>21.594515789762383</v>
      </c>
      <c r="AS19" s="4"/>
      <c r="AT19" s="4"/>
      <c r="AU19" s="47"/>
      <c r="AV19" s="562" t="s">
        <v>515</v>
      </c>
      <c r="AW19" s="441"/>
      <c r="AX19" s="563"/>
      <c r="AY19" s="564">
        <f t="shared" ref="AY19:BN19" si="5" ca="1">AVERAGE(AY10:AY16)</f>
        <v>84668.2197</v>
      </c>
      <c r="AZ19" s="564">
        <f ca="1">AVERAGE(AZ10:AZ16)</f>
        <v>98970.55353333335</v>
      </c>
      <c r="BA19" s="569">
        <f ca="1">AVERAGE(BA10:BA16)</f>
        <v>0.05737416666666667</v>
      </c>
      <c r="BB19" s="569">
        <f ca="1">AVERAGE(BB10:BB16)</f>
        <v>0.07035394134444851</v>
      </c>
      <c r="BC19" s="569">
        <f ca="1">AVERAGE(BC10:BC16)</f>
        <v>0.024313833333333337</v>
      </c>
      <c r="BD19" s="569">
        <f ca="1">AVERAGE(BD10:BD16)</f>
        <v>0.08195950023741272</v>
      </c>
      <c r="BE19" s="569">
        <f ca="1">AVERAGE(BE10:BE16)</f>
        <v>0.2477345</v>
      </c>
      <c r="BF19" s="569">
        <f ca="1">AVERAGE(BF10:BF16)</f>
        <v>0.25115620759480345</v>
      </c>
      <c r="BG19" s="569">
        <f ca="1">AVERAGE(BG10:BG16)</f>
        <v>0.12470983333333334</v>
      </c>
      <c r="BH19" s="569">
        <f ca="1">AVERAGE(BH10:BH16)</f>
        <v>0.15695896203933532</v>
      </c>
      <c r="BI19" s="566">
        <f ca="1">AVERAGE(BI10:BI16)</f>
        <v>15.054556666666665</v>
      </c>
      <c r="BJ19" s="567">
        <f ca="1">AVERAGE(BJ10:BJ16)</f>
        <v>19.917704743955753</v>
      </c>
      <c r="BK19" s="567">
        <f ca="1">AVERAGE(BK10:BK16)</f>
        <v>3.837745</v>
      </c>
      <c r="BL19" s="567">
        <f ca="1">AVERAGE(BL10:BL16)</f>
        <v>5.089001130045863</v>
      </c>
      <c r="BM19" s="567">
        <f ca="1">AVERAGE(BM10:BM16)</f>
        <v>23.62187</v>
      </c>
      <c r="BN19" s="568">
        <f ca="1">AVERAGE(BN10:BN16)</f>
        <v>32.78685306050986</v>
      </c>
    </row>
    <row r="20" ht="13.5" customHeight="1" spans="1:66" x14ac:dyDescent="0.25">
      <c r="A20" s="4"/>
      <c r="B20" s="4"/>
      <c r="C20" s="47"/>
      <c r="D20" s="562" t="s">
        <v>516</v>
      </c>
      <c r="E20" s="441"/>
      <c r="F20" s="441"/>
      <c r="G20" s="564">
        <f t="shared" ref="G20:V20" si="6" ca="1">MEDIAN(G10:G16)</f>
        <v>1487208.2549649999</v>
      </c>
      <c r="H20" s="564">
        <f ca="1">MEDIAN(H10:H16)</f>
        <v>1407273.254965</v>
      </c>
      <c r="I20" s="565">
        <f ca="1">MEDIAN(I10:I16)</f>
        <v>0.2971535</v>
      </c>
      <c r="J20" s="565">
        <f ca="1">MEDIAN(J10:J16)</f>
        <v>0.35417054656504277</v>
      </c>
      <c r="K20" s="565">
        <f ca="1">MEDIAN(K10:K16)</f>
        <v>0.47425249999999997</v>
      </c>
      <c r="L20" s="565">
        <f ca="1">MEDIAN(L10:L16)</f>
        <v>0.4306721493653889</v>
      </c>
      <c r="M20" s="565">
        <f ca="1">MEDIAN(M10:M16)</f>
        <v>0.3312815</v>
      </c>
      <c r="N20" s="565">
        <f ca="1">MEDIAN(N10:N16)</f>
        <v>0.36327035105917194</v>
      </c>
      <c r="O20" s="565">
        <f ca="1">MEDIAN(O10:O16)</f>
        <v>0.26786699999999997</v>
      </c>
      <c r="P20" s="565">
        <f ca="1">MEDIAN(P10:P16)</f>
        <v>0.2630604389175104</v>
      </c>
      <c r="Q20" s="566">
        <f ca="1">MEDIAN(Q10:Q16)</f>
        <v>20.63488</v>
      </c>
      <c r="R20" s="567">
        <f ca="1">MEDIAN(R10:R16)</f>
        <v>19.07395532064387</v>
      </c>
      <c r="S20" s="567">
        <f ca="1">MEDIAN(S10:S16)</f>
        <v>8.157734999999999</v>
      </c>
      <c r="T20" s="567">
        <f ca="1">MEDIAN(T10:T16)</f>
        <v>7.800438822852892</v>
      </c>
      <c r="U20" s="567">
        <f ca="1">MEDIAN(U10:U16)</f>
        <v>27.79788</v>
      </c>
      <c r="V20" s="568">
        <f ca="1">MEDIAN(V10:V16)</f>
        <v>27.29665087668582</v>
      </c>
      <c r="W20" s="16"/>
      <c r="X20" s="4"/>
      <c r="Y20" s="47"/>
      <c r="Z20" s="562" t="s">
        <v>516</v>
      </c>
      <c r="AA20" s="441"/>
      <c r="AB20" s="441"/>
      <c r="AC20" s="564">
        <f t="shared" ref="AC20:AR20" si="7" ca="1">MEDIAN(AC10:AC16)</f>
        <v>79327.60286</v>
      </c>
      <c r="AD20" s="564">
        <f ca="1">MEDIAN(AD10:AD16)</f>
        <v>88943.10286000001</v>
      </c>
      <c r="AE20" s="569">
        <f ca="1">MEDIAN(AE10:AE16)</f>
        <v>0.07876449999999999</v>
      </c>
      <c r="AF20" s="569">
        <f ca="1">MEDIAN(AF10:AF16)</f>
        <v>0.050245350288697144</v>
      </c>
      <c r="AG20" s="569">
        <f ca="1">MEDIAN(AG10:AG16)</f>
        <v>0.43208399999999997</v>
      </c>
      <c r="AH20" s="569">
        <f ca="1">MEDIAN(AH10:AH16)</f>
        <v>-0.18521987642728777</v>
      </c>
      <c r="AI20" s="569">
        <f ca="1">MEDIAN(AI10:AI16)</f>
        <v>0.14764</v>
      </c>
      <c r="AJ20" s="569">
        <f ca="1">MEDIAN(AJ10:AJ16)</f>
        <v>0.15568117318519226</v>
      </c>
      <c r="AK20" s="569">
        <f ca="1">MEDIAN(AK10:AK16)</f>
        <v>0.09248599999999998</v>
      </c>
      <c r="AL20" s="569">
        <f ca="1">MEDIAN(AL10:AL16)</f>
        <v>0.10152294620790997</v>
      </c>
      <c r="AM20" s="566">
        <f ca="1">MEDIAN(AM10:AM16)</f>
        <v>10.01997</v>
      </c>
      <c r="AN20" s="567">
        <f ca="1">MEDIAN(AN10:AN16)</f>
        <v>13.415392350311915</v>
      </c>
      <c r="AO20" s="567">
        <f ca="1">MEDIAN(AO10:AO16)</f>
        <v>1.7294399999999999</v>
      </c>
      <c r="AP20" s="567">
        <f ca="1">MEDIAN(AP10:AP16)</f>
        <v>2.1093364343746774</v>
      </c>
      <c r="AQ20" s="567">
        <f ca="1">MEDIAN(AQ10:AQ16)</f>
        <v>13.61295</v>
      </c>
      <c r="AR20" s="568">
        <f ca="1">MEDIAN(AR10:AR16)</f>
        <v>20.919526956583937</v>
      </c>
      <c r="AS20" s="4"/>
      <c r="AT20" s="4"/>
      <c r="AU20" s="47"/>
      <c r="AV20" s="562" t="s">
        <v>516</v>
      </c>
      <c r="AW20" s="441"/>
      <c r="AX20" s="441"/>
      <c r="AY20" s="564">
        <f t="shared" ref="AY20:BN20" si="8" ca="1">MEDIAN(AY10:AY16)</f>
        <v>87747.448625</v>
      </c>
      <c r="AZ20" s="564">
        <f ca="1">MEDIAN(AZ10:AZ16)</f>
        <v>97098.44862499999</v>
      </c>
      <c r="BA20" s="569">
        <f ca="1">MEDIAN(BA10:BA16)</f>
        <v>0.07276250000000001</v>
      </c>
      <c r="BB20" s="569">
        <f ca="1">MEDIAN(BB10:BB16)</f>
        <v>0.08415272317348965</v>
      </c>
      <c r="BC20" s="569">
        <f ca="1">MEDIAN(BC10:BC16)</f>
        <v>0.131942</v>
      </c>
      <c r="BD20" s="569">
        <f ca="1">MEDIAN(BD10:BD16)</f>
        <v>0.13611629906692402</v>
      </c>
      <c r="BE20" s="569">
        <f ca="1">MEDIAN(BE10:BE16)</f>
        <v>0.26306050000000003</v>
      </c>
      <c r="BF20" s="569">
        <f ca="1">MEDIAN(BF10:BF16)</f>
        <v>0.25971190764599195</v>
      </c>
      <c r="BG20" s="569">
        <f ca="1">MEDIAN(BG10:BG16)</f>
        <v>0.149469</v>
      </c>
      <c r="BH20" s="569">
        <f ca="1">MEDIAN(BH10:BH16)</f>
        <v>0.16356126932180767</v>
      </c>
      <c r="BI20" s="566">
        <f ca="1">MEDIAN(BI10:BI16)</f>
        <v>16.63175</v>
      </c>
      <c r="BJ20" s="567">
        <f ca="1">MEDIAN(BJ10:BJ16)</f>
        <v>20.342638651042556</v>
      </c>
      <c r="BK20" s="567">
        <f ca="1">MEDIAN(BK10:BK16)</f>
        <v>3.42533</v>
      </c>
      <c r="BL20" s="567">
        <f ca="1">MEDIAN(BL10:BL16)</f>
        <v>4.264131592108762</v>
      </c>
      <c r="BM20" s="567">
        <f ca="1">MEDIAN(BM10:BM16)</f>
        <v>24.43376</v>
      </c>
      <c r="BN20" s="568">
        <f ca="1">MEDIAN(BN10:BN16)</f>
        <v>29.67121723202159</v>
      </c>
    </row>
    <row r="21" ht="13.5" customHeight="1" spans="1:66" x14ac:dyDescent="0.25">
      <c r="A21" s="4"/>
      <c r="B21" s="4"/>
      <c r="C21" s="47"/>
      <c r="D21" s="570" t="s">
        <v>168</v>
      </c>
      <c r="E21" s="571"/>
      <c r="F21" s="571"/>
      <c r="G21" s="572">
        <f t="shared" ref="G21:V21" si="9" ca="1">MIN(G10:G16)</f>
        <v>115291.54504</v>
      </c>
      <c r="H21" s="572">
        <f ca="1">MIN(H10:H16)</f>
        <v>114730.73004</v>
      </c>
      <c r="I21" s="573">
        <f ca="1">MIN(I10:I16)</f>
        <v>0.175317</v>
      </c>
      <c r="J21" s="573">
        <f ca="1">MIN(J10:J16)</f>
        <v>0.03688944339654232</v>
      </c>
      <c r="K21" s="573">
        <f ca="1">MIN(K10:K16)</f>
        <v>0.275987</v>
      </c>
      <c r="L21" s="573">
        <f ca="1">MIN(L10:L16)</f>
        <v>-1.5530767571565032</v>
      </c>
      <c r="M21" s="573">
        <f ca="1">MIN(M10:M16)</f>
        <v>-0.195959</v>
      </c>
      <c r="N21" s="573">
        <f ca="1">MIN(N10:N16)</f>
        <v>0.1287054648578779</v>
      </c>
      <c r="O21" s="573">
        <f ca="1">MIN(O10:O16)</f>
        <v>-0.22488600000000003</v>
      </c>
      <c r="P21" s="573">
        <f ca="1">MIN(P10:P16)</f>
        <v>0.08599256295671137</v>
      </c>
      <c r="Q21" s="574">
        <f ca="1">MIN(Q10:Q16)</f>
        <v>10.87254</v>
      </c>
      <c r="R21" s="575">
        <f ca="1">MIN(R10:R16)</f>
        <v>12.5309555137087</v>
      </c>
      <c r="S21" s="575">
        <f ca="1">MIN(S10:S16)</f>
        <v>1.73035</v>
      </c>
      <c r="T21" s="575">
        <f ca="1">MIN(T10:T16)</f>
        <v>1.7763725751510986</v>
      </c>
      <c r="U21" s="575">
        <f ca="1">MIN(U10:U16)</f>
        <v>21.30913</v>
      </c>
      <c r="V21" s="576">
        <f ca="1">MIN(V10:V16)</f>
        <v>17.846255042276262</v>
      </c>
      <c r="W21" s="16"/>
      <c r="X21" s="4"/>
      <c r="Y21" s="47"/>
      <c r="Z21" s="570" t="s">
        <v>168</v>
      </c>
      <c r="AA21" s="571"/>
      <c r="AB21" s="571"/>
      <c r="AC21" s="572">
        <f t="shared" ref="AC21:AR21" si="10" ca="1">MIN(AC10:AC16)</f>
        <v>6040.93556</v>
      </c>
      <c r="AD21" s="572">
        <f ca="1">MIN(AD10:AD16)</f>
        <v>5561.83856</v>
      </c>
      <c r="AE21" s="577">
        <f ca="1">MIN(AE10:AE16)</f>
        <v>-0.07428799999999999</v>
      </c>
      <c r="AF21" s="577">
        <f ca="1">MIN(AF10:AF16)</f>
        <v>-0.014799398896709226</v>
      </c>
      <c r="AG21" s="577">
        <f ca="1">MIN(AG10:AG16)</f>
        <v>0.124316</v>
      </c>
      <c r="AH21" s="577">
        <f ca="1">MIN(AH10:AH16)</f>
        <v>-2.5665133721199402</v>
      </c>
      <c r="AI21" s="577">
        <f ca="1">MIN(AI10:AI16)</f>
        <v>-0.029095</v>
      </c>
      <c r="AJ21" s="577">
        <f ca="1">MIN(AJ10:AJ16)</f>
        <v>0.07583617298307273</v>
      </c>
      <c r="AK21" s="577">
        <f ca="1">MIN(AK10:AK16)</f>
        <v>-0.14303000000000002</v>
      </c>
      <c r="AL21" s="577">
        <f ca="1">MIN(AL10:AL16)</f>
        <v>-0.005421097632900035</v>
      </c>
      <c r="AM21" s="574">
        <f ca="1">MIN(AM10:AM16)</f>
      </c>
      <c r="AN21" s="575">
        <f ca="1">MIN(AN10:AN16)</f>
        <v>10.442453685118846</v>
      </c>
      <c r="AO21" s="575">
        <f ca="1">MIN(AO10:AO16)</f>
      </c>
      <c r="AP21" s="575">
        <f ca="1">MIN(AP10:AP16)</f>
        <v>0.993771663980303</v>
      </c>
      <c r="AQ21" s="575">
        <f ca="1">MIN(AQ10:AQ16)</f>
      </c>
      <c r="AR21" s="576">
        <f ca="1">MIN(AR10:AR16)</f>
        <v>13.436305184315913</v>
      </c>
      <c r="AS21" s="4"/>
      <c r="AT21" s="4"/>
      <c r="AU21" s="47"/>
      <c r="AV21" s="570" t="s">
        <v>168</v>
      </c>
      <c r="AW21" s="571"/>
      <c r="AX21" s="571"/>
      <c r="AY21" s="572">
        <f t="shared" ref="AY21:BN21" si="11" ca="1">MIN(AY10:AY16)</f>
        <v>6040.93556</v>
      </c>
      <c r="AZ21" s="572">
        <f ca="1">MIN(AZ10:AZ16)</f>
        <v>5561.83856</v>
      </c>
      <c r="BA21" s="577">
        <f ca="1">MIN(BA10:BA16)</f>
        <v>-0.083477</v>
      </c>
      <c r="BB21" s="577">
        <f ca="1">MIN(BB10:BB16)</f>
        <v>-0.036353036963538865</v>
      </c>
      <c r="BC21" s="577">
        <f ca="1">MIN(BC10:BC16)</f>
        <v>-0.342387</v>
      </c>
      <c r="BD21" s="577">
        <f ca="1">MIN(BD10:BD16)</f>
        <v>-0.5777118713986096</v>
      </c>
      <c r="BE21" s="577">
        <f ca="1">MIN(BE10:BE16)</f>
        <v>0.08612500000000001</v>
      </c>
      <c r="BF21" s="577">
        <f ca="1">MIN(BF10:BF16)</f>
        <v>0.10098877292986558</v>
      </c>
      <c r="BG21" s="577">
        <f ca="1">MIN(BG10:BG16)</f>
        <v>-0.03102</v>
      </c>
      <c r="BH21" s="577">
        <f ca="1">MIN(BH10:BH16)</f>
        <v>0.027997383350577984</v>
      </c>
      <c r="BI21" s="574">
        <f ca="1">MIN(BI10:BI16)</f>
      </c>
      <c r="BJ21" s="575">
        <f ca="1">MIN(BJ10:BJ16)</f>
        <v>13.364261803244904</v>
      </c>
      <c r="BK21" s="575">
        <f ca="1">MIN(BK10:BK16)</f>
      </c>
      <c r="BL21" s="575">
        <f ca="1">MIN(BL10:BL16)</f>
        <v>2.1552540183700164</v>
      </c>
      <c r="BM21" s="575">
        <f ca="1">MIN(BM10:BM16)</f>
      </c>
      <c r="BN21" s="576">
        <f ca="1">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517</v>
      </c>
      <c r="E23" s="66"/>
      <c r="F23" s="66"/>
      <c r="G23" s="538" t="s">
        <v>518</v>
      </c>
      <c r="H23" s="66"/>
      <c r="I23" s="66"/>
      <c r="J23" s="538" t="s">
        <v>519</v>
      </c>
      <c r="K23" s="66"/>
      <c r="L23" s="66"/>
      <c r="M23" s="538" t="str">
        <f ca="1">TEXT(Last_FYE,"yyyy")&amp;"A"&amp;" Leverage Analysis"</f>
        <v>2025A Leverage Analysis</v>
      </c>
      <c r="N23" s="66"/>
      <c r="O23" s="66"/>
      <c r="P23" s="538" t="str">
        <f ca="1">TEXT(Last_FYE,"yyyy")&amp;"A"&amp;" Coverage Analysis"</f>
        <v>2025A Coverage Analysis</v>
      </c>
      <c r="Q23" s="66"/>
      <c r="R23" s="66"/>
      <c r="S23" s="538" t="s">
        <v>520</v>
      </c>
      <c r="T23" s="66"/>
      <c r="U23" s="538" t="s">
        <v>521</v>
      </c>
      <c r="V23" s="66"/>
      <c r="W23" s="16"/>
      <c r="X23" s="4"/>
      <c r="Y23" s="47" t="s">
        <v>1</v>
      </c>
      <c r="Z23" s="538" t="s">
        <v>517</v>
      </c>
      <c r="AA23" s="66"/>
      <c r="AB23" s="66"/>
      <c r="AC23" s="538" t="s">
        <v>518</v>
      </c>
      <c r="AD23" s="66"/>
      <c r="AE23" s="66"/>
      <c r="AF23" s="538" t="s">
        <v>519</v>
      </c>
      <c r="AG23" s="66"/>
      <c r="AH23" s="66"/>
      <c r="AI23" s="538" t="str">
        <f ca="1">TEXT(Last_FYE,"yyyy")&amp;"A"&amp;" Leverage Analysis"</f>
        <v>2025A Leverage Analysis</v>
      </c>
      <c r="AJ23" s="66"/>
      <c r="AK23" s="66"/>
      <c r="AL23" s="538" t="str">
        <f ca="1">TEXT(Last_FYE,"yyyy")&amp;"A"&amp;" Coverage Analysis"</f>
        <v>2025A Coverage Analysis</v>
      </c>
      <c r="AM23" s="66"/>
      <c r="AN23" s="66"/>
      <c r="AO23" s="538" t="s">
        <v>520</v>
      </c>
      <c r="AP23" s="66"/>
      <c r="AQ23" s="538" t="s">
        <v>521</v>
      </c>
      <c r="AR23" s="66"/>
      <c r="AS23" s="4"/>
      <c r="AT23" s="4"/>
      <c r="AU23" s="47" t="s">
        <v>1</v>
      </c>
      <c r="AV23" s="538" t="s">
        <v>517</v>
      </c>
      <c r="AW23" s="66"/>
      <c r="AX23" s="66"/>
      <c r="AY23" s="538" t="s">
        <v>518</v>
      </c>
      <c r="AZ23" s="66"/>
      <c r="BA23" s="66"/>
      <c r="BB23" s="538" t="s">
        <v>519</v>
      </c>
      <c r="BC23" s="66"/>
      <c r="BD23" s="66"/>
      <c r="BE23" s="538" t="str">
        <f ca="1">TEXT(Last_FYE,"yyyy")&amp;"A"&amp;" Leverage Analysis"</f>
        <v>2025A Leverage Analysis</v>
      </c>
      <c r="BF23" s="66"/>
      <c r="BG23" s="66"/>
      <c r="BH23" s="538" t="str">
        <f ca="1">TEXT(Last_FYE,"yyyy")&amp;"A"&amp;" Coverage Analysis"</f>
        <v>2025A Coverage Analysis</v>
      </c>
      <c r="BI23" s="66"/>
      <c r="BJ23" s="66"/>
      <c r="BK23" s="538" t="s">
        <v>520</v>
      </c>
      <c r="BL23" s="66"/>
      <c r="BM23" s="538" t="s">
        <v>521</v>
      </c>
      <c r="BN23" s="66"/>
    </row>
    <row r="24" ht="13.5" customHeight="1" spans="1:66" x14ac:dyDescent="0.25">
      <c r="A24" s="4"/>
      <c r="B24" s="4"/>
      <c r="C24" s="47"/>
      <c r="D24" s="16"/>
      <c r="E24" s="16"/>
      <c r="F24" s="16"/>
      <c r="G24" s="16"/>
      <c r="H24" s="16"/>
      <c r="I24" s="16"/>
      <c r="J24" s="16"/>
      <c r="K24" s="16"/>
      <c r="L24" s="16"/>
      <c r="M24" s="538" t="s">
        <v>522</v>
      </c>
      <c r="N24" s="66"/>
      <c r="O24" s="66"/>
      <c r="P24" s="16"/>
      <c r="Q24" s="16"/>
      <c r="R24" s="16"/>
      <c r="S24" s="16"/>
      <c r="T24" s="16"/>
      <c r="U24" s="16"/>
      <c r="V24" s="16"/>
      <c r="W24" s="16"/>
      <c r="X24" s="4"/>
      <c r="Y24" s="47"/>
      <c r="Z24" s="16"/>
      <c r="AA24" s="16"/>
      <c r="AB24" s="16"/>
      <c r="AC24" s="16"/>
      <c r="AD24" s="16"/>
      <c r="AE24" s="16"/>
      <c r="AF24" s="16"/>
      <c r="AG24" s="16"/>
      <c r="AH24" s="16"/>
      <c r="AI24" s="538" t="s">
        <v>522</v>
      </c>
      <c r="AJ24" s="66"/>
      <c r="AK24" s="66"/>
      <c r="AL24" s="16"/>
      <c r="AM24" s="16"/>
      <c r="AN24" s="16"/>
      <c r="AO24" s="16"/>
      <c r="AP24" s="16"/>
      <c r="AQ24" s="16"/>
      <c r="AR24" s="16"/>
      <c r="AS24" s="4"/>
      <c r="AT24" s="4"/>
      <c r="AU24" s="47"/>
      <c r="AV24" s="16"/>
      <c r="AW24" s="16"/>
      <c r="AX24" s="16"/>
      <c r="AY24" s="16"/>
      <c r="AZ24" s="16"/>
      <c r="BA24" s="16"/>
      <c r="BB24" s="16"/>
      <c r="BC24" s="16"/>
      <c r="BD24" s="16"/>
      <c r="BE24" s="538" t="s">
        <v>522</v>
      </c>
      <c r="BF24" s="66"/>
      <c r="BG24" s="66"/>
      <c r="BH24" s="16"/>
      <c r="BI24" s="16"/>
      <c r="BJ24" s="16"/>
      <c r="BK24" s="16"/>
      <c r="BL24" s="16"/>
      <c r="BM24" s="16"/>
      <c r="BN24" s="16"/>
    </row>
    <row r="25" ht="13.5" customHeight="1" spans="1:66" x14ac:dyDescent="0.25">
      <c r="A25" s="4"/>
      <c r="B25" s="4"/>
      <c r="C25" s="47"/>
      <c r="D25" s="84"/>
      <c r="E25" s="84"/>
      <c r="F25" s="84"/>
      <c r="G25" s="84"/>
      <c r="H25" s="84"/>
      <c r="I25" s="84" t="s">
        <v>523</v>
      </c>
      <c r="J25" s="84"/>
      <c r="K25" s="84"/>
      <c r="L25" s="84"/>
      <c r="M25" s="84"/>
      <c r="N25" s="84"/>
      <c r="O25" s="84"/>
      <c r="P25" s="84" t="s">
        <v>524</v>
      </c>
      <c r="Q25" s="345" t="s">
        <v>525</v>
      </c>
      <c r="R25" s="84" t="s">
        <v>526</v>
      </c>
      <c r="S25" s="84" t="s">
        <v>527</v>
      </c>
      <c r="T25" s="84" t="s">
        <v>528</v>
      </c>
      <c r="U25" s="84"/>
      <c r="V25" s="84"/>
      <c r="W25" s="16"/>
      <c r="X25" s="4"/>
      <c r="Y25" s="47"/>
      <c r="Z25" s="84"/>
      <c r="AA25" s="84"/>
      <c r="AB25" s="84"/>
      <c r="AC25" s="84"/>
      <c r="AD25" s="84"/>
      <c r="AE25" s="84" t="s">
        <v>523</v>
      </c>
      <c r="AF25" s="84"/>
      <c r="AG25" s="84"/>
      <c r="AH25" s="84"/>
      <c r="AI25" s="84"/>
      <c r="AJ25" s="84"/>
      <c r="AK25" s="84"/>
      <c r="AL25" s="84" t="s">
        <v>524</v>
      </c>
      <c r="AM25" s="345" t="s">
        <v>525</v>
      </c>
      <c r="AN25" s="84" t="s">
        <v>526</v>
      </c>
      <c r="AO25" s="84" t="s">
        <v>527</v>
      </c>
      <c r="AP25" s="84" t="s">
        <v>528</v>
      </c>
      <c r="AQ25" s="84"/>
      <c r="AR25" s="84"/>
      <c r="AS25" s="4"/>
      <c r="AT25" s="4"/>
      <c r="AU25" s="47"/>
      <c r="AV25" s="84"/>
      <c r="AW25" s="84"/>
      <c r="AX25" s="84"/>
      <c r="AY25" s="84"/>
      <c r="AZ25" s="84"/>
      <c r="BA25" s="84" t="s">
        <v>523</v>
      </c>
      <c r="BB25" s="84"/>
      <c r="BC25" s="84"/>
      <c r="BD25" s="84"/>
      <c r="BE25" s="84"/>
      <c r="BF25" s="84"/>
      <c r="BG25" s="84"/>
      <c r="BH25" s="84" t="s">
        <v>524</v>
      </c>
      <c r="BI25" s="345" t="s">
        <v>525</v>
      </c>
      <c r="BJ25" s="84" t="s">
        <v>526</v>
      </c>
      <c r="BK25" s="84" t="s">
        <v>527</v>
      </c>
      <c r="BL25" s="84" t="s">
        <v>528</v>
      </c>
      <c r="BM25" s="84"/>
      <c r="BN25" s="84"/>
    </row>
    <row r="26" ht="13.5" customHeight="1" spans="1:66" x14ac:dyDescent="0.25">
      <c r="A26" s="4"/>
      <c r="B26" s="4"/>
      <c r="C26" s="47"/>
      <c r="D26" s="139"/>
      <c r="E26" s="84"/>
      <c r="F26" s="538" t="s">
        <v>25</v>
      </c>
      <c r="G26" s="538" t="s">
        <v>298</v>
      </c>
      <c r="H26" s="538" t="s">
        <v>529</v>
      </c>
      <c r="I26" s="538" t="s">
        <v>530</v>
      </c>
      <c r="J26" s="538" t="s">
        <v>531</v>
      </c>
      <c r="K26" s="538" t="s">
        <v>532</v>
      </c>
      <c r="L26" s="538" t="s">
        <v>533</v>
      </c>
      <c r="M26" s="538" t="s">
        <v>496</v>
      </c>
      <c r="N26" s="538" t="s">
        <v>292</v>
      </c>
      <c r="O26" s="538" t="s">
        <v>534</v>
      </c>
      <c r="P26" s="538" t="s">
        <v>535</v>
      </c>
      <c r="Q26" s="578" t="s">
        <v>536</v>
      </c>
      <c r="R26" s="538" t="s">
        <v>535</v>
      </c>
      <c r="S26" s="538" t="s">
        <v>537</v>
      </c>
      <c r="T26" s="538" t="s">
        <v>537</v>
      </c>
      <c r="U26" s="538" t="s">
        <v>538</v>
      </c>
      <c r="V26" s="538" t="s">
        <v>539</v>
      </c>
      <c r="W26" s="16"/>
      <c r="X26" s="4"/>
      <c r="Y26" s="47"/>
      <c r="Z26" s="139"/>
      <c r="AA26" s="84"/>
      <c r="AB26" s="538" t="s">
        <v>25</v>
      </c>
      <c r="AC26" s="538" t="s">
        <v>298</v>
      </c>
      <c r="AD26" s="538" t="s">
        <v>529</v>
      </c>
      <c r="AE26" s="538" t="s">
        <v>530</v>
      </c>
      <c r="AF26" s="538" t="s">
        <v>531</v>
      </c>
      <c r="AG26" s="538" t="s">
        <v>532</v>
      </c>
      <c r="AH26" s="538" t="s">
        <v>533</v>
      </c>
      <c r="AI26" s="538" t="s">
        <v>496</v>
      </c>
      <c r="AJ26" s="538" t="s">
        <v>292</v>
      </c>
      <c r="AK26" s="538" t="s">
        <v>534</v>
      </c>
      <c r="AL26" s="538" t="s">
        <v>535</v>
      </c>
      <c r="AM26" s="578" t="s">
        <v>536</v>
      </c>
      <c r="AN26" s="538" t="s">
        <v>535</v>
      </c>
      <c r="AO26" s="538" t="s">
        <v>537</v>
      </c>
      <c r="AP26" s="538" t="s">
        <v>537</v>
      </c>
      <c r="AQ26" s="538" t="s">
        <v>538</v>
      </c>
      <c r="AR26" s="538" t="s">
        <v>539</v>
      </c>
      <c r="AS26" s="4"/>
      <c r="AT26" s="4"/>
      <c r="AU26" s="47"/>
      <c r="AV26" s="139"/>
      <c r="AW26" s="84"/>
      <c r="AX26" s="538" t="s">
        <v>25</v>
      </c>
      <c r="AY26" s="538" t="s">
        <v>298</v>
      </c>
      <c r="AZ26" s="538" t="s">
        <v>529</v>
      </c>
      <c r="BA26" s="538" t="s">
        <v>530</v>
      </c>
      <c r="BB26" s="538" t="s">
        <v>531</v>
      </c>
      <c r="BC26" s="538" t="s">
        <v>532</v>
      </c>
      <c r="BD26" s="538" t="s">
        <v>533</v>
      </c>
      <c r="BE26" s="538" t="s">
        <v>496</v>
      </c>
      <c r="BF26" s="538" t="s">
        <v>292</v>
      </c>
      <c r="BG26" s="538" t="s">
        <v>534</v>
      </c>
      <c r="BH26" s="538" t="s">
        <v>535</v>
      </c>
      <c r="BI26" s="578" t="s">
        <v>536</v>
      </c>
      <c r="BJ26" s="538" t="s">
        <v>535</v>
      </c>
      <c r="BK26" s="538" t="s">
        <v>537</v>
      </c>
      <c r="BL26" s="538" t="s">
        <v>537</v>
      </c>
      <c r="BM26" s="538" t="s">
        <v>538</v>
      </c>
      <c r="BN26" s="538" t="s">
        <v>539</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 ca="1">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540</v>
      </c>
      <c r="V28" s="64" t="s">
        <v>541</v>
      </c>
      <c r="W28" s="16"/>
      <c r="X28" s="4"/>
      <c r="Y28" s="47"/>
      <c r="Z28" s="18" t="str">
        <f ca="1">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540</v>
      </c>
      <c r="AR28" s="64" t="s">
        <v>541</v>
      </c>
      <c r="AS28" s="4"/>
      <c r="AT28" s="4"/>
      <c r="AU28" s="47"/>
      <c r="AV28" s="18" t="str">
        <f ca="1">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540</v>
      </c>
      <c r="BN28" s="64" t="s">
        <v>541</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f ca="1">D53</f>
        <v>1e-12</v>
      </c>
      <c r="E30" s="16"/>
      <c r="F30" s="84" t="s">
        <v>499</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542</v>
      </c>
      <c r="V30" s="84" t="s">
        <v>541</v>
      </c>
      <c r="W30" s="16"/>
      <c r="X30" s="4"/>
      <c r="Y30" s="47"/>
      <c r="Z30" s="16">
        <f ca="1">Z53</f>
        <v>1e-12</v>
      </c>
      <c r="AA30" s="16"/>
      <c r="AB30" s="84" t="s">
        <v>500</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543</v>
      </c>
      <c r="AR30" s="84" t="s">
        <v>544</v>
      </c>
      <c r="AS30" s="4"/>
      <c r="AT30" s="4"/>
      <c r="AU30" s="47"/>
      <c r="AV30" s="16">
        <f ca="1">AV53</f>
        <v>1e-12</v>
      </c>
      <c r="AW30" s="16"/>
      <c r="AX30" s="84" t="s">
        <v>501</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545</v>
      </c>
      <c r="BN30" s="84" t="s">
        <v>544</v>
      </c>
    </row>
    <row r="31" ht="13.5" customHeight="1" spans="1:66" x14ac:dyDescent="0.25">
      <c r="A31" s="4"/>
      <c r="B31" s="4"/>
      <c r="C31" s="47"/>
      <c r="D31" s="16">
        <f ca="1">D54</f>
        <v>1e-12</v>
      </c>
      <c r="E31" s="16"/>
      <c r="F31" s="84" t="s">
        <v>502</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546</v>
      </c>
      <c r="V31" s="84" t="s">
        <v>541</v>
      </c>
      <c r="W31" s="16"/>
      <c r="X31" s="4"/>
      <c r="Y31" s="47"/>
      <c r="Z31" s="16">
        <f ca="1">Z54</f>
        <v>1e-12</v>
      </c>
      <c r="AA31" s="16"/>
      <c r="AB31" s="84" t="s">
        <v>503</v>
      </c>
      <c r="AC31" s="547">
        <v>0.14074</v>
      </c>
      <c r="AD31" s="581">
        <v>1.62028</v>
      </c>
      <c r="AE31" s="547">
        <v>0</v>
      </c>
      <c r="AF31" s="547">
        <v>0.21877749021799892</v>
      </c>
      <c r="AG31" s="547">
        <v>0.032482000000000004</v>
      </c>
      <c r="AH31" s="547">
        <v>-0.016131</v>
      </c>
      <c r="AI31" s="551">
        <v>138.5723</v>
      </c>
      <c r="AJ31" s="551" t="s">
        <v>504</v>
      </c>
      <c r="AK31" s="551" t="s">
        <v>504</v>
      </c>
      <c r="AL31" s="551" t="s">
        <v>504</v>
      </c>
      <c r="AM31" s="551" t="s">
        <v>504</v>
      </c>
      <c r="AN31" s="551" t="s">
        <v>504</v>
      </c>
      <c r="AO31" s="581">
        <v>0.40835</v>
      </c>
      <c r="AP31" s="581">
        <v>1.3937</v>
      </c>
      <c r="AQ31" s="84" t="s">
        <v>547</v>
      </c>
      <c r="AR31" s="84" t="s">
        <v>544</v>
      </c>
      <c r="AS31" s="4"/>
      <c r="AT31" s="4"/>
      <c r="AU31" s="47"/>
      <c r="AV31" s="16">
        <f ca="1">AV54</f>
        <v>1e-12</v>
      </c>
      <c r="AW31" s="16"/>
      <c r="AX31" s="84" t="s">
        <v>505</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504</v>
      </c>
      <c r="BK31" s="581">
        <v>1.21993</v>
      </c>
      <c r="BL31" s="581">
        <v>1.57684</v>
      </c>
      <c r="BM31" s="84" t="s">
        <v>540</v>
      </c>
      <c r="BN31" s="84" t="s">
        <v>548</v>
      </c>
    </row>
    <row r="32" ht="13.5" customHeight="1" spans="1:66" x14ac:dyDescent="0.25">
      <c r="A32" s="4"/>
      <c r="B32" s="4"/>
      <c r="C32" s="47"/>
      <c r="D32" s="16">
        <f ca="1">D55</f>
        <v>1e-12</v>
      </c>
      <c r="E32" s="16"/>
      <c r="F32" s="84" t="s">
        <v>506</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546</v>
      </c>
      <c r="V32" s="84" t="s">
        <v>541</v>
      </c>
      <c r="W32" s="16"/>
      <c r="X32" s="4"/>
      <c r="Y32" s="47"/>
      <c r="Z32" s="16">
        <f ca="1">Z55</f>
        <v>1e-12</v>
      </c>
      <c r="AA32" s="16"/>
      <c r="AB32" s="84" t="s">
        <v>507</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547</v>
      </c>
      <c r="AR32" s="84" t="s">
        <v>544</v>
      </c>
      <c r="AS32" s="4"/>
      <c r="AT32" s="4"/>
      <c r="AU32" s="47"/>
      <c r="AV32" s="16">
        <f ca="1">AV55</f>
        <v>1e-12</v>
      </c>
      <c r="AW32" s="16"/>
      <c r="AX32" s="84" t="s">
        <v>508</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549</v>
      </c>
      <c r="BN32" s="84" t="s">
        <v>541</v>
      </c>
    </row>
    <row r="33" ht="13.5" customHeight="1" spans="1:66" x14ac:dyDescent="0.25">
      <c r="A33" s="4"/>
      <c r="B33" s="4"/>
      <c r="C33" s="47"/>
      <c r="D33" s="16">
        <f ca="1">D56</f>
        <v>1e-12</v>
      </c>
      <c r="E33" s="16"/>
      <c r="F33" s="84" t="s">
        <v>509</v>
      </c>
      <c r="G33" s="550">
        <v>0.138266</v>
      </c>
      <c r="H33" s="581">
        <v>1.27315</v>
      </c>
      <c r="I33" s="550">
        <v>0</v>
      </c>
      <c r="J33" s="550">
        <v>0.2868426045457575</v>
      </c>
      <c r="K33" s="550">
        <v>-0.294551</v>
      </c>
      <c r="L33" s="550">
        <v>-0.081478</v>
      </c>
      <c r="M33" s="551">
        <v>0.462335</v>
      </c>
      <c r="N33" s="551" t="s">
        <v>504</v>
      </c>
      <c r="O33" s="551">
        <v>0.859896</v>
      </c>
      <c r="P33" s="551" t="s">
        <v>504</v>
      </c>
      <c r="Q33" s="551" t="s">
        <v>504</v>
      </c>
      <c r="R33" s="551" t="s">
        <v>504</v>
      </c>
      <c r="S33" s="581">
        <v>4.91787</v>
      </c>
      <c r="T33" s="581">
        <v>5.00201</v>
      </c>
      <c r="U33" s="84" t="s">
        <v>546</v>
      </c>
      <c r="V33" s="84" t="s">
        <v>541</v>
      </c>
      <c r="W33" s="16"/>
      <c r="X33" s="4"/>
      <c r="Y33" s="47"/>
      <c r="Z33" s="16">
        <f ca="1">Z56</f>
        <v>1e-12</v>
      </c>
      <c r="AA33" s="16"/>
      <c r="AB33" s="84" t="s">
        <v>510</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543</v>
      </c>
      <c r="AR33" s="84" t="s">
        <v>541</v>
      </c>
      <c r="AS33" s="4"/>
      <c r="AT33" s="4"/>
      <c r="AU33" s="47"/>
      <c r="AV33" s="16">
        <f ca="1">AV56</f>
        <v>1e-12</v>
      </c>
      <c r="AW33" s="16"/>
      <c r="AX33" s="84" t="s">
        <v>511</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540</v>
      </c>
      <c r="BN33" s="84" t="s">
        <v>541</v>
      </c>
    </row>
    <row r="34" ht="13.5" customHeight="1" spans="1:66" x14ac:dyDescent="0.25">
      <c r="A34" s="4"/>
      <c r="B34" s="4"/>
      <c r="C34" s="47"/>
      <c r="D34" s="16">
        <f ca="1">D57</f>
        <v>1e-12</v>
      </c>
      <c r="E34" s="16"/>
      <c r="F34" s="84" t="s">
        <v>512</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542</v>
      </c>
      <c r="V34" s="84" t="s">
        <v>541</v>
      </c>
      <c r="W34" s="16"/>
      <c r="X34" s="4"/>
      <c r="Y34" s="47"/>
      <c r="Z34" s="16">
        <f ca="1">Z57</f>
        <v>1e-12</v>
      </c>
      <c r="AA34" s="16"/>
      <c r="AB34" s="84" t="s">
        <v>513</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540</v>
      </c>
      <c r="AR34" s="84" t="s">
        <v>541</v>
      </c>
      <c r="AS34" s="4"/>
      <c r="AT34" s="4"/>
      <c r="AU34" s="47"/>
      <c r="AV34" s="16">
        <f ca="1">AV57</f>
        <v>1e-12</v>
      </c>
      <c r="AW34" s="16"/>
      <c r="AX34" s="84" t="s">
        <v>514</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549</v>
      </c>
      <c r="BN34" s="84" t="s">
        <v>541</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2" ca="1">D18</f>
        <v>High</v>
      </c>
      <c r="E36" s="554"/>
      <c r="F36" s="555"/>
      <c r="G36" s="557">
        <f t="shared" ref="G36:T36" si="13" ca="1">MAX(G28:G34)</f>
        <v>0.246026</v>
      </c>
      <c r="H36" s="583">
        <f ca="1">MAX(H28:H34)</f>
        <v>1.32679</v>
      </c>
      <c r="I36" s="557">
        <f ca="1">MAX(I28:I34)</f>
        <v>0.015541000000000001</v>
      </c>
      <c r="J36" s="557">
        <f ca="1">MAX(J28:J34)</f>
        <v>0.5160410896748149</v>
      </c>
      <c r="K36" s="557">
        <f ca="1">MAX(K28:K34)</f>
        <v>3.353264</v>
      </c>
      <c r="L36" s="557">
        <f ca="1">MAX(L28:L34)</f>
        <v>0.19302399999999997</v>
      </c>
      <c r="M36" s="559">
        <f ca="1">MAX(M28:M34)</f>
        <v>0.9480249999999999</v>
      </c>
      <c r="N36" s="559">
        <f ca="1">MAX(N28:N34)</f>
        <v>1.9578</v>
      </c>
      <c r="O36" s="559">
        <f ca="1">MAX(O28:O34)</f>
        <v>18.240083</v>
      </c>
      <c r="P36" s="559">
        <f ca="1">MAX(P28:P34)</f>
        <v>428.06667</v>
      </c>
      <c r="Q36" s="559">
        <f ca="1">MAX(Q28:Q34)</f>
        <v>263.02222</v>
      </c>
      <c r="R36" s="559">
        <f ca="1">MAX(R28:R34)</f>
        <v>305.36296</v>
      </c>
      <c r="S36" s="583">
        <f ca="1">MAX(S28:S34)</f>
        <v>4.91787</v>
      </c>
      <c r="T36" s="583">
        <f ca="1">MAX(T28:T34)</f>
        <v>5.05106</v>
      </c>
      <c r="U36" s="555"/>
      <c r="V36" s="584"/>
      <c r="W36" s="16"/>
      <c r="X36" s="4"/>
      <c r="Y36" s="47"/>
      <c r="Z36" s="553" t="str">
        <f t="shared" ref="Z36:Z39" si="14" ca="1">Z18</f>
        <v>High</v>
      </c>
      <c r="AA36" s="554"/>
      <c r="AB36" s="555"/>
      <c r="AC36" s="561">
        <f t="shared" ref="AC36:AP36" si="15" ca="1">MAX(AC28:AC34)</f>
        <v>0.246026</v>
      </c>
      <c r="AD36" s="583">
        <f ca="1">MAX(AD28:AD34)</f>
        <v>1.62028</v>
      </c>
      <c r="AE36" s="561">
        <f ca="1">MAX(AE28:AE34)</f>
        <v>0.028730000000000002</v>
      </c>
      <c r="AF36" s="561">
        <f ca="1">MAX(AF28:AF34)</f>
        <v>0.47399097894209075</v>
      </c>
      <c r="AG36" s="561">
        <f ca="1">MAX(AG28:AG34)</f>
        <v>3.353264</v>
      </c>
      <c r="AH36" s="561">
        <f ca="1">MAX(AH28:AH34)</f>
        <v>0.153199</v>
      </c>
      <c r="AI36" s="559">
        <f ca="1">MAX(AI28:AI34)</f>
        <v>138.5723</v>
      </c>
      <c r="AJ36" s="559">
        <f ca="1">MAX(AJ28:AJ34)</f>
        <v>4.73816</v>
      </c>
      <c r="AK36" s="559">
        <f ca="1">MAX(AK28:AK34)</f>
        <v>1824.0083</v>
      </c>
      <c r="AL36" s="559">
        <f ca="1">MAX(AL28:AL34)</f>
        <v>17.29949</v>
      </c>
      <c r="AM36" s="559">
        <f ca="1">MAX(AM28:AM34)</f>
        <v>14.31134</v>
      </c>
      <c r="AN36" s="559">
        <f ca="1">MAX(AN28:AN34)</f>
        <v>15.0203</v>
      </c>
      <c r="AO36" s="583">
        <f ca="1">MAX(AO28:AO34)</f>
        <v>1.2881</v>
      </c>
      <c r="AP36" s="583">
        <f ca="1">MAX(AP28:AP34)</f>
        <v>1.60167</v>
      </c>
      <c r="AQ36" s="555"/>
      <c r="AR36" s="584"/>
      <c r="AS36" s="4"/>
      <c r="AT36" s="4"/>
      <c r="AU36" s="47"/>
      <c r="AV36" s="553" t="str">
        <f t="shared" ref="AV36:AV39" si="16" ca="1">AV18</f>
        <v>High</v>
      </c>
      <c r="AW36" s="554"/>
      <c r="AX36" s="555"/>
      <c r="AY36" s="561">
        <f t="shared" ref="AY36:BL36" si="17" ca="1">MAX(AY28:AY34)</f>
        <v>0.246026</v>
      </c>
      <c r="AZ36" s="583">
        <f ca="1">MAX(AZ28:AZ34)</f>
        <v>1.53469</v>
      </c>
      <c r="BA36" s="561">
        <f ca="1">MAX(BA28:BA34)</f>
        <v>0.030351</v>
      </c>
      <c r="BB36" s="561">
        <f ca="1">MAX(BB28:BB34)</f>
        <v>0.39441918935110964</v>
      </c>
      <c r="BC36" s="561">
        <f ca="1">MAX(BC28:BC34)</f>
        <v>3.353264</v>
      </c>
      <c r="BD36" s="561">
        <f ca="1">MAX(BD28:BD34)</f>
        <v>0.153199</v>
      </c>
      <c r="BE36" s="559">
        <f ca="1">MAX(BE28:BE34)</f>
        <v>94.8025</v>
      </c>
      <c r="BF36" s="559">
        <f ca="1">MAX(BF28:BF34)</f>
        <v>11.46958</v>
      </c>
      <c r="BG36" s="559">
        <f ca="1">MAX(BG28:BG34)</f>
        <v>1824.0083</v>
      </c>
      <c r="BH36" s="559">
        <f ca="1">MAX(BH28:BH34)</f>
        <v>22.0195</v>
      </c>
      <c r="BI36" s="559">
        <f ca="1">MAX(BI28:BI34)</f>
        <v>19.49582</v>
      </c>
      <c r="BJ36" s="559">
        <f ca="1">MAX(BJ28:BJ34)</f>
        <v>18.53482</v>
      </c>
      <c r="BK36" s="583">
        <f ca="1">MAX(BK28:BK34)</f>
        <v>1.24245</v>
      </c>
      <c r="BL36" s="583">
        <f ca="1">MAX(BL28:BL34)</f>
        <v>1.885</v>
      </c>
      <c r="BM36" s="555"/>
      <c r="BN36" s="584"/>
    </row>
    <row r="37" ht="13.5" customHeight="1" spans="1:66" x14ac:dyDescent="0.25">
      <c r="A37" s="4"/>
      <c r="B37" s="4"/>
      <c r="C37" s="47"/>
      <c r="D37" s="562" t="str">
        <f ca="1">D19</f>
        <v>Mean</v>
      </c>
      <c r="E37" s="441"/>
      <c r="F37" s="563"/>
      <c r="G37" s="565">
        <f t="shared" ref="G37:T37" si="18" ca="1">AVERAGE(G28:G34)</f>
        <v>0.15848516666666665</v>
      </c>
      <c r="H37" s="585">
        <f ca="1">AVERAGE(H28:H34)</f>
        <v>1.14496</v>
      </c>
      <c r="I37" s="565">
        <f ca="1">AVERAGE(I28:I34)</f>
        <v>0.0048225</v>
      </c>
      <c r="J37" s="565">
        <f ca="1">AVERAGE(J28:J34)</f>
        <v>0.3319615293846772</v>
      </c>
      <c r="K37" s="565">
        <f ca="1">AVERAGE(K28:K34)</f>
        <v>0.8994933333333334</v>
      </c>
      <c r="L37" s="565">
        <f ca="1">AVERAGE(L28:L34)</f>
        <v>0.118242</v>
      </c>
      <c r="M37" s="567">
        <f ca="1">AVERAGE(M28:M34)</f>
        <v>0.4367366666666666</v>
      </c>
      <c r="N37" s="567">
        <f ca="1">AVERAGE(N28:N34)</f>
        <v>1.018134</v>
      </c>
      <c r="O37" s="567">
        <f ca="1">AVERAGE(O28:O34)</f>
        <v>3.627208833333333</v>
      </c>
      <c r="P37" s="567">
        <f ca="1">AVERAGE(P28:P34)</f>
        <v>101.939572</v>
      </c>
      <c r="Q37" s="567">
        <f ca="1">AVERAGE(Q28:Q34)</f>
        <v>66.240966</v>
      </c>
      <c r="R37" s="567">
        <f ca="1">AVERAGE(R28:R34)</f>
        <v>74.18668199999999</v>
      </c>
      <c r="S37" s="585">
        <f ca="1">AVERAGE(S28:S34)</f>
        <v>2.6935466666666663</v>
      </c>
      <c r="T37" s="585">
        <f ca="1">AVERAGE(T28:T34)</f>
        <v>2.959235</v>
      </c>
      <c r="U37" s="563"/>
      <c r="V37" s="586"/>
      <c r="W37" s="16"/>
      <c r="X37" s="4"/>
      <c r="Y37" s="47"/>
      <c r="Z37" s="562" t="str">
        <f ca="1">Z19</f>
        <v>Mean</v>
      </c>
      <c r="AA37" s="441"/>
      <c r="AB37" s="563"/>
      <c r="AC37" s="569">
        <f t="shared" ref="AC37:AP37" si="19" ca="1">AVERAGE(AC28:AC34)</f>
        <v>0.16273283333333333</v>
      </c>
      <c r="AD37" s="585">
        <f ca="1">AVERAGE(AD28:AD34)</f>
        <v>1.1378366666666666</v>
      </c>
      <c r="AE37" s="569">
        <f ca="1">AVERAGE(AE28:AE34)</f>
        <v>0.017900166666666665</v>
      </c>
      <c r="AF37" s="569">
        <f ca="1">AVERAGE(AF28:AF34)</f>
        <v>0.282891019565845</v>
      </c>
      <c r="AG37" s="569">
        <f ca="1">AVERAGE(AG28:AG34)</f>
        <v>0.9414248333333334</v>
      </c>
      <c r="AH37" s="569">
        <f ca="1">AVERAGE(AH28:AH34)</f>
        <v>0.0664525</v>
      </c>
      <c r="AI37" s="567">
        <f ca="1">AVERAGE(AI28:AI34)</f>
        <v>74.05641666666666</v>
      </c>
      <c r="AJ37" s="567">
        <f ca="1">AVERAGE(AJ28:AJ34)</f>
        <v>2.4642519999999997</v>
      </c>
      <c r="AK37" s="567">
        <f ca="1">AVERAGE(AK28:AK34)</f>
        <v>469.13713999999993</v>
      </c>
      <c r="AL37" s="567">
        <f ca="1">AVERAGE(AL28:AL34)</f>
        <v>11.704714</v>
      </c>
      <c r="AM37" s="567">
        <f ca="1">AVERAGE(AM28:AM34)</f>
        <v>9.343114</v>
      </c>
      <c r="AN37" s="567">
        <f ca="1">AVERAGE(AN28:AN34)</f>
        <v>8.835899999999999</v>
      </c>
      <c r="AO37" s="585">
        <f ca="1">AVERAGE(AO28:AO34)</f>
        <v>0.7941383333333333</v>
      </c>
      <c r="AP37" s="585">
        <f ca="1">AVERAGE(AP28:AP34)</f>
        <v>1.3143483333333335</v>
      </c>
      <c r="AQ37" s="563"/>
      <c r="AR37" s="586"/>
      <c r="AS37" s="4"/>
      <c r="AT37" s="4"/>
      <c r="AU37" s="47"/>
      <c r="AV37" s="562" t="str">
        <f ca="1">AV19</f>
        <v>Mean</v>
      </c>
      <c r="AW37" s="441"/>
      <c r="AX37" s="563"/>
      <c r="AY37" s="569">
        <f t="shared" ref="AY37:BL37" si="20" ca="1">AVERAGE(AY28:AY34)</f>
        <v>0.1987185</v>
      </c>
      <c r="AZ37" s="585">
        <f ca="1">AVERAGE(AZ28:AZ34)</f>
        <v>1.1878633333333333</v>
      </c>
      <c r="BA37" s="569">
        <f ca="1">AVERAGE(BA28:BA34)</f>
        <v>0.014830500000000002</v>
      </c>
      <c r="BB37" s="569">
        <f ca="1">AVERAGE(BB28:BB34)</f>
        <v>0.21634205863305597</v>
      </c>
      <c r="BC37" s="569">
        <f ca="1">AVERAGE(BC28:BC34)</f>
        <v>0.7460788333333334</v>
      </c>
      <c r="BD37" s="569">
        <f ca="1">AVERAGE(BD28:BD34)</f>
        <v>0.0776135</v>
      </c>
      <c r="BE37" s="567">
        <f ca="1">AVERAGE(BE28:BE34)</f>
        <v>62.79613333333332</v>
      </c>
      <c r="BF37" s="567">
        <f ca="1">AVERAGE(BF28:BF34)</f>
        <v>4.239505</v>
      </c>
      <c r="BG37" s="567">
        <f ca="1">AVERAGE(BG28:BG34)</f>
        <v>417.7743</v>
      </c>
      <c r="BH37" s="567">
        <f ca="1">AVERAGE(BH28:BH34)</f>
        <v>15.218965000000003</v>
      </c>
      <c r="BI37" s="567">
        <f ca="1">AVERAGE(BI28:BI34)</f>
        <v>13.040391666666666</v>
      </c>
      <c r="BJ37" s="567">
        <f ca="1">AVERAGE(BJ28:BJ34)</f>
        <v>13.441250000000002</v>
      </c>
      <c r="BK37" s="585">
        <f ca="1">AVERAGE(BK28:BK34)</f>
        <v>0.9369216666666667</v>
      </c>
      <c r="BL37" s="585">
        <f ca="1">AVERAGE(BL28:BL34)</f>
        <v>1.3934300000000002</v>
      </c>
      <c r="BM37" s="563"/>
      <c r="BN37" s="586"/>
    </row>
    <row r="38" ht="13.5" customHeight="1" spans="1:66" x14ac:dyDescent="0.25">
      <c r="A38" s="4"/>
      <c r="B38" s="4"/>
      <c r="C38" s="47"/>
      <c r="D38" s="562" t="str">
        <f ca="1">D20</f>
        <v>Median</v>
      </c>
      <c r="E38" s="441"/>
      <c r="F38" s="441"/>
      <c r="G38" s="565">
        <f t="shared" ref="G38:T38" si="21" ca="1">MEDIAN(G28:G34)</f>
        <v>0.1412735</v>
      </c>
      <c r="H38" s="585">
        <f ca="1">MEDIAN(H28:H34)</f>
        <v>1.23796</v>
      </c>
      <c r="I38" s="565">
        <f ca="1">MEDIAN(I28:I34)</f>
        <v>0.0029604999999999996</v>
      </c>
      <c r="J38" s="565">
        <f ca="1">MEDIAN(J28:J34)</f>
        <v>0.28881980365470994</v>
      </c>
      <c r="K38" s="565">
        <f ca="1">MEDIAN(K28:K34)</f>
        <v>0.3920515</v>
      </c>
      <c r="L38" s="565">
        <f ca="1">MEDIAN(L28:L34)</f>
        <v>0.1454045</v>
      </c>
      <c r="M38" s="567">
        <f ca="1">MEDIAN(M28:M34)</f>
        <v>0.4146055</v>
      </c>
      <c r="N38" s="567">
        <f ca="1">MEDIAN(N28:N34)</f>
        <v>0.99198</v>
      </c>
      <c r="O38" s="567">
        <f ca="1">MEDIAN(O28:O34)</f>
        <v>0.7196834999999999</v>
      </c>
      <c r="P38" s="567">
        <f ca="1">MEDIAN(P28:P34)</f>
        <v>30.68013</v>
      </c>
      <c r="Q38" s="567">
        <f ca="1">MEDIAN(Q28:Q34)</f>
        <v>26.74721</v>
      </c>
      <c r="R38" s="567">
        <f ca="1">MEDIAN(R28:R34)</f>
        <v>23.07275</v>
      </c>
      <c r="S38" s="585">
        <f ca="1">MEDIAN(S28:S34)</f>
        <v>2.427835</v>
      </c>
      <c r="T38" s="585">
        <f ca="1">MEDIAN(T28:T34)</f>
        <v>2.573375</v>
      </c>
      <c r="U38" s="563"/>
      <c r="V38" s="586"/>
      <c r="W38" s="16"/>
      <c r="X38" s="4"/>
      <c r="Y38" s="47"/>
      <c r="Z38" s="562" t="str">
        <f ca="1">Z20</f>
        <v>Median</v>
      </c>
      <c r="AA38" s="441"/>
      <c r="AB38" s="441"/>
      <c r="AC38" s="569">
        <f t="shared" ref="AC38:AP38" si="22" ca="1">MEDIAN(AC28:AC34)</f>
        <v>0.1426605</v>
      </c>
      <c r="AD38" s="585">
        <f ca="1">MEDIAN(AD28:AD34)</f>
        <v>1.030815</v>
      </c>
      <c r="AE38" s="569">
        <f ca="1">MEDIAN(AE28:AE34)</f>
        <v>0.0196215</v>
      </c>
      <c r="AF38" s="569">
        <f ca="1">MEDIAN(AF28:AF34)</f>
        <v>0.21877749021799892</v>
      </c>
      <c r="AG38" s="569">
        <f ca="1">MEDIAN(AG28:AG34)</f>
        <v>0.4175065</v>
      </c>
      <c r="AH38" s="569">
        <f ca="1">MEDIAN(AH28:AH34)</f>
        <v>0.06629850000000001</v>
      </c>
      <c r="AI38" s="567">
        <f ca="1">MEDIAN(AI28:AI34)</f>
        <v>64.92</v>
      </c>
      <c r="AJ38" s="567">
        <f ca="1">MEDIAN(AJ28:AJ34)</f>
        <v>1.9578</v>
      </c>
      <c r="AK38" s="567">
        <f ca="1">MEDIAN(AK28:AK34)</f>
        <v>156.9997</v>
      </c>
      <c r="AL38" s="567">
        <f ca="1">MEDIAN(AL28:AL34)</f>
        <v>10.78947</v>
      </c>
      <c r="AM38" s="567">
        <f ca="1">MEDIAN(AM28:AM34)</f>
        <v>7.69298</v>
      </c>
      <c r="AN38" s="567">
        <f ca="1">MEDIAN(AN28:AN34)</f>
        <v>7.77193</v>
      </c>
      <c r="AO38" s="585">
        <f ca="1">MEDIAN(AO28:AO34)</f>
        <v>0.868565</v>
      </c>
      <c r="AP38" s="585">
        <f ca="1">MEDIAN(AP28:AP34)</f>
        <v>1.3004</v>
      </c>
      <c r="AQ38" s="563"/>
      <c r="AR38" s="586"/>
      <c r="AS38" s="4"/>
      <c r="AT38" s="4"/>
      <c r="AU38" s="47"/>
      <c r="AV38" s="562" t="str">
        <f ca="1">AV20</f>
        <v>Median</v>
      </c>
      <c r="AW38" s="441"/>
      <c r="AX38" s="441"/>
      <c r="AY38" s="569">
        <f t="shared" ref="AY38:BL38" si="23" ca="1">MEDIAN(AY28:AY34)</f>
        <v>0.19654</v>
      </c>
      <c r="AZ38" s="585">
        <f ca="1">MEDIAN(AZ28:AZ34)</f>
        <v>1.13117</v>
      </c>
      <c r="BA38" s="569">
        <f ca="1">MEDIAN(BA28:BA34)</f>
        <v>0.0158175</v>
      </c>
      <c r="BB38" s="569">
        <f ca="1">MEDIAN(BB28:BB34)</f>
        <v>0.21337290994802385</v>
      </c>
      <c r="BC38" s="569">
        <f ca="1">MEDIAN(BC28:BC34)</f>
        <v>0.276592</v>
      </c>
      <c r="BD38" s="569">
        <f ca="1">MEDIAN(BD28:BD34)</f>
        <v>0.07789650000000001</v>
      </c>
      <c r="BE38" s="567">
        <f ca="1">MEDIAN(BE28:BE34)</f>
        <v>58.53255</v>
      </c>
      <c r="BF38" s="567">
        <f ca="1">MEDIAN(BF28:BF34)</f>
        <v>2.518695</v>
      </c>
      <c r="BG38" s="567">
        <f ca="1">MEDIAN(BG28:BG34)</f>
        <v>141.67669999999998</v>
      </c>
      <c r="BH38" s="567">
        <f ca="1">MEDIAN(BH28:BH34)</f>
        <v>16.591540000000002</v>
      </c>
      <c r="BI38" s="567">
        <f ca="1">MEDIAN(BI28:BI34)</f>
        <v>14.145875</v>
      </c>
      <c r="BJ38" s="567">
        <f ca="1">MEDIAN(BJ28:BJ34)</f>
        <v>13.36862</v>
      </c>
      <c r="BK38" s="585">
        <f ca="1">MEDIAN(BK28:BK34)</f>
        <v>1.1473550000000001</v>
      </c>
      <c r="BL38" s="585">
        <f ca="1">MEDIAN(BL28:BL34)</f>
        <v>1.494945</v>
      </c>
      <c r="BM38" s="563"/>
      <c r="BN38" s="586"/>
    </row>
    <row r="39" ht="13.5" customHeight="1" spans="1:66" x14ac:dyDescent="0.25">
      <c r="A39" s="4"/>
      <c r="B39" s="4"/>
      <c r="C39" s="47" t="s">
        <v>1</v>
      </c>
      <c r="D39" s="570" t="str">
        <f ca="1">D21</f>
        <v>Low</v>
      </c>
      <c r="E39" s="571"/>
      <c r="F39" s="571"/>
      <c r="G39" s="573">
        <f t="shared" ref="G39:T39" si="24" ca="1">MIN(G28:G34)</f>
        <v>0.12157899999999999</v>
      </c>
      <c r="H39" s="587">
        <f ca="1">MIN(H28:H34)</f>
        <v>0.77608</v>
      </c>
      <c r="I39" s="573">
        <f ca="1">MIN(I28:I34)</f>
      </c>
      <c r="J39" s="573">
        <f ca="1">MIN(J28:J34)</f>
        <v>0.2168266854269613</v>
      </c>
      <c r="K39" s="573">
        <f ca="1">MIN(K28:K34)</f>
        <v>-0.294551</v>
      </c>
      <c r="L39" s="573">
        <f ca="1">MIN(L28:L34)</f>
        <v>-0.081478</v>
      </c>
      <c r="M39" s="575">
        <f ca="1">MIN(M28:M34)</f>
        <v>0.08013999999999999</v>
      </c>
      <c r="N39" s="575">
        <f ca="1">MIN(N28:N34)</f>
        <v>0.27133</v>
      </c>
      <c r="O39" s="575">
        <f ca="1">MIN(O28:O34)</f>
        <v>0.08712199999999999</v>
      </c>
      <c r="P39" s="575">
        <f ca="1">MIN(P28:P34)</f>
      </c>
      <c r="Q39" s="575">
        <f ca="1">MIN(Q28:Q34)</f>
      </c>
      <c r="R39" s="575">
        <f ca="1">MIN(R28:R34)</f>
      </c>
      <c r="S39" s="587">
        <f ca="1">MIN(S28:S34)</f>
        <v>0.27742</v>
      </c>
      <c r="T39" s="587">
        <f ca="1">MIN(T28:T34)</f>
        <v>1.19199</v>
      </c>
      <c r="U39" s="588"/>
      <c r="V39" s="589"/>
      <c r="W39" s="16"/>
      <c r="X39" s="4"/>
      <c r="Y39" s="47" t="s">
        <v>1</v>
      </c>
      <c r="Z39" s="570" t="str">
        <f ca="1">Z21</f>
        <v>Low</v>
      </c>
      <c r="AA39" s="571"/>
      <c r="AB39" s="571"/>
      <c r="AC39" s="577">
        <f t="shared" ref="AC39:AP39" si="25" ca="1">MIN(AC28:AC34)</f>
        <v>0.14074</v>
      </c>
      <c r="AD39" s="587">
        <f ca="1">MIN(AD28:AD34)</f>
        <v>0.83876</v>
      </c>
      <c r="AE39" s="577">
        <f ca="1">MIN(AE28:AE34)</f>
      </c>
      <c r="AF39" s="577">
        <f ca="1">MIN(AF28:AF34)</f>
        <v>0.17260347844787285</v>
      </c>
      <c r="AG39" s="577">
        <f ca="1">MIN(AG28:AG34)</f>
        <v>0.032482000000000004</v>
      </c>
      <c r="AH39" s="577">
        <f ca="1">MIN(AH28:AH34)</f>
        <v>-0.016131</v>
      </c>
      <c r="AI39" s="575">
        <f ca="1">MIN(AI28:AI34)</f>
        <v>31.4015</v>
      </c>
      <c r="AJ39" s="575">
        <f ca="1">MIN(AJ28:AJ34)</f>
        <v>1.2993</v>
      </c>
      <c r="AK39" s="575">
        <f ca="1">MIN(AK28:AK34)</f>
        <v>45.7758</v>
      </c>
      <c r="AL39" s="575">
        <f ca="1">MIN(AL28:AL34)</f>
        <v>5.0696</v>
      </c>
      <c r="AM39" s="575">
        <f ca="1">MIN(AM28:AM34)</f>
        <v>3.79474</v>
      </c>
      <c r="AN39" s="575">
        <f ca="1">MIN(AN28:AN34)</f>
        <v>1.76491</v>
      </c>
      <c r="AO39" s="587">
        <f ca="1">MIN(AO28:AO34)</f>
        <v>0.27742</v>
      </c>
      <c r="AP39" s="587">
        <f ca="1">MIN(AP28:AP34)</f>
        <v>1.09793</v>
      </c>
      <c r="AQ39" s="588"/>
      <c r="AR39" s="589"/>
      <c r="AS39" s="4"/>
      <c r="AT39" s="4"/>
      <c r="AU39" s="47" t="s">
        <v>1</v>
      </c>
      <c r="AV39" s="570" t="str">
        <f ca="1">AV21</f>
        <v>Low</v>
      </c>
      <c r="AW39" s="571"/>
      <c r="AX39" s="571"/>
      <c r="AY39" s="577">
        <f t="shared" ref="AY39:BL39" si="26" ca="1">MIN(AY28:AY34)</f>
        <v>0.147751</v>
      </c>
      <c r="AZ39" s="587">
        <f ca="1">MIN(AZ28:AZ34)</f>
        <v>0.95802</v>
      </c>
      <c r="BA39" s="577">
        <f ca="1">MIN(BA28:BA34)</f>
        <v>0.0030159999999999996</v>
      </c>
      <c r="BB39" s="577">
        <f ca="1">MIN(BB28:BB34)</f>
        <v>0.06270278611855058</v>
      </c>
      <c r="BC39" s="577">
        <f ca="1">MIN(BC28:BC34)</f>
        <v>0.002275</v>
      </c>
      <c r="BD39" s="577">
        <f ca="1">MIN(BD28:BD34)</f>
        <v>0.0022489999999999997</v>
      </c>
      <c r="BE39" s="575">
        <f ca="1">MIN(BE28:BE34)</f>
        <v>48.453</v>
      </c>
      <c r="BF39" s="575">
        <f ca="1">MIN(BF28:BF34)</f>
        <v>1.9578</v>
      </c>
      <c r="BG39" s="575">
        <f ca="1">MIN(BG28:BG34)</f>
        <v>93.9979</v>
      </c>
      <c r="BH39" s="575">
        <f ca="1">MIN(BH28:BH34)</f>
        <v>5.10428</v>
      </c>
      <c r="BI39" s="575">
        <f ca="1">MIN(BI28:BI34)</f>
        <v>2.66467</v>
      </c>
      <c r="BJ39" s="575">
        <f ca="1">MIN(BJ28:BJ34)</f>
        <v>6.53769</v>
      </c>
      <c r="BK39" s="587">
        <f ca="1">MIN(BK28:BK34)</f>
        <v>0.27742</v>
      </c>
      <c r="BL39" s="587">
        <f ca="1">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550</v>
      </c>
      <c r="D43" s="16"/>
      <c r="E43" s="16"/>
      <c r="F43" s="16"/>
      <c r="G43" s="595"/>
      <c r="H43" s="84"/>
      <c r="I43" s="595"/>
      <c r="J43" s="595"/>
      <c r="K43" s="595"/>
      <c r="L43" s="595"/>
      <c r="M43" s="595"/>
      <c r="N43" s="551"/>
      <c r="O43" s="595"/>
      <c r="P43" s="551"/>
      <c r="Q43" s="548"/>
      <c r="R43" s="551"/>
      <c r="S43" s="16"/>
      <c r="T43" s="595"/>
      <c r="U43" s="84"/>
      <c r="V43" s="84"/>
      <c r="W43" s="16"/>
      <c r="X43" s="4"/>
      <c r="Y43" s="47" t="s">
        <v>550</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550</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551</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 ca="1">D4</f>
        <v>Primary Peer Group</v>
      </c>
      <c r="E46" s="66"/>
      <c r="F46" s="66"/>
      <c r="G46" s="66"/>
      <c r="H46" s="66"/>
      <c r="I46" s="66"/>
      <c r="J46" s="66"/>
      <c r="K46" s="66"/>
      <c r="L46" s="66"/>
      <c r="M46" s="66"/>
      <c r="N46" s="66"/>
      <c r="O46" s="66"/>
      <c r="P46" s="66"/>
      <c r="Q46" s="66"/>
      <c r="R46" s="66"/>
      <c r="S46" s="66"/>
      <c r="T46" s="66"/>
      <c r="U46" s="66"/>
      <c r="V46" s="66"/>
      <c r="W46" s="16"/>
      <c r="X46" s="4"/>
      <c r="Y46" s="47"/>
      <c r="Z46" s="538" t="str">
        <f ca="1">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 ca="1">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27" ca="1">Q6</f>
        <v>Enterprise Value / </v>
      </c>
      <c r="R47" s="66"/>
      <c r="S47" s="66"/>
      <c r="T47" s="199">
        <f ca="1">T6</f>
        <v>1e-12</v>
      </c>
      <c r="U47" s="16"/>
      <c r="V47" s="16"/>
      <c r="W47" s="16"/>
      <c r="X47" s="4"/>
      <c r="Y47" s="47"/>
      <c r="Z47" s="84"/>
      <c r="AA47" s="84"/>
      <c r="AB47" s="16"/>
      <c r="AC47" s="16"/>
      <c r="AD47" s="16"/>
      <c r="AE47" s="16"/>
      <c r="AF47" s="16"/>
      <c r="AG47" s="16"/>
      <c r="AH47" s="16"/>
      <c r="AI47" s="16"/>
      <c r="AJ47" s="16"/>
      <c r="AK47" s="16"/>
      <c r="AL47" s="16"/>
      <c r="AM47" s="538" t="str">
        <f t="shared" ref="AM47:AM48" si="28" ca="1">AM6</f>
        <v>Enterprise Value / </v>
      </c>
      <c r="AN47" s="66"/>
      <c r="AO47" s="66"/>
      <c r="AP47" s="199">
        <f ca="1">AP6</f>
        <v>1e-12</v>
      </c>
      <c r="AQ47" s="16"/>
      <c r="AR47" s="16"/>
      <c r="AS47" s="4"/>
      <c r="AT47" s="4"/>
      <c r="AU47" s="47"/>
      <c r="AV47" s="84"/>
      <c r="AW47" s="84"/>
      <c r="AX47" s="16"/>
      <c r="AY47" s="16"/>
      <c r="AZ47" s="16"/>
      <c r="BA47" s="16"/>
      <c r="BB47" s="16"/>
      <c r="BC47" s="16"/>
      <c r="BD47" s="16"/>
      <c r="BE47" s="16"/>
      <c r="BF47" s="16"/>
      <c r="BG47" s="16"/>
      <c r="BH47" s="16"/>
      <c r="BI47" s="538" t="str">
        <f t="shared" ref="BI47:BI48" si="29" ca="1">BI6</f>
        <v>Enterprise Value / </v>
      </c>
      <c r="BJ47" s="66"/>
      <c r="BK47" s="66"/>
      <c r="BL47" s="199">
        <f ca="1">BL6</f>
        <v>1e-12</v>
      </c>
      <c r="BM47" s="16"/>
      <c r="BN47" s="16"/>
    </row>
    <row r="48" ht="13.5" customHeight="1" spans="1:66" x14ac:dyDescent="0.25" outlineLevel="1" collapsed="1">
      <c r="A48" s="4"/>
      <c r="D48" s="84"/>
      <c r="E48" s="84"/>
      <c r="F48" s="84"/>
      <c r="G48" s="84" t="str">
        <f t="shared" ref="G48:I48" si="30" ca="1">G7</f>
        <v>Market </v>
      </c>
      <c r="H48" s="84" t="str">
        <f ca="1">H7</f>
        <v>Enterprise</v>
      </c>
      <c r="I48" s="538" t="str">
        <f ca="1">I7</f>
        <v>Sales</v>
      </c>
      <c r="J48" s="66"/>
      <c r="K48" s="538" t="str">
        <f ca="1">K7</f>
        <v>EPS</v>
      </c>
      <c r="L48" s="66"/>
      <c r="M48" s="538" t="str">
        <f ca="1">M7</f>
        <v>EBITDA Margin</v>
      </c>
      <c r="N48" s="66"/>
      <c r="O48" s="538" t="str">
        <f ca="1">O7</f>
        <v>Profit Margin</v>
      </c>
      <c r="P48" s="66"/>
      <c r="Q48" s="538" t="str">
        <f ca="1">Q7</f>
        <v>EBITDA</v>
      </c>
      <c r="R48" s="66"/>
      <c r="S48" s="538" t="str">
        <f ca="1">S7</f>
        <v>Sales</v>
      </c>
      <c r="T48" s="66"/>
      <c r="U48" s="538" t="str">
        <f ca="1">U7</f>
        <v>Price / Earnings</v>
      </c>
      <c r="V48" s="66"/>
      <c r="W48" s="16"/>
      <c r="X48" s="4"/>
      <c r="Y48" s="47"/>
      <c r="Z48" s="84"/>
      <c r="AA48" s="84"/>
      <c r="AB48" s="84"/>
      <c r="AC48" s="84" t="str">
        <f t="shared" ref="AC48:AE48" si="31" ca="1">AC7</f>
        <v>Market </v>
      </c>
      <c r="AD48" s="84" t="str">
        <f ca="1">AD7</f>
        <v>Enterprise</v>
      </c>
      <c r="AE48" s="538" t="str">
        <f ca="1">AE7</f>
        <v>Sales</v>
      </c>
      <c r="AF48" s="66"/>
      <c r="AG48" s="538" t="str">
        <f ca="1">AG7</f>
        <v>EPS</v>
      </c>
      <c r="AH48" s="66"/>
      <c r="AI48" s="538" t="str">
        <f ca="1">AI7</f>
        <v>EBITDA Margin</v>
      </c>
      <c r="AJ48" s="66"/>
      <c r="AK48" s="538" t="str">
        <f ca="1">AK7</f>
        <v>Profit Margin</v>
      </c>
      <c r="AL48" s="66"/>
      <c r="AM48" s="538" t="str">
        <f ca="1">AM7</f>
        <v>EBITDA</v>
      </c>
      <c r="AN48" s="66"/>
      <c r="AO48" s="538" t="str">
        <f ca="1">AO7</f>
        <v>Sales</v>
      </c>
      <c r="AP48" s="66"/>
      <c r="AQ48" s="538" t="str">
        <f ca="1">AQ7</f>
        <v>Price / Earnings</v>
      </c>
      <c r="AR48" s="66"/>
      <c r="AS48" s="4"/>
      <c r="AT48" s="4"/>
      <c r="AU48" s="47"/>
      <c r="AV48" s="84"/>
      <c r="AW48" s="84"/>
      <c r="AX48" s="84"/>
      <c r="AY48" s="84" t="str">
        <f t="shared" ref="AY48:BA48" si="32" ca="1">AY7</f>
        <v>Market </v>
      </c>
      <c r="AZ48" s="84" t="str">
        <f ca="1">AZ7</f>
        <v>Enterprise</v>
      </c>
      <c r="BA48" s="538" t="str">
        <f ca="1">BA7</f>
        <v>Sales</v>
      </c>
      <c r="BB48" s="66"/>
      <c r="BC48" s="538" t="str">
        <f ca="1">BC7</f>
        <v>EPS</v>
      </c>
      <c r="BD48" s="66"/>
      <c r="BE48" s="538" t="str">
        <f ca="1">BE7</f>
        <v>EBITDA Margin</v>
      </c>
      <c r="BF48" s="66"/>
      <c r="BG48" s="538" t="str">
        <f ca="1">BG7</f>
        <v>Profit Margin</v>
      </c>
      <c r="BH48" s="66"/>
      <c r="BI48" s="538" t="str">
        <f ca="1">BI7</f>
        <v>EBITDA</v>
      </c>
      <c r="BJ48" s="66"/>
      <c r="BK48" s="538" t="str">
        <f ca="1">BK7</f>
        <v>Sales</v>
      </c>
      <c r="BL48" s="66"/>
      <c r="BM48" s="538" t="str">
        <f ca="1">BM7</f>
        <v>Price / Earnings</v>
      </c>
      <c r="BN48" s="66"/>
    </row>
    <row r="49" ht="13.5" customHeight="1" spans="1:66" x14ac:dyDescent="0.25" outlineLevel="1" collapsed="1">
      <c r="A49" s="4"/>
      <c r="B49" s="47"/>
      <c r="C49" s="47"/>
      <c r="D49" s="139"/>
      <c r="E49" s="84"/>
      <c r="F49" s="538" t="str">
        <f t="shared" ref="F49:V49" si="33" ca="1">F8</f>
        <v>Ticker</v>
      </c>
      <c r="G49" s="538" t="str">
        <f ca="1">G8</f>
        <v>Cap</v>
      </c>
      <c r="H49" s="538" t="str">
        <f ca="1">H8</f>
        <v>Value</v>
      </c>
      <c r="I49" s="538" t="str">
        <f ca="1">I8</f>
        <v>LTM</v>
      </c>
      <c r="J49" s="539">
        <f ca="1">J8</f>
        <v>46387</v>
      </c>
      <c r="K49" s="538" t="str">
        <f ca="1">K8</f>
        <v>LTM</v>
      </c>
      <c r="L49" s="539">
        <f ca="1">L8</f>
        <v>46387</v>
      </c>
      <c r="M49" s="538" t="str">
        <f ca="1">M8</f>
        <v>LTM</v>
      </c>
      <c r="N49" s="539">
        <f ca="1">N8</f>
        <v>46387</v>
      </c>
      <c r="O49" s="538" t="str">
        <f ca="1">O8</f>
        <v>LTM</v>
      </c>
      <c r="P49" s="539">
        <f ca="1">P8</f>
        <v>46387</v>
      </c>
      <c r="Q49" s="538" t="str">
        <f ca="1">Q8</f>
        <v>LTM</v>
      </c>
      <c r="R49" s="539">
        <f ca="1">R8</f>
        <v>46387</v>
      </c>
      <c r="S49" s="538" t="str">
        <f ca="1">S8</f>
        <v>LTM</v>
      </c>
      <c r="T49" s="539">
        <f ca="1">T8</f>
        <v>46387</v>
      </c>
      <c r="U49" s="538" t="str">
        <f ca="1">U8</f>
        <v>LTM</v>
      </c>
      <c r="V49" s="539">
        <f ca="1">V8</f>
        <v>46387</v>
      </c>
      <c r="W49" s="16"/>
      <c r="X49" s="4"/>
      <c r="Y49" s="47"/>
      <c r="Z49" s="139"/>
      <c r="AA49" s="84"/>
      <c r="AB49" s="538" t="str">
        <f t="shared" ref="AB49:AR49" si="34" ca="1">AB8</f>
        <v>Ticker</v>
      </c>
      <c r="AC49" s="538" t="str">
        <f ca="1">AC8</f>
        <v>Cap</v>
      </c>
      <c r="AD49" s="538" t="str">
        <f ca="1">AD8</f>
        <v>Value</v>
      </c>
      <c r="AE49" s="538" t="str">
        <f ca="1">AE8</f>
        <v>LTM</v>
      </c>
      <c r="AF49" s="539">
        <f ca="1">AF8</f>
        <v>46387</v>
      </c>
      <c r="AG49" s="538" t="str">
        <f ca="1">AG8</f>
        <v>LTM</v>
      </c>
      <c r="AH49" s="539">
        <f ca="1">AH8</f>
        <v>46387</v>
      </c>
      <c r="AI49" s="538" t="str">
        <f ca="1">AI8</f>
        <v>LTM</v>
      </c>
      <c r="AJ49" s="539">
        <f ca="1">AJ8</f>
        <v>46387</v>
      </c>
      <c r="AK49" s="538" t="str">
        <f ca="1">AK8</f>
        <v>LTM</v>
      </c>
      <c r="AL49" s="539">
        <f ca="1">AL8</f>
        <v>46387</v>
      </c>
      <c r="AM49" s="538" t="str">
        <f ca="1">AM8</f>
        <v>LTM</v>
      </c>
      <c r="AN49" s="539">
        <f ca="1">AN8</f>
        <v>46387</v>
      </c>
      <c r="AO49" s="538" t="str">
        <f ca="1">AO8</f>
        <v>LTM</v>
      </c>
      <c r="AP49" s="539">
        <f ca="1">AP8</f>
        <v>46387</v>
      </c>
      <c r="AQ49" s="538" t="str">
        <f ca="1">AQ8</f>
        <v>LTM</v>
      </c>
      <c r="AR49" s="539">
        <f ca="1">AR8</f>
        <v>46387</v>
      </c>
      <c r="AS49" s="4"/>
      <c r="AT49" s="4"/>
      <c r="AU49" s="47"/>
      <c r="AV49" s="139"/>
      <c r="AW49" s="84"/>
      <c r="AX49" s="538" t="str">
        <f t="shared" ref="AX49:BN49" si="35" ca="1">AX8</f>
        <v>Ticker</v>
      </c>
      <c r="AY49" s="538" t="str">
        <f ca="1">AY8</f>
        <v>Cap</v>
      </c>
      <c r="AZ49" s="538" t="str">
        <f ca="1">AZ8</f>
        <v>Value</v>
      </c>
      <c r="BA49" s="538" t="str">
        <f ca="1">BA8</f>
        <v>LTM</v>
      </c>
      <c r="BB49" s="539">
        <f ca="1">BB8</f>
        <v>46387</v>
      </c>
      <c r="BC49" s="538" t="str">
        <f ca="1">BC8</f>
        <v>LTM</v>
      </c>
      <c r="BD49" s="539">
        <f ca="1">BD8</f>
        <v>46387</v>
      </c>
      <c r="BE49" s="538" t="str">
        <f ca="1">BE8</f>
        <v>LTM</v>
      </c>
      <c r="BF49" s="539">
        <f ca="1">BF8</f>
        <v>46387</v>
      </c>
      <c r="BG49" s="538" t="str">
        <f ca="1">BG8</f>
        <v>LTM</v>
      </c>
      <c r="BH49" s="539">
        <f ca="1">BH8</f>
        <v>46387</v>
      </c>
      <c r="BI49" s="538" t="str">
        <f ca="1">BI8</f>
        <v>LTM</v>
      </c>
      <c r="BJ49" s="539">
        <f ca="1">BJ8</f>
        <v>46387</v>
      </c>
      <c r="BK49" s="538" t="str">
        <f ca="1">BK8</f>
        <v>LTM</v>
      </c>
      <c r="BL49" s="539">
        <f ca="1">BL8</f>
        <v>46387</v>
      </c>
      <c r="BM49" s="538" t="str">
        <f ca="1">BM8</f>
        <v>LTM</v>
      </c>
      <c r="BN49" s="539">
        <f ca="1">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 ca="1">B70</f>
        <v>IQ180871</v>
      </c>
      <c r="C51" s="599"/>
      <c r="D51" s="600">
        <f ca="1">_xll.ciqfunctions.udf.CIQ($B51, "IQ_COMPANY_NAME",Current_Date)</f>
      </c>
      <c r="E51" s="601"/>
      <c r="F51" s="602" t="str">
        <f ca="1">$E$89</f>
        <v>LOW</v>
      </c>
      <c r="G51" s="603">
        <f ca="1">_xll.ciqfunctions.udf.CIQ($B51, "IQ_MARKETCAP",Current_Date)</f>
      </c>
      <c r="H51" s="603">
        <f ca="1">_xll.ciqfunctions.udf.CIQ($B51, "IQ_TEV",Current_Date)</f>
      </c>
      <c r="I51" s="604">
        <f ca="1">_xll.ciqfunctions.udf.CIQ($B51, "IQ_TOTAL_REV_1YR_ANN_GROWTH",IQ_LTM,Current_Date)/100</f>
      </c>
      <c r="J51" s="604">
        <f ca="1">_xll.ciqfunctions.udf.CIQ($B51,"IQ_REVENUE_EST",IQ_FY+1)/(_xll.ciqfunctions.udf.CIQ($B51,"IQ_TOTAL_REV",IQ_FY))-1</f>
      </c>
      <c r="K51" s="604">
        <f ca="1">_xll.ciqfunctions.udf.CIQ($B51, "IQ_EPS_1YR_ANN_GROWTH",IQ_LTM,Current_Date)/100</f>
      </c>
      <c r="L51" s="604">
        <f ca="1">_xll.ciqfunctions.udf.CIQ($B51,"IQ_EPS_EST",IQ_FY+1)/(_xll.ciqfunctions.udf.CIQ($B51,"IQ_DILUT_EPS_INCL",IQ_FY))-1</f>
      </c>
      <c r="M51" s="604">
        <f ca="1">_xll.ciqfunctions.udf.CIQ($B51, "IQ_EBITDA_MARGIN",IQ_LTM)/100</f>
      </c>
      <c r="N51" s="604">
        <f ca="1">_xll.ciqfunctions.udf.CIQ($B51,"IQ_EBITDA_EST",IQ_FY+1)/(_xll.ciqfunctions.udf.CIQ($B51,"IQ_REVENUE_EST",IQ_FY+1))</f>
      </c>
      <c r="O51" s="604">
        <f ca="1">_xll.ciqfunctions.udf.CIQ($B51, "IQ_NI_MARGIN",IQ_LTM)/100</f>
      </c>
      <c r="P51" s="604">
        <f ca="1">_xll.ciqfunctions.udf.CIQ($B51,"IQ_NI_EST",IQ_FY+1)/(_xll.ciqfunctions.udf.CIQ($B51,"IQ_REVENUE_EST",IQ_FY+1))</f>
      </c>
      <c r="Q51" s="605">
        <f ca="1">_xll.ciqfunctions.udf.CIQ($B51, "IQ_TEV_EBITDA",IQ_LTM)</f>
      </c>
      <c r="R51" s="605">
        <f ca="1">_xll.ciqfunctions.udf.CIQ($B51, "IQ_TEV",Current_Date)/_xll.ciqfunctions.udf.CIQ($B51, "IQ_EBITDA_EST",IQ_FY+1)</f>
      </c>
      <c r="S51" s="605">
        <f ca="1">_xll.ciqfunctions.udf.CIQ($B51, "IQ_TEV_TOTAL_REV",IQ_LTM)</f>
      </c>
      <c r="T51" s="605">
        <f ca="1">_xll.ciqfunctions.udf.CIQ($B51, "IQ_TEV",Current_Date)/_xll.ciqfunctions.udf.CIQ($B51, "IQ_REVENUE_EST",IQ_FY+1)</f>
      </c>
      <c r="U51" s="605">
        <f ca="1">_xll.ciqfunctions.udf.CIQ($B51, "IQ_PE_EXCL",IQ_LTM)</f>
      </c>
      <c r="V51" s="605">
        <f ca="1">_xll.ciqfunctions.udf.CIQ($B51, "IQ_MARKETCAP",Current_Date)/_xll.ciqfunctions.udf.CIQ($B51, "IQ_NI_EST",IQ_FY+1)</f>
      </c>
      <c r="W51" s="16"/>
      <c r="X51" s="599" t="str">
        <f ca="1">X70</f>
        <v>IQ180871</v>
      </c>
      <c r="Y51" s="47"/>
      <c r="Z51" s="600" t="str">
        <f ca="1">Company_Name</f>
        <v>Lowe's Companies, Inc.</v>
      </c>
      <c r="AA51" s="601"/>
      <c r="AB51" s="602" t="str">
        <f ca="1">$E$89</f>
        <v>LOW</v>
      </c>
      <c r="AC51" s="603">
        <f ca="1">_xll.ciqfunctions.udf.CIQ($X51, "IQ_MARKETCAP",Current_Date)</f>
      </c>
      <c r="AD51" s="603">
        <f ca="1">_xll.ciqfunctions.udf.CIQ($X51, "IQ_TEV",Current_Date)</f>
      </c>
      <c r="AE51" s="604">
        <f ca="1">_xll.ciqfunctions.udf.CIQ($X51, "IQ_TOTAL_REV_1YR_ANN_GROWTH",IQ_LTM,Current_Date)/100</f>
      </c>
      <c r="AF51" s="604">
        <f ca="1">_xll.ciqfunctions.udf.CIQ($X51,"IQ_REVENUE_EST",IQ_FY+1)/(_xll.ciqfunctions.udf.CIQ($X51,"IQ_TOTAL_REV",IQ_FY))-1</f>
      </c>
      <c r="AG51" s="604">
        <f ca="1">_xll.ciqfunctions.udf.CIQ($X51, "IQ_EPS_1YR_ANN_GROWTH",IQ_LTM,Current_Date)/100</f>
      </c>
      <c r="AH51" s="604">
        <f ca="1">_xll.ciqfunctions.udf.CIQ($X51,"IQ_EPS_EST",IQ_FY+1)/(_xll.ciqfunctions.udf.CIQ($X51,"IQ_DILUT_EPS_INCL",IQ_FY))-1</f>
      </c>
      <c r="AI51" s="604">
        <f ca="1">_xll.ciqfunctions.udf.CIQ($X51, "IQ_EBITDA_MARGIN",IQ_LTM)/100</f>
      </c>
      <c r="AJ51" s="604">
        <f ca="1">_xll.ciqfunctions.udf.CIQ($X51,"IQ_EBITDA_EST",IQ_FY+1)/(_xll.ciqfunctions.udf.CIQ($X51,"IQ_REVENUE_EST",IQ_FY+1))</f>
      </c>
      <c r="AK51" s="604">
        <f ca="1">_xll.ciqfunctions.udf.CIQ($X51, "IQ_NI_MARGIN",IQ_LTM)/100</f>
      </c>
      <c r="AL51" s="604">
        <f ca="1">_xll.ciqfunctions.udf.CIQ($X51,"IQ_NI_EST",IQ_FY+1)/(_xll.ciqfunctions.udf.CIQ($X51,"IQ_REVENUE_EST",IQ_FY+1))</f>
      </c>
      <c r="AM51" s="605">
        <f ca="1">_xll.ciqfunctions.udf.CIQ($X51, "IQ_TEV_EBITDA",IQ_LTM)</f>
      </c>
      <c r="AN51" s="605">
        <f ca="1">_xll.ciqfunctions.udf.CIQ($X51, "IQ_TEV",Current_Date)/_xll.ciqfunctions.udf.CIQ($X51, "IQ_EBITDA_EST",IQ_FY+1)</f>
      </c>
      <c r="AO51" s="605">
        <f ca="1">_xll.ciqfunctions.udf.CIQ($X51, "IQ_TEV_TOTAL_REV",IQ_LTM)</f>
      </c>
      <c r="AP51" s="605">
        <f ca="1">_xll.ciqfunctions.udf.CIQ($X51, "IQ_TEV",Current_Date)/_xll.ciqfunctions.udf.CIQ($X51, "IQ_REVENUE_EST",IQ_FY+1)</f>
      </c>
      <c r="AQ51" s="605">
        <f ca="1">_xll.ciqfunctions.udf.CIQ($X51, "IQ_PE_EXCL",IQ_LTM)</f>
      </c>
      <c r="AR51" s="606">
        <f ca="1">_xll.ciqfunctions.udf.CIQ($X51, "IQ_MARKETCAP",Current_Date)/_xll.ciqfunctions.udf.CIQ($X51, "IQ_NI_EST",IQ_FY+1)</f>
      </c>
      <c r="AS51" s="4"/>
      <c r="AT51" s="599" t="str">
        <f ca="1">AT70</f>
        <v>IQ180871</v>
      </c>
      <c r="AU51" s="47"/>
      <c r="AV51" s="600" t="str">
        <f ca="1">Company_Name</f>
        <v>Lowe's Companies, Inc.</v>
      </c>
      <c r="AW51" s="601"/>
      <c r="AX51" s="602" t="str">
        <f ca="1">Ticker</f>
        <v>LOW</v>
      </c>
      <c r="AY51" s="603">
        <f ca="1">_xll.ciqfunctions.udf.CIQ($AT51, "IQ_MARKETCAP",Current_Date)</f>
      </c>
      <c r="AZ51" s="603">
        <f ca="1">_xll.ciqfunctions.udf.CIQ($AT51, "IQ_TEV",Current_Date)</f>
      </c>
      <c r="BA51" s="604">
        <f ca="1">_xll.ciqfunctions.udf.CIQ($AT51, "IQ_TOTAL_REV_1YR_ANN_GROWTH",IQ_LTM,Current_Date)/100</f>
      </c>
      <c r="BB51" s="604">
        <f ca="1">_xll.ciqfunctions.udf.CIQ($AT51,"IQ_REVENUE_EST",IQ_FY+1)/(_xll.ciqfunctions.udf.CIQ($AT51,"IQ_TOTAL_REV",IQ_FY))-1</f>
      </c>
      <c r="BC51" s="604">
        <f ca="1">_xll.ciqfunctions.udf.CIQ($AT51, "IQ_EPS_1YR_ANN_GROWTH",IQ_LTM,Current_Date)/100</f>
      </c>
      <c r="BD51" s="604">
        <f ca="1">_xll.ciqfunctions.udf.CIQ($AT51,"IQ_EPS_EST",IQ_FY+1)/(_xll.ciqfunctions.udf.CIQ($AT51,"IQ_DILUT_EPS_INCL",IQ_FY))-1</f>
      </c>
      <c r="BE51" s="604">
        <f ca="1">_xll.ciqfunctions.udf.CIQ($AT51, "IQ_EBITDA_MARGIN",IQ_LTM)/100</f>
      </c>
      <c r="BF51" s="604">
        <f ca="1">_xll.ciqfunctions.udf.CIQ($AT51,"IQ_EBITDA_EST",IQ_FY+1)/(_xll.ciqfunctions.udf.CIQ($AT51,"IQ_REVENUE_EST",IQ_FY+1))</f>
      </c>
      <c r="BG51" s="604">
        <f ca="1">_xll.ciqfunctions.udf.CIQ($AT51, "IQ_NI_MARGIN",IQ_LTM)/100</f>
      </c>
      <c r="BH51" s="604">
        <f ca="1">_xll.ciqfunctions.udf.CIQ($AT51,"IQ_NI_EST",IQ_FY+1)/(_xll.ciqfunctions.udf.CIQ($AT51,"IQ_REVENUE_EST",IQ_FY+1))</f>
      </c>
      <c r="BI51" s="605">
        <f ca="1">_xll.ciqfunctions.udf.CIQ($AT51, "IQ_TEV_EBITDA",IQ_LTM)</f>
      </c>
      <c r="BJ51" s="605">
        <f ca="1">_xll.ciqfunctions.udf.CIQ($AT51, "IQ_TEV",Current_Date)/_xll.ciqfunctions.udf.CIQ($AT51, "IQ_EBITDA_EST",IQ_FY+1)</f>
      </c>
      <c r="BK51" s="605">
        <f ca="1">_xll.ciqfunctions.udf.CIQ($AT51, "IQ_TEV_TOTAL_REV",IQ_LTM)</f>
      </c>
      <c r="BL51" s="605">
        <f ca="1">_xll.ciqfunctions.udf.CIQ($AT51, "IQ_TEV",Current_Date)/_xll.ciqfunctions.udf.CIQ($AT51, "IQ_REVENUE_EST",IQ_FY+1)</f>
      </c>
      <c r="BM51" s="605">
        <f ca="1">_xll.ciqfunctions.udf.CIQ($AT51, "IQ_PE_EXCL",IQ_LTM)</f>
      </c>
      <c r="BN51" s="606">
        <f ca="1">_xll.ciqfunctions.udf.CIQ($AT51, "IQ_MARKETCAP",Current_Date)/_xll.ciqfunctions.udf.CIQ($AT51, "IQ_NI_EST",IQ_FY+1)</f>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36" ca="1">B72</f>
        <v>IQ278679</v>
      </c>
      <c r="C53" s="599"/>
      <c r="D53" s="16">
        <f ca="1">_xll.ciqfunctions.udf.CIQ($B53, "IQ_COMPANY_NAME",Current_Date)</f>
      </c>
      <c r="E53" s="16"/>
      <c r="F53" s="84" t="str">
        <f t="shared" ref="F53:F57" si="37" ca="1">F72</f>
        <v>HD</v>
      </c>
      <c r="G53" s="549">
        <f ca="1">_xll.ciqfunctions.udf.CIQ($B53, "IQ_MARKETCAP",Current_Date)</f>
      </c>
      <c r="H53" s="549">
        <f ca="1">_xll.ciqfunctions.udf.CIQ($B53, "IQ_TEV",Current_Date)</f>
      </c>
      <c r="I53" s="547">
        <f ca="1">_xll.ciqfunctions.udf.CIQ($B53, "IQ_TOTAL_REV_1YR_ANN_GROWTH",IQ_LTM,Current_Date)/100</f>
      </c>
      <c r="J53" s="547">
        <f ca="1">_xll.ciqfunctions.udf.CIQ($B53,"IQ_REVENUE_EST",IQ_FY+1)/(_xll.ciqfunctions.udf.CIQ($B53,"IQ_TOTAL_REV",IQ_FY))-1</f>
      </c>
      <c r="K53" s="547">
        <f ca="1">_xll.ciqfunctions.udf.CIQ($B53, "IQ_EPS_1YR_ANN_GROWTH",IQ_LTM,Current_Date)/100</f>
      </c>
      <c r="L53" s="547">
        <f ca="1">_xll.ciqfunctions.udf.CIQ($B53,"IQ_EPS_EST",IQ_FY+1)/(_xll.ciqfunctions.udf.CIQ($B53,"IQ_DILUT_EPS_INCL",IQ_FY))-1</f>
      </c>
      <c r="M53" s="547">
        <f ca="1">_xll.ciqfunctions.udf.CIQ($B53, "IQ_EBITDA_MARGIN",IQ_LTM)/100</f>
      </c>
      <c r="N53" s="547">
        <f ca="1">_xll.ciqfunctions.udf.CIQ($B53,"IQ_EBITDA_EST",IQ_FY+1)/(_xll.ciqfunctions.udf.CIQ($B53,"IQ_REVENUE_EST",IQ_FY+1))</f>
      </c>
      <c r="O53" s="547">
        <f ca="1">_xll.ciqfunctions.udf.CIQ($B53, "IQ_NI_MARGIN",IQ_LTM)/100</f>
      </c>
      <c r="P53" s="547">
        <f ca="1">_xll.ciqfunctions.udf.CIQ($B53,"IQ_NI_EST",IQ_FY+1)/(_xll.ciqfunctions.udf.CIQ($B53,"IQ_REVENUE_EST",IQ_FY+1))</f>
      </c>
      <c r="Q53" s="551">
        <f ca="1">_xll.ciqfunctions.udf.CIQ($B53, "IQ_TEV_EBITDA",IQ_LTM)</f>
      </c>
      <c r="R53" s="551">
        <f ca="1">_xll.ciqfunctions.udf.CIQ($B53, "IQ_TEV",Current_Date)/_xll.ciqfunctions.udf.CIQ($B53, "IQ_EBITDA_EST",IQ_FY+1)</f>
      </c>
      <c r="S53" s="551">
        <f ca="1">_xll.ciqfunctions.udf.CIQ($B53, "IQ_TEV_TOTAL_REV",IQ_LTM)</f>
      </c>
      <c r="T53" s="551">
        <f ca="1">_xll.ciqfunctions.udf.CIQ($B53, "IQ_TEV",Current_Date)/_xll.ciqfunctions.udf.CIQ($B53, "IQ_REVENUE_EST",IQ_FY+1)</f>
      </c>
      <c r="U53" s="551">
        <f ca="1">_xll.ciqfunctions.udf.CIQ($B53, "IQ_PE_EXCL",IQ_LTM)</f>
      </c>
      <c r="V53" s="551">
        <f ca="1">_xll.ciqfunctions.udf.CIQ($B53, "IQ_MARKETCAP",Current_Date)/_xll.ciqfunctions.udf.CIQ($B53, "IQ_NI_EST",IQ_FY+1)</f>
      </c>
      <c r="W53" s="16"/>
      <c r="X53" s="599" t="str">
        <f t="shared" ref="X53:X57" si="38" ca="1">X72</f>
        <v>IQ159230</v>
      </c>
      <c r="Y53" s="47"/>
      <c r="Z53" s="16">
        <f ca="1">_xll.ciqfunctions.udf.CIQ($X53, "IQ_COMPANY_NAME",Current_Date)</f>
      </c>
      <c r="AA53" s="16"/>
      <c r="AB53" s="84" t="str">
        <f t="shared" ref="AB53:AB57" si="39" ca="1">AB72</f>
        <v>RTX</v>
      </c>
      <c r="AC53" s="549">
        <f ca="1">_xll.ciqfunctions.udf.CIQ($X53, "IQ_MARKETCAP",Current_Date)</f>
      </c>
      <c r="AD53" s="549">
        <f ca="1">_xll.ciqfunctions.udf.CIQ($X53, "IQ_TEV",Current_Date)</f>
      </c>
      <c r="AE53" s="547">
        <f ca="1">_xll.ciqfunctions.udf.CIQ($X53, "IQ_TOTAL_REV_1YR_ANN_GROWTH",IQ_LTM,Current_Date)/100</f>
      </c>
      <c r="AF53" s="547">
        <f ca="1">_xll.ciqfunctions.udf.CIQ($X53,"IQ_REVENUE_EST",IQ_FY+1)/(_xll.ciqfunctions.udf.CIQ($X53,"IQ_TOTAL_REV",IQ_FY))-1</f>
      </c>
      <c r="AG53" s="547">
        <f ca="1">_xll.ciqfunctions.udf.CIQ($X53, "IQ_EPS_1YR_ANN_GROWTH",IQ_LTM,Current_Date)/100</f>
      </c>
      <c r="AH53" s="547">
        <f ca="1">_xll.ciqfunctions.udf.CIQ($X53,"IQ_EPS_EST",IQ_FY+1)/(_xll.ciqfunctions.udf.CIQ($X53,"IQ_DILUT_EPS_INCL",IQ_FY))-1</f>
      </c>
      <c r="AI53" s="547">
        <f ca="1">_xll.ciqfunctions.udf.CIQ($X53, "IQ_EBITDA_MARGIN",IQ_LTM)/100</f>
      </c>
      <c r="AJ53" s="547">
        <f ca="1">_xll.ciqfunctions.udf.CIQ($X53,"IQ_EBITDA_EST",IQ_FY+1)/(_xll.ciqfunctions.udf.CIQ($X53,"IQ_REVENUE_EST",IQ_FY+1))</f>
      </c>
      <c r="AK53" s="547">
        <f ca="1">_xll.ciqfunctions.udf.CIQ($X53, "IQ_NI_MARGIN",IQ_LTM)/100</f>
      </c>
      <c r="AL53" s="547">
        <f ca="1">_xll.ciqfunctions.udf.CIQ($X53,"IQ_NI_EST",IQ_FY+1)/(_xll.ciqfunctions.udf.CIQ($X53,"IQ_REVENUE_EST",IQ_FY+1))</f>
      </c>
      <c r="AM53" s="551">
        <f ca="1">_xll.ciqfunctions.udf.CIQ($X53, "IQ_TEV_EBITDA",IQ_LTM)</f>
      </c>
      <c r="AN53" s="551">
        <f ca="1">_xll.ciqfunctions.udf.CIQ($X53, "IQ_TEV",Current_Date)/_xll.ciqfunctions.udf.CIQ($X53, "IQ_EBITDA_EST",IQ_FY+1)</f>
      </c>
      <c r="AO53" s="551">
        <f ca="1">_xll.ciqfunctions.udf.CIQ($X53, "IQ_TEV_TOTAL_REV",IQ_LTM)</f>
      </c>
      <c r="AP53" s="551">
        <f ca="1">_xll.ciqfunctions.udf.CIQ($X53, "IQ_TEV",Current_Date)/_xll.ciqfunctions.udf.CIQ($X53, "IQ_REVENUE_EST",IQ_FY+1)</f>
      </c>
      <c r="AQ53" s="551">
        <f ca="1">_xll.ciqfunctions.udf.CIQ($X53, "IQ_PE_EXCL",IQ_LTM)</f>
      </c>
      <c r="AR53" s="551">
        <f ca="1">_xll.ciqfunctions.udf.CIQ($X53, "IQ_MARKETCAP",Current_Date)/_xll.ciqfunctions.udf.CIQ($X53, "IQ_NI_EST",IQ_FY+1)</f>
      </c>
      <c r="AS53" s="4"/>
      <c r="AT53" s="599" t="str">
        <f t="shared" ref="AT53:AT57" si="40" ca="1">AT72</f>
        <v>IQ289194</v>
      </c>
      <c r="AU53" s="47"/>
      <c r="AV53" s="16">
        <f ca="1">_xll.ciqfunctions.udf.CIQ($AT53, "IQ_COMPANY_NAME",Current_Date)</f>
      </c>
      <c r="AW53" s="16"/>
      <c r="AX53" s="84" t="str">
        <f ca="1">N93</f>
        <v>MMM</v>
      </c>
      <c r="AY53" s="549">
        <f ca="1">_xll.ciqfunctions.udf.CIQ($AT53, "IQ_MARKETCAP",Current_Date)</f>
      </c>
      <c r="AZ53" s="549">
        <f ca="1">_xll.ciqfunctions.udf.CIQ($AT53, "IQ_TEV",Current_Date)</f>
      </c>
      <c r="BA53" s="547">
        <f ca="1">_xll.ciqfunctions.udf.CIQ($AT53, "IQ_TOTAL_REV_1YR_ANN_GROWTH",IQ_LTM,Current_Date)/100</f>
      </c>
      <c r="BB53" s="547">
        <f ca="1">_xll.ciqfunctions.udf.CIQ($AT53,"IQ_REVENUE_EST",IQ_FY+1)/(_xll.ciqfunctions.udf.CIQ($AT53,"IQ_TOTAL_REV",IQ_FY))-1</f>
      </c>
      <c r="BC53" s="547">
        <f ca="1">_xll.ciqfunctions.udf.CIQ($AT53, "IQ_EPS_1YR_ANN_GROWTH",IQ_LTM,Current_Date)/100</f>
      </c>
      <c r="BD53" s="547">
        <f ca="1">_xll.ciqfunctions.udf.CIQ($AT53,"IQ_EPS_EST",IQ_FY+1)/(_xll.ciqfunctions.udf.CIQ($AT53,"IQ_DILUT_EPS_INCL",IQ_FY))-1</f>
      </c>
      <c r="BE53" s="547">
        <f ca="1">_xll.ciqfunctions.udf.CIQ($AT53, "IQ_EBITDA_MARGIN",IQ_LTM)/100</f>
      </c>
      <c r="BF53" s="547">
        <f ca="1">_xll.ciqfunctions.udf.CIQ($AT53,"IQ_EBITDA_EST",IQ_FY+1)/(_xll.ciqfunctions.udf.CIQ($AT53,"IQ_REVENUE_EST",IQ_FY+1))</f>
      </c>
      <c r="BG53" s="547">
        <f ca="1">_xll.ciqfunctions.udf.CIQ($AT53, "IQ_NI_MARGIN",IQ_LTM)/100</f>
      </c>
      <c r="BH53" s="547">
        <f ca="1">_xll.ciqfunctions.udf.CIQ($AT53,"IQ_NI_EST",IQ_FY+1)/(_xll.ciqfunctions.udf.CIQ($AT53,"IQ_REVENUE_EST",IQ_FY+1))</f>
      </c>
      <c r="BI53" s="551">
        <f ca="1">_xll.ciqfunctions.udf.CIQ($AT53, "IQ_TEV_EBITDA",IQ_LTM)</f>
      </c>
      <c r="BJ53" s="551">
        <f ca="1">_xll.ciqfunctions.udf.CIQ($AT53, "IQ_TEV",Current_Date)/_xll.ciqfunctions.udf.CIQ($AT53, "IQ_EBITDA_EST",IQ_FY+1)</f>
      </c>
      <c r="BK53" s="551">
        <f ca="1">_xll.ciqfunctions.udf.CIQ($AT53, "IQ_TEV_TOTAL_REV",IQ_LTM)</f>
      </c>
      <c r="BL53" s="551">
        <f ca="1">_xll.ciqfunctions.udf.CIQ($AT53, "IQ_TEV",Current_Date)/_xll.ciqfunctions.udf.CIQ($AT53, "IQ_REVENUE_EST",IQ_FY+1)</f>
      </c>
      <c r="BM53" s="551">
        <f ca="1">_xll.ciqfunctions.udf.CIQ($AT53, "IQ_PE_EXCL",IQ_LTM)</f>
      </c>
      <c r="BN53" s="551">
        <f ca="1">_xll.ciqfunctions.udf.CIQ($AT53, "IQ_MARKETCAP",Current_Date)/_xll.ciqfunctions.udf.CIQ($AT53, "IQ_NI_EST",IQ_FY+1)</f>
      </c>
    </row>
    <row r="54" ht="13.5" customHeight="1" spans="1:66" x14ac:dyDescent="0.25" outlineLevel="1" collapsed="1">
      <c r="A54" s="4"/>
      <c r="B54" s="599" t="str">
        <f ca="1">B73</f>
        <v>IQ20765463</v>
      </c>
      <c r="C54" s="599"/>
      <c r="D54" s="16">
        <f ca="1">_xll.ciqfunctions.udf.CIQ($B54, "IQ_COMPANY_NAME",Current_Date)</f>
      </c>
      <c r="E54" s="16"/>
      <c r="F54" s="84" t="str">
        <f ca="1">F73</f>
        <v>""</v>
      </c>
      <c r="G54" s="549">
        <f ca="1">_xll.ciqfunctions.udf.CIQ($B54, "IQ_MARKETCAP",Current_Date)</f>
      </c>
      <c r="H54" s="549">
        <f ca="1">_xll.ciqfunctions.udf.CIQ($B54, "IQ_TEV",Current_Date)</f>
      </c>
      <c r="I54" s="547">
        <f ca="1">_xll.ciqfunctions.udf.CIQ($B54, "IQ_TOTAL_REV_1YR_ANN_GROWTH",IQ_LTM,Current_Date)/100</f>
      </c>
      <c r="J54" s="547">
        <f ca="1">_xll.ciqfunctions.udf.CIQ($B54,"IQ_REVENUE_EST",IQ_FY+1)/(_xll.ciqfunctions.udf.CIQ($B54,"IQ_TOTAL_REV",IQ_FY))-1</f>
      </c>
      <c r="K54" s="547">
        <f ca="1">_xll.ciqfunctions.udf.CIQ($B54, "IQ_EPS_1YR_ANN_GROWTH",IQ_LTM,Current_Date)/100</f>
      </c>
      <c r="L54" s="547">
        <f ca="1">_xll.ciqfunctions.udf.CIQ($B54,"IQ_EPS_EST",IQ_FY+1)/(_xll.ciqfunctions.udf.CIQ($B54,"IQ_DILUT_EPS_INCL",IQ_FY))-1</f>
      </c>
      <c r="M54" s="547">
        <f ca="1">_xll.ciqfunctions.udf.CIQ($B54, "IQ_EBITDA_MARGIN",IQ_LTM)/100</f>
      </c>
      <c r="N54" s="547">
        <f ca="1">_xll.ciqfunctions.udf.CIQ($B54,"IQ_EBITDA_EST",IQ_FY+1)/(_xll.ciqfunctions.udf.CIQ($B54,"IQ_REVENUE_EST",IQ_FY+1))</f>
      </c>
      <c r="O54" s="547">
        <f ca="1">_xll.ciqfunctions.udf.CIQ($B54, "IQ_NI_MARGIN",IQ_LTM)/100</f>
      </c>
      <c r="P54" s="547">
        <f ca="1">_xll.ciqfunctions.udf.CIQ($B54,"IQ_NI_EST",IQ_FY+1)/(_xll.ciqfunctions.udf.CIQ($B54,"IQ_REVENUE_EST",IQ_FY+1))</f>
      </c>
      <c r="Q54" s="551">
        <f ca="1">_xll.ciqfunctions.udf.CIQ($B54, "IQ_TEV_EBITDA",IQ_LTM)</f>
      </c>
      <c r="R54" s="551">
        <f ca="1">_xll.ciqfunctions.udf.CIQ($B54, "IQ_TEV",Current_Date)/_xll.ciqfunctions.udf.CIQ($B54, "IQ_EBITDA_EST",IQ_FY+1)</f>
      </c>
      <c r="S54" s="551">
        <f ca="1">_xll.ciqfunctions.udf.CIQ($B54, "IQ_TEV_TOTAL_REV",IQ_LTM)</f>
      </c>
      <c r="T54" s="551">
        <f ca="1">_xll.ciqfunctions.udf.CIQ($B54, "IQ_TEV",Current_Date)/_xll.ciqfunctions.udf.CIQ($B54, "IQ_REVENUE_EST",IQ_FY+1)</f>
      </c>
      <c r="U54" s="551">
        <f ca="1">_xll.ciqfunctions.udf.CIQ($B54, "IQ_PE_EXCL",IQ_LTM)</f>
      </c>
      <c r="V54" s="551">
        <f ca="1">_xll.ciqfunctions.udf.CIQ($B54, "IQ_MARKETCAP",Current_Date)/_xll.ciqfunctions.udf.CIQ($B54, "IQ_NI_EST",IQ_FY+1)</f>
      </c>
      <c r="W54" s="16"/>
      <c r="X54" s="599" t="str">
        <f ca="1">X73</f>
        <v>IQ370857</v>
      </c>
      <c r="Y54" s="47"/>
      <c r="Z54" s="16">
        <f ca="1">_xll.ciqfunctions.udf.CIQ($X54, "IQ_COMPANY_NAME",Current_Date)</f>
      </c>
      <c r="AA54" s="16"/>
      <c r="AB54" s="84" t="str">
        <f ca="1">AB73</f>
        <v>BA</v>
      </c>
      <c r="AC54" s="549">
        <f ca="1">_xll.ciqfunctions.udf.CIQ($X54, "IQ_MARKETCAP",Current_Date)</f>
      </c>
      <c r="AD54" s="549">
        <f ca="1">_xll.ciqfunctions.udf.CIQ($X54, "IQ_TEV",Current_Date)</f>
      </c>
      <c r="AE54" s="547">
        <f ca="1">_xll.ciqfunctions.udf.CIQ($X54, "IQ_TOTAL_REV_1YR_ANN_GROWTH",IQ_LTM,Current_Date)/100</f>
      </c>
      <c r="AF54" s="547">
        <f ca="1">_xll.ciqfunctions.udf.CIQ($X54,"IQ_REVENUE_EST",IQ_FY+1)/(_xll.ciqfunctions.udf.CIQ($X54,"IQ_TOTAL_REV",IQ_FY))-1</f>
      </c>
      <c r="AG54" s="547">
        <f ca="1">_xll.ciqfunctions.udf.CIQ($X54, "IQ_EPS_1YR_ANN_GROWTH",IQ_LTM,Current_Date)/100</f>
      </c>
      <c r="AH54" s="547">
        <f ca="1">_xll.ciqfunctions.udf.CIQ($X54,"IQ_EPS_EST",IQ_FY+1)/(_xll.ciqfunctions.udf.CIQ($X54,"IQ_DILUT_EPS_INCL",IQ_FY))-1</f>
      </c>
      <c r="AI54" s="547">
        <f ca="1">_xll.ciqfunctions.udf.CIQ($X54, "IQ_EBITDA_MARGIN",IQ_LTM)/100</f>
      </c>
      <c r="AJ54" s="547">
        <f ca="1">_xll.ciqfunctions.udf.CIQ($X54,"IQ_EBITDA_EST",IQ_FY+1)/(_xll.ciqfunctions.udf.CIQ($X54,"IQ_REVENUE_EST",IQ_FY+1))</f>
      </c>
      <c r="AK54" s="547">
        <f ca="1">_xll.ciqfunctions.udf.CIQ($X54, "IQ_NI_MARGIN",IQ_LTM)/100</f>
      </c>
      <c r="AL54" s="547">
        <f ca="1">_xll.ciqfunctions.udf.CIQ($X54,"IQ_NI_EST",IQ_FY+1)/(_xll.ciqfunctions.udf.CIQ($X54,"IQ_REVENUE_EST",IQ_FY+1))</f>
      </c>
      <c r="AM54" s="551">
        <f ca="1">_xll.ciqfunctions.udf.CIQ($X54, "IQ_TEV_EBITDA",IQ_LTM)</f>
      </c>
      <c r="AN54" s="551">
        <f ca="1">_xll.ciqfunctions.udf.CIQ($X54, "IQ_TEV",Current_Date)/_xll.ciqfunctions.udf.CIQ($X54, "IQ_EBITDA_EST",IQ_FY+1)</f>
      </c>
      <c r="AO54" s="551">
        <f ca="1">_xll.ciqfunctions.udf.CIQ($X54, "IQ_TEV_TOTAL_REV",IQ_LTM)</f>
      </c>
      <c r="AP54" s="551">
        <f ca="1">_xll.ciqfunctions.udf.CIQ($X54, "IQ_TEV",Current_Date)/_xll.ciqfunctions.udf.CIQ($X54, "IQ_REVENUE_EST",IQ_FY+1)</f>
      </c>
      <c r="AQ54" s="551">
        <f ca="1">_xll.ciqfunctions.udf.CIQ($X54, "IQ_PE_EXCL",IQ_LTM)</f>
      </c>
      <c r="AR54" s="551">
        <f ca="1">_xll.ciqfunctions.udf.CIQ($X54, "IQ_MARKETCAP",Current_Date)/_xll.ciqfunctions.udf.CIQ($X54, "IQ_NI_EST",IQ_FY+1)</f>
      </c>
      <c r="AS54" s="4"/>
      <c r="AT54" s="599" t="str">
        <f ca="1">AT73</f>
        <v>IQ177031</v>
      </c>
      <c r="AU54" s="47"/>
      <c r="AV54" s="16">
        <f ca="1">_xll.ciqfunctions.udf.CIQ($AT54, "IQ_COMPANY_NAME",Current_Date)</f>
      </c>
      <c r="AW54" s="16"/>
      <c r="AX54" s="84" t="str">
        <f ca="1">N97</f>
        <v>GE</v>
      </c>
      <c r="AY54" s="549">
        <f ca="1">_xll.ciqfunctions.udf.CIQ($AT54, "IQ_MARKETCAP",Current_Date)</f>
      </c>
      <c r="AZ54" s="549">
        <f ca="1">_xll.ciqfunctions.udf.CIQ($AT54, "IQ_TEV",Current_Date)</f>
      </c>
      <c r="BA54" s="547">
        <f ca="1">_xll.ciqfunctions.udf.CIQ($AT54, "IQ_TOTAL_REV_1YR_ANN_GROWTH",IQ_LTM,Current_Date)/100</f>
      </c>
      <c r="BB54" s="547">
        <f ca="1">_xll.ciqfunctions.udf.CIQ($AT54,"IQ_REVENUE_EST",IQ_FY+1)/(_xll.ciqfunctions.udf.CIQ($AT54,"IQ_TOTAL_REV",IQ_FY))-1</f>
      </c>
      <c r="BC54" s="547">
        <f ca="1">_xll.ciqfunctions.udf.CIQ($AT54, "IQ_EPS_1YR_ANN_GROWTH",IQ_LTM,Current_Date)/100</f>
      </c>
      <c r="BD54" s="547">
        <f ca="1">_xll.ciqfunctions.udf.CIQ($AT54,"IQ_EPS_EST",IQ_FY+1)/(_xll.ciqfunctions.udf.CIQ($AT54,"IQ_DILUT_EPS_INCL",IQ_FY))-1</f>
      </c>
      <c r="BE54" s="547">
        <f ca="1">_xll.ciqfunctions.udf.CIQ($AT54, "IQ_EBITDA_MARGIN",IQ_LTM)/100</f>
      </c>
      <c r="BF54" s="547">
        <f ca="1">_xll.ciqfunctions.udf.CIQ($AT54,"IQ_EBITDA_EST",IQ_FY+1)/(_xll.ciqfunctions.udf.CIQ($AT54,"IQ_REVENUE_EST",IQ_FY+1))</f>
      </c>
      <c r="BG54" s="547">
        <f ca="1">_xll.ciqfunctions.udf.CIQ($AT54, "IQ_NI_MARGIN",IQ_LTM)/100</f>
      </c>
      <c r="BH54" s="547">
        <f ca="1">_xll.ciqfunctions.udf.CIQ($AT54,"IQ_NI_EST",IQ_FY+1)/(_xll.ciqfunctions.udf.CIQ($AT54,"IQ_REVENUE_EST",IQ_FY+1))</f>
      </c>
      <c r="BI54" s="551">
        <f ca="1">_xll.ciqfunctions.udf.CIQ($AT54, "IQ_TEV_EBITDA",IQ_LTM)</f>
      </c>
      <c r="BJ54" s="551">
        <f ca="1">_xll.ciqfunctions.udf.CIQ($AT54, "IQ_TEV",Current_Date)/_xll.ciqfunctions.udf.CIQ($AT54, "IQ_EBITDA_EST",IQ_FY+1)</f>
      </c>
      <c r="BK54" s="551">
        <f ca="1">_xll.ciqfunctions.udf.CIQ($AT54, "IQ_TEV_TOTAL_REV",IQ_LTM)</f>
      </c>
      <c r="BL54" s="551">
        <f ca="1">_xll.ciqfunctions.udf.CIQ($AT54, "IQ_TEV",Current_Date)/_xll.ciqfunctions.udf.CIQ($AT54, "IQ_REVENUE_EST",IQ_FY+1)</f>
      </c>
      <c r="BM54" s="551">
        <f ca="1">_xll.ciqfunctions.udf.CIQ($AT54, "IQ_PE_EXCL",IQ_LTM)</f>
      </c>
      <c r="BN54" s="551">
        <f ca="1">_xll.ciqfunctions.udf.CIQ($AT54, "IQ_MARKETCAP",Current_Date)/_xll.ciqfunctions.udf.CIQ($AT54, "IQ_NI_EST",IQ_FY+1)</f>
      </c>
    </row>
    <row r="55" ht="13.5" customHeight="1" spans="1:66" x14ac:dyDescent="0.25" outlineLevel="1" collapsed="1">
      <c r="A55" s="4"/>
      <c r="B55" s="599" t="str">
        <f ca="1">B74</f>
        <v>IQ21835</v>
      </c>
      <c r="C55" s="599"/>
      <c r="D55" s="16">
        <f ca="1">_xll.ciqfunctions.udf.CIQ($B55, "IQ_COMPANY_NAME",Current_Date)</f>
      </c>
      <c r="E55" s="16"/>
      <c r="F55" s="84" t="str">
        <f ca="1">F74</f>
        <v>""</v>
      </c>
      <c r="G55" s="549">
        <f ca="1">_xll.ciqfunctions.udf.CIQ($B55, "IQ_MARKETCAP",Current_Date)</f>
      </c>
      <c r="H55" s="549">
        <f ca="1">_xll.ciqfunctions.udf.CIQ($B55, "IQ_TEV",Current_Date)</f>
      </c>
      <c r="I55" s="547">
        <f ca="1">_xll.ciqfunctions.udf.CIQ($B55, "IQ_TOTAL_REV_1YR_ANN_GROWTH",IQ_LTM,Current_Date)/100</f>
      </c>
      <c r="J55" s="547">
        <f ca="1">_xll.ciqfunctions.udf.CIQ($B55,"IQ_REVENUE_EST",IQ_FY+1)/(_xll.ciqfunctions.udf.CIQ($B55,"IQ_TOTAL_REV",IQ_FY))-1</f>
      </c>
      <c r="K55" s="547">
        <f ca="1">_xll.ciqfunctions.udf.CIQ($B55, "IQ_EPS_1YR_ANN_GROWTH",IQ_LTM,Current_Date)/100</f>
      </c>
      <c r="L55" s="547">
        <f ca="1">_xll.ciqfunctions.udf.CIQ($B55,"IQ_EPS_EST",IQ_FY+1)/(_xll.ciqfunctions.udf.CIQ($B55,"IQ_DILUT_EPS_INCL",IQ_FY))-1</f>
      </c>
      <c r="M55" s="547">
        <f ca="1">_xll.ciqfunctions.udf.CIQ($B55, "IQ_EBITDA_MARGIN",IQ_LTM)/100</f>
      </c>
      <c r="N55" s="547">
        <f ca="1">_xll.ciqfunctions.udf.CIQ($B55,"IQ_EBITDA_EST",IQ_FY+1)/(_xll.ciqfunctions.udf.CIQ($B55,"IQ_REVENUE_EST",IQ_FY+1))</f>
      </c>
      <c r="O55" s="547">
        <f ca="1">_xll.ciqfunctions.udf.CIQ($B55, "IQ_NI_MARGIN",IQ_LTM)/100</f>
      </c>
      <c r="P55" s="547">
        <f ca="1">_xll.ciqfunctions.udf.CIQ($B55,"IQ_NI_EST",IQ_FY+1)/(_xll.ciqfunctions.udf.CIQ($B55,"IQ_REVENUE_EST",IQ_FY+1))</f>
      </c>
      <c r="Q55" s="551">
        <f ca="1">_xll.ciqfunctions.udf.CIQ($B55, "IQ_TEV_EBITDA",IQ_LTM)</f>
      </c>
      <c r="R55" s="551">
        <f ca="1">_xll.ciqfunctions.udf.CIQ($B55, "IQ_TEV",Current_Date)/_xll.ciqfunctions.udf.CIQ($B55, "IQ_EBITDA_EST",IQ_FY+1)</f>
      </c>
      <c r="S55" s="551">
        <f ca="1">_xll.ciqfunctions.udf.CIQ($B55, "IQ_TEV_TOTAL_REV",IQ_LTM)</f>
      </c>
      <c r="T55" s="551">
        <f ca="1">_xll.ciqfunctions.udf.CIQ($B55, "IQ_TEV",Current_Date)/_xll.ciqfunctions.udf.CIQ($B55, "IQ_REVENUE_EST",IQ_FY+1)</f>
      </c>
      <c r="U55" s="551">
        <f ca="1">_xll.ciqfunctions.udf.CIQ($B55, "IQ_PE_EXCL",IQ_LTM)</f>
      </c>
      <c r="V55" s="551">
        <f ca="1">_xll.ciqfunctions.udf.CIQ($B55, "IQ_MARKETCAP",Current_Date)/_xll.ciqfunctions.udf.CIQ($B55, "IQ_NI_EST",IQ_FY+1)</f>
      </c>
      <c r="W55" s="16"/>
      <c r="X55" s="599" t="str">
        <f ca="1">X74</f>
        <v>IQ363263</v>
      </c>
      <c r="Y55" s="47"/>
      <c r="Z55" s="16">
        <f ca="1">_xll.ciqfunctions.udf.CIQ($X55, "IQ_COMPANY_NAME",Current_Date)</f>
      </c>
      <c r="AA55" s="16"/>
      <c r="AB55" s="84" t="str">
        <f ca="1">AB74</f>
        <v>HII</v>
      </c>
      <c r="AC55" s="549">
        <f ca="1">_xll.ciqfunctions.udf.CIQ($X55, "IQ_MARKETCAP",Current_Date)</f>
      </c>
      <c r="AD55" s="549">
        <f ca="1">_xll.ciqfunctions.udf.CIQ($X55, "IQ_TEV",Current_Date)</f>
      </c>
      <c r="AE55" s="547">
        <f ca="1">_xll.ciqfunctions.udf.CIQ($X55, "IQ_TOTAL_REV_1YR_ANN_GROWTH",IQ_LTM,Current_Date)/100</f>
      </c>
      <c r="AF55" s="547">
        <f ca="1">_xll.ciqfunctions.udf.CIQ($X55,"IQ_REVENUE_EST",IQ_FY+1)/(_xll.ciqfunctions.udf.CIQ($X55,"IQ_TOTAL_REV",IQ_FY))-1</f>
      </c>
      <c r="AG55" s="547">
        <f ca="1">_xll.ciqfunctions.udf.CIQ($X55, "IQ_EPS_1YR_ANN_GROWTH",IQ_LTM,Current_Date)/100</f>
      </c>
      <c r="AH55" s="547">
        <f ca="1">_xll.ciqfunctions.udf.CIQ($X55,"IQ_EPS_EST",IQ_FY+1)/(_xll.ciqfunctions.udf.CIQ($X55,"IQ_DILUT_EPS_INCL",IQ_FY))-1</f>
      </c>
      <c r="AI55" s="547">
        <f ca="1">_xll.ciqfunctions.udf.CIQ($X55, "IQ_EBITDA_MARGIN",IQ_LTM)/100</f>
      </c>
      <c r="AJ55" s="547">
        <f ca="1">_xll.ciqfunctions.udf.CIQ($X55,"IQ_EBITDA_EST",IQ_FY+1)/(_xll.ciqfunctions.udf.CIQ($X55,"IQ_REVENUE_EST",IQ_FY+1))</f>
      </c>
      <c r="AK55" s="547">
        <f ca="1">_xll.ciqfunctions.udf.CIQ($X55, "IQ_NI_MARGIN",IQ_LTM)/100</f>
      </c>
      <c r="AL55" s="547">
        <f ca="1">_xll.ciqfunctions.udf.CIQ($X55,"IQ_NI_EST",IQ_FY+1)/(_xll.ciqfunctions.udf.CIQ($X55,"IQ_REVENUE_EST",IQ_FY+1))</f>
      </c>
      <c r="AM55" s="551">
        <f ca="1">_xll.ciqfunctions.udf.CIQ($X55, "IQ_TEV_EBITDA",IQ_LTM)</f>
      </c>
      <c r="AN55" s="551">
        <f ca="1">_xll.ciqfunctions.udf.CIQ($X55, "IQ_TEV",Current_Date)/_xll.ciqfunctions.udf.CIQ($X55, "IQ_EBITDA_EST",IQ_FY+1)</f>
      </c>
      <c r="AO55" s="551">
        <f ca="1">_xll.ciqfunctions.udf.CIQ($X55, "IQ_TEV_TOTAL_REV",IQ_LTM)</f>
      </c>
      <c r="AP55" s="551">
        <f ca="1">_xll.ciqfunctions.udf.CIQ($X55, "IQ_TEV",Current_Date)/_xll.ciqfunctions.udf.CIQ($X55, "IQ_REVENUE_EST",IQ_FY+1)</f>
      </c>
      <c r="AQ55" s="551">
        <f ca="1">_xll.ciqfunctions.udf.CIQ($X55, "IQ_PE_EXCL",IQ_LTM)</f>
      </c>
      <c r="AR55" s="551">
        <f ca="1">_xll.ciqfunctions.udf.CIQ($X55, "IQ_MARKETCAP",Current_Date)/_xll.ciqfunctions.udf.CIQ($X55, "IQ_NI_EST",IQ_FY+1)</f>
      </c>
      <c r="AS55" s="4"/>
      <c r="AT55" s="599" t="str">
        <f ca="1">AT74</f>
        <v>IQ1340740</v>
      </c>
      <c r="AU55" s="47"/>
      <c r="AV55" s="16">
        <f ca="1">_xll.ciqfunctions.udf.CIQ($AT55, "IQ_COMPANY_NAME",Current_Date)</f>
      </c>
      <c r="AW55" s="16"/>
      <c r="AX55" s="84" t="str">
        <f ca="1">N101</f>
        <v>HON</v>
      </c>
      <c r="AY55" s="549">
        <f ca="1">_xll.ciqfunctions.udf.CIQ($AT55, "IQ_MARKETCAP",Current_Date)</f>
      </c>
      <c r="AZ55" s="549">
        <f ca="1">_xll.ciqfunctions.udf.CIQ($AT55, "IQ_TEV",Current_Date)</f>
      </c>
      <c r="BA55" s="547">
        <f ca="1">_xll.ciqfunctions.udf.CIQ($AT55, "IQ_TOTAL_REV_1YR_ANN_GROWTH",IQ_LTM,Current_Date)/100</f>
      </c>
      <c r="BB55" s="547">
        <f ca="1">_xll.ciqfunctions.udf.CIQ($AT55,"IQ_REVENUE_EST",IQ_FY+1)/(_xll.ciqfunctions.udf.CIQ($AT55,"IQ_TOTAL_REV",IQ_FY))-1</f>
      </c>
      <c r="BC55" s="547">
        <f ca="1">_xll.ciqfunctions.udf.CIQ($AT55, "IQ_EPS_1YR_ANN_GROWTH",IQ_LTM,Current_Date)/100</f>
      </c>
      <c r="BD55" s="547">
        <f ca="1">_xll.ciqfunctions.udf.CIQ($AT55,"IQ_EPS_EST",IQ_FY+1)/(_xll.ciqfunctions.udf.CIQ($AT55,"IQ_DILUT_EPS_INCL",IQ_FY))-1</f>
      </c>
      <c r="BE55" s="547">
        <f ca="1">_xll.ciqfunctions.udf.CIQ($AT55, "IQ_EBITDA_MARGIN",IQ_LTM)/100</f>
      </c>
      <c r="BF55" s="547">
        <f ca="1">_xll.ciqfunctions.udf.CIQ($AT55,"IQ_EBITDA_EST",IQ_FY+1)/(_xll.ciqfunctions.udf.CIQ($AT55,"IQ_REVENUE_EST",IQ_FY+1))</f>
      </c>
      <c r="BG55" s="547">
        <f ca="1">_xll.ciqfunctions.udf.CIQ($AT55, "IQ_NI_MARGIN",IQ_LTM)/100</f>
      </c>
      <c r="BH55" s="547">
        <f ca="1">_xll.ciqfunctions.udf.CIQ($AT55,"IQ_NI_EST",IQ_FY+1)/(_xll.ciqfunctions.udf.CIQ($AT55,"IQ_REVENUE_EST",IQ_FY+1))</f>
      </c>
      <c r="BI55" s="551">
        <f ca="1">_xll.ciqfunctions.udf.CIQ($AT55, "IQ_TEV_EBITDA",IQ_LTM)</f>
      </c>
      <c r="BJ55" s="551">
        <f ca="1">_xll.ciqfunctions.udf.CIQ($AT55, "IQ_TEV",Current_Date)/_xll.ciqfunctions.udf.CIQ($AT55, "IQ_EBITDA_EST",IQ_FY+1)</f>
      </c>
      <c r="BK55" s="551">
        <f ca="1">_xll.ciqfunctions.udf.CIQ($AT55, "IQ_TEV_TOTAL_REV",IQ_LTM)</f>
      </c>
      <c r="BL55" s="551">
        <f ca="1">_xll.ciqfunctions.udf.CIQ($AT55, "IQ_TEV",Current_Date)/_xll.ciqfunctions.udf.CIQ($AT55, "IQ_REVENUE_EST",IQ_FY+1)</f>
      </c>
      <c r="BM55" s="551">
        <f ca="1">_xll.ciqfunctions.udf.CIQ($AT55, "IQ_PE_EXCL",IQ_LTM)</f>
      </c>
      <c r="BN55" s="551">
        <f ca="1">_xll.ciqfunctions.udf.CIQ($AT55, "IQ_MARKETCAP",Current_Date)/_xll.ciqfunctions.udf.CIQ($AT55, "IQ_NI_EST",IQ_FY+1)</f>
      </c>
    </row>
    <row r="56" ht="13.5" customHeight="1" spans="1:66" x14ac:dyDescent="0.25" outlineLevel="1" collapsed="1">
      <c r="A56" s="4"/>
      <c r="B56" s="599" t="str">
        <f ca="1">B75</f>
        <v>IQ224055283</v>
      </c>
      <c r="C56" s="599"/>
      <c r="D56" s="16">
        <f ca="1">_xll.ciqfunctions.udf.CIQ($B56, "IQ_COMPANY_NAME",Current_Date)</f>
      </c>
      <c r="E56" s="16"/>
      <c r="F56" s="84" t="str">
        <f ca="1">F75</f>
        <v>""</v>
      </c>
      <c r="G56" s="549">
        <f ca="1">_xll.ciqfunctions.udf.CIQ($B56, "IQ_MARKETCAP",Current_Date)</f>
      </c>
      <c r="H56" s="549">
        <f ca="1">_xll.ciqfunctions.udf.CIQ($B56, "IQ_TEV",Current_Date)</f>
      </c>
      <c r="I56" s="547">
        <f ca="1">_xll.ciqfunctions.udf.CIQ($B56, "IQ_TOTAL_REV_1YR_ANN_GROWTH",IQ_LTM,Current_Date)/100</f>
      </c>
      <c r="J56" s="547">
        <f ca="1">_xll.ciqfunctions.udf.CIQ($B56,"IQ_REVENUE_EST",IQ_FY+1)/(_xll.ciqfunctions.udf.CIQ($B56,"IQ_TOTAL_REV",IQ_FY))-1</f>
      </c>
      <c r="K56" s="547">
        <f ca="1">_xll.ciqfunctions.udf.CIQ($B56, "IQ_EPS_1YR_ANN_GROWTH",IQ_LTM,Current_Date)/100</f>
      </c>
      <c r="L56" s="547">
        <f ca="1">_xll.ciqfunctions.udf.CIQ($B56,"IQ_EPS_EST",IQ_FY+1)/(_xll.ciqfunctions.udf.CIQ($B56,"IQ_DILUT_EPS_INCL",IQ_FY))-1</f>
      </c>
      <c r="M56" s="547">
        <f ca="1">_xll.ciqfunctions.udf.CIQ($B56, "IQ_EBITDA_MARGIN",IQ_LTM)/100</f>
      </c>
      <c r="N56" s="547">
        <f ca="1">_xll.ciqfunctions.udf.CIQ($B56,"IQ_EBITDA_EST",IQ_FY+1)/(_xll.ciqfunctions.udf.CIQ($B56,"IQ_REVENUE_EST",IQ_FY+1))</f>
      </c>
      <c r="O56" s="547">
        <f ca="1">_xll.ciqfunctions.udf.CIQ($B56, "IQ_NI_MARGIN",IQ_LTM)/100</f>
      </c>
      <c r="P56" s="547">
        <f ca="1">_xll.ciqfunctions.udf.CIQ($B56,"IQ_NI_EST",IQ_FY+1)/(_xll.ciqfunctions.udf.CIQ($B56,"IQ_REVENUE_EST",IQ_FY+1))</f>
      </c>
      <c r="Q56" s="551">
        <f ca="1">_xll.ciqfunctions.udf.CIQ($B56, "IQ_TEV_EBITDA",IQ_LTM)</f>
      </c>
      <c r="R56" s="551">
        <f ca="1">_xll.ciqfunctions.udf.CIQ($B56, "IQ_TEV",Current_Date)/_xll.ciqfunctions.udf.CIQ($B56, "IQ_EBITDA_EST",IQ_FY+1)</f>
      </c>
      <c r="S56" s="551">
        <f ca="1">_xll.ciqfunctions.udf.CIQ($B56, "IQ_TEV_TOTAL_REV",IQ_LTM)</f>
      </c>
      <c r="T56" s="551">
        <f ca="1">_xll.ciqfunctions.udf.CIQ($B56, "IQ_TEV",Current_Date)/_xll.ciqfunctions.udf.CIQ($B56, "IQ_REVENUE_EST",IQ_FY+1)</f>
      </c>
      <c r="U56" s="551">
        <f ca="1">_xll.ciqfunctions.udf.CIQ($B56, "IQ_PE_EXCL",IQ_LTM)</f>
      </c>
      <c r="V56" s="551">
        <f ca="1">_xll.ciqfunctions.udf.CIQ($B56, "IQ_MARKETCAP",Current_Date)/_xll.ciqfunctions.udf.CIQ($B56, "IQ_NI_EST",IQ_FY+1)</f>
      </c>
      <c r="W56" s="16"/>
      <c r="X56" s="599" t="str">
        <f ca="1">X75</f>
        <v>IQ285827</v>
      </c>
      <c r="Y56" s="47"/>
      <c r="Z56" s="16">
        <f ca="1">_xll.ciqfunctions.udf.CIQ($X56, "IQ_COMPANY_NAME",Current_Date)</f>
      </c>
      <c r="AA56" s="16"/>
      <c r="AB56" s="84" t="str">
        <f ca="1">AB75</f>
        <v>LMT</v>
      </c>
      <c r="AC56" s="549">
        <f ca="1">_xll.ciqfunctions.udf.CIQ($X56, "IQ_MARKETCAP",Current_Date)</f>
      </c>
      <c r="AD56" s="549">
        <f ca="1">_xll.ciqfunctions.udf.CIQ($X56, "IQ_TEV",Current_Date)</f>
      </c>
      <c r="AE56" s="547">
        <f ca="1">_xll.ciqfunctions.udf.CIQ($X56, "IQ_TOTAL_REV_1YR_ANN_GROWTH",IQ_LTM,Current_Date)/100</f>
      </c>
      <c r="AF56" s="547">
        <f ca="1">_xll.ciqfunctions.udf.CIQ($X56,"IQ_REVENUE_EST",IQ_FY+1)/(_xll.ciqfunctions.udf.CIQ($X56,"IQ_TOTAL_REV",IQ_FY))-1</f>
      </c>
      <c r="AG56" s="547">
        <f ca="1">_xll.ciqfunctions.udf.CIQ($X56, "IQ_EPS_1YR_ANN_GROWTH",IQ_LTM,Current_Date)/100</f>
      </c>
      <c r="AH56" s="547">
        <f ca="1">_xll.ciqfunctions.udf.CIQ($X56,"IQ_EPS_EST",IQ_FY+1)/(_xll.ciqfunctions.udf.CIQ($X56,"IQ_DILUT_EPS_INCL",IQ_FY))-1</f>
      </c>
      <c r="AI56" s="547">
        <f ca="1">_xll.ciqfunctions.udf.CIQ($X56, "IQ_EBITDA_MARGIN",IQ_LTM)/100</f>
      </c>
      <c r="AJ56" s="547">
        <f ca="1">_xll.ciqfunctions.udf.CIQ($X56,"IQ_EBITDA_EST",IQ_FY+1)/(_xll.ciqfunctions.udf.CIQ($X56,"IQ_REVENUE_EST",IQ_FY+1))</f>
      </c>
      <c r="AK56" s="547">
        <f ca="1">_xll.ciqfunctions.udf.CIQ($X56, "IQ_NI_MARGIN",IQ_LTM)/100</f>
      </c>
      <c r="AL56" s="547">
        <f ca="1">_xll.ciqfunctions.udf.CIQ($X56,"IQ_NI_EST",IQ_FY+1)/(_xll.ciqfunctions.udf.CIQ($X56,"IQ_REVENUE_EST",IQ_FY+1))</f>
      </c>
      <c r="AM56" s="551">
        <f ca="1">_xll.ciqfunctions.udf.CIQ($X56, "IQ_TEV_EBITDA",IQ_LTM)</f>
      </c>
      <c r="AN56" s="551">
        <f ca="1">_xll.ciqfunctions.udf.CIQ($X56, "IQ_TEV",Current_Date)/_xll.ciqfunctions.udf.CIQ($X56, "IQ_EBITDA_EST",IQ_FY+1)</f>
      </c>
      <c r="AO56" s="551">
        <f ca="1">_xll.ciqfunctions.udf.CIQ($X56, "IQ_TEV_TOTAL_REV",IQ_LTM)</f>
      </c>
      <c r="AP56" s="551">
        <f ca="1">_xll.ciqfunctions.udf.CIQ($X56, "IQ_TEV",Current_Date)/_xll.ciqfunctions.udf.CIQ($X56, "IQ_REVENUE_EST",IQ_FY+1)</f>
      </c>
      <c r="AQ56" s="551">
        <f ca="1">_xll.ciqfunctions.udf.CIQ($X56, "IQ_PE_EXCL",IQ_LTM)</f>
      </c>
      <c r="AR56" s="551">
        <f ca="1">_xll.ciqfunctions.udf.CIQ($X56, "IQ_MARKETCAP",Current_Date)/_xll.ciqfunctions.udf.CIQ($X56, "IQ_NI_EST",IQ_FY+1)</f>
      </c>
      <c r="AS56" s="4"/>
      <c r="AT56" s="599" t="str">
        <f ca="1">AT75</f>
        <v>IQ22751</v>
      </c>
      <c r="AU56" s="47"/>
      <c r="AV56" s="16">
        <f ca="1">_xll.ciqfunctions.udf.CIQ($AT56, "IQ_COMPANY_NAME",Current_Date)</f>
      </c>
      <c r="AW56" s="16"/>
      <c r="AX56" s="84" t="str">
        <f ca="1">N105</f>
        <v>ROP</v>
      </c>
      <c r="AY56" s="549">
        <f ca="1">_xll.ciqfunctions.udf.CIQ($AT56, "IQ_MARKETCAP",Current_Date)</f>
      </c>
      <c r="AZ56" s="549">
        <f ca="1">_xll.ciqfunctions.udf.CIQ($AT56, "IQ_TEV",Current_Date)</f>
      </c>
      <c r="BA56" s="547">
        <f ca="1">_xll.ciqfunctions.udf.CIQ($AT56, "IQ_TOTAL_REV_1YR_ANN_GROWTH",IQ_LTM,Current_Date)/100</f>
      </c>
      <c r="BB56" s="547">
        <f ca="1">_xll.ciqfunctions.udf.CIQ($AT56,"IQ_REVENUE_EST",IQ_FY+1)/(_xll.ciqfunctions.udf.CIQ($AT56,"IQ_TOTAL_REV",IQ_FY))-1</f>
      </c>
      <c r="BC56" s="547">
        <f ca="1">_xll.ciqfunctions.udf.CIQ($AT56, "IQ_EPS_1YR_ANN_GROWTH",IQ_LTM,Current_Date)/100</f>
      </c>
      <c r="BD56" s="547">
        <f ca="1">_xll.ciqfunctions.udf.CIQ($AT56,"IQ_EPS_EST",IQ_FY+1)/(_xll.ciqfunctions.udf.CIQ($AT56,"IQ_DILUT_EPS_INCL",IQ_FY))-1</f>
      </c>
      <c r="BE56" s="547">
        <f ca="1">_xll.ciqfunctions.udf.CIQ($AT56, "IQ_EBITDA_MARGIN",IQ_LTM)/100</f>
      </c>
      <c r="BF56" s="547">
        <f ca="1">_xll.ciqfunctions.udf.CIQ($AT56,"IQ_EBITDA_EST",IQ_FY+1)/(_xll.ciqfunctions.udf.CIQ($AT56,"IQ_REVENUE_EST",IQ_FY+1))</f>
      </c>
      <c r="BG56" s="547">
        <f ca="1">_xll.ciqfunctions.udf.CIQ($AT56, "IQ_NI_MARGIN",IQ_LTM)/100</f>
      </c>
      <c r="BH56" s="547">
        <f ca="1">_xll.ciqfunctions.udf.CIQ($AT56,"IQ_NI_EST",IQ_FY+1)/(_xll.ciqfunctions.udf.CIQ($AT56,"IQ_REVENUE_EST",IQ_FY+1))</f>
      </c>
      <c r="BI56" s="551">
        <f ca="1">_xll.ciqfunctions.udf.CIQ($AT56, "IQ_TEV_EBITDA",IQ_LTM)</f>
      </c>
      <c r="BJ56" s="551">
        <f ca="1">_xll.ciqfunctions.udf.CIQ($AT56, "IQ_TEV",Current_Date)/_xll.ciqfunctions.udf.CIQ($AT56, "IQ_EBITDA_EST",IQ_FY+1)</f>
      </c>
      <c r="BK56" s="551">
        <f ca="1">_xll.ciqfunctions.udf.CIQ($AT56, "IQ_TEV_TOTAL_REV",IQ_LTM)</f>
      </c>
      <c r="BL56" s="551">
        <f ca="1">_xll.ciqfunctions.udf.CIQ($AT56, "IQ_TEV",Current_Date)/_xll.ciqfunctions.udf.CIQ($AT56, "IQ_REVENUE_EST",IQ_FY+1)</f>
      </c>
      <c r="BM56" s="551">
        <f ca="1">_xll.ciqfunctions.udf.CIQ($AT56, "IQ_PE_EXCL",IQ_LTM)</f>
      </c>
      <c r="BN56" s="551">
        <f ca="1">_xll.ciqfunctions.udf.CIQ($AT56, "IQ_MARKETCAP",Current_Date)/_xll.ciqfunctions.udf.CIQ($AT56, "IQ_NI_EST",IQ_FY+1)</f>
      </c>
    </row>
    <row r="57" ht="13.5" customHeight="1" spans="1:66" x14ac:dyDescent="0.25" outlineLevel="1" collapsed="1">
      <c r="A57" s="4"/>
      <c r="B57" s="599" t="str">
        <f ca="1">B76</f>
        <v>IQ29096</v>
      </c>
      <c r="C57" s="599"/>
      <c r="D57" s="16">
        <f ca="1">_xll.ciqfunctions.udf.CIQ($B57, "IQ_COMPANY_NAME",Current_Date)</f>
      </c>
      <c r="E57" s="16"/>
      <c r="F57" s="84" t="str">
        <f ca="1">F76</f>
        <v>""</v>
      </c>
      <c r="G57" s="549">
        <f ca="1">_xll.ciqfunctions.udf.CIQ($B57, "IQ_MARKETCAP",Current_Date)</f>
      </c>
      <c r="H57" s="549">
        <f ca="1">_xll.ciqfunctions.udf.CIQ($B57, "IQ_TEV",Current_Date)</f>
      </c>
      <c r="I57" s="547">
        <f ca="1">_xll.ciqfunctions.udf.CIQ($B57, "IQ_TOTAL_REV_1YR_ANN_GROWTH",IQ_LTM,Current_Date)/100</f>
      </c>
      <c r="J57" s="547">
        <f ca="1">_xll.ciqfunctions.udf.CIQ($B57,"IQ_REVENUE_EST",IQ_FY+1)/(_xll.ciqfunctions.udf.CIQ($B57,"IQ_TOTAL_REV",IQ_FY))-1</f>
      </c>
      <c r="K57" s="547">
        <f ca="1">_xll.ciqfunctions.udf.CIQ($B57, "IQ_EPS_1YR_ANN_GROWTH",IQ_LTM,Current_Date)/100</f>
      </c>
      <c r="L57" s="547">
        <f ca="1">_xll.ciqfunctions.udf.CIQ($B57,"IQ_EPS_EST",IQ_FY+1)/(_xll.ciqfunctions.udf.CIQ($B57,"IQ_DILUT_EPS_INCL",IQ_FY))-1</f>
      </c>
      <c r="M57" s="547">
        <f ca="1">_xll.ciqfunctions.udf.CIQ($B57, "IQ_EBITDA_MARGIN",IQ_LTM)/100</f>
      </c>
      <c r="N57" s="547">
        <f ca="1">_xll.ciqfunctions.udf.CIQ($B57,"IQ_EBITDA_EST",IQ_FY+1)/(_xll.ciqfunctions.udf.CIQ($B57,"IQ_REVENUE_EST",IQ_FY+1))</f>
      </c>
      <c r="O57" s="547">
        <f ca="1">_xll.ciqfunctions.udf.CIQ($B57, "IQ_NI_MARGIN",IQ_LTM)/100</f>
      </c>
      <c r="P57" s="547">
        <f ca="1">_xll.ciqfunctions.udf.CIQ($B57,"IQ_NI_EST",IQ_FY+1)/(_xll.ciqfunctions.udf.CIQ($B57,"IQ_REVENUE_EST",IQ_FY+1))</f>
      </c>
      <c r="Q57" s="551">
        <f ca="1">_xll.ciqfunctions.udf.CIQ($B57, "IQ_TEV_EBITDA",IQ_LTM)</f>
      </c>
      <c r="R57" s="551">
        <f ca="1">_xll.ciqfunctions.udf.CIQ($B57, "IQ_TEV",Current_Date)/_xll.ciqfunctions.udf.CIQ($B57, "IQ_EBITDA_EST",IQ_FY+1)</f>
      </c>
      <c r="S57" s="551">
        <f ca="1">_xll.ciqfunctions.udf.CIQ($B57, "IQ_TEV_TOTAL_REV",IQ_LTM)</f>
      </c>
      <c r="T57" s="551">
        <f ca="1">_xll.ciqfunctions.udf.CIQ($B57, "IQ_TEV",Current_Date)/_xll.ciqfunctions.udf.CIQ($B57, "IQ_REVENUE_EST",IQ_FY+1)</f>
      </c>
      <c r="U57" s="551">
        <f ca="1">_xll.ciqfunctions.udf.CIQ($B57, "IQ_PE_EXCL",IQ_LTM)</f>
      </c>
      <c r="V57" s="551">
        <f ca="1">_xll.ciqfunctions.udf.CIQ($B57, "IQ_MARKETCAP",Current_Date)/_xll.ciqfunctions.udf.CIQ($B57, "IQ_NI_EST",IQ_FY+1)</f>
      </c>
      <c r="W57" s="16"/>
      <c r="X57" s="599" t="str">
        <f ca="1">X76</f>
        <v>IQ97199</v>
      </c>
      <c r="Y57" s="47"/>
      <c r="Z57" s="16">
        <f ca="1">_xll.ciqfunctions.udf.CIQ($X57, "IQ_COMPANY_NAME",Current_Date)</f>
      </c>
      <c r="AA57" s="16"/>
      <c r="AB57" s="84" t="str">
        <f ca="1">AB76</f>
        <v>NOC</v>
      </c>
      <c r="AC57" s="549">
        <f ca="1">_xll.ciqfunctions.udf.CIQ($X57, "IQ_MARKETCAP",Current_Date)</f>
      </c>
      <c r="AD57" s="549">
        <f ca="1">_xll.ciqfunctions.udf.CIQ($X57, "IQ_TEV",Current_Date)</f>
      </c>
      <c r="AE57" s="547">
        <f ca="1">_xll.ciqfunctions.udf.CIQ($X57, "IQ_TOTAL_REV_1YR_ANN_GROWTH",IQ_LTM,Current_Date)/100</f>
      </c>
      <c r="AF57" s="547">
        <f ca="1">_xll.ciqfunctions.udf.CIQ($X57,"IQ_REVENUE_EST",IQ_FY+1)/(_xll.ciqfunctions.udf.CIQ($X57,"IQ_TOTAL_REV",IQ_FY))-1</f>
      </c>
      <c r="AG57" s="547">
        <f ca="1">_xll.ciqfunctions.udf.CIQ($X57, "IQ_EPS_1YR_ANN_GROWTH",IQ_LTM,Current_Date)/100</f>
      </c>
      <c r="AH57" s="547">
        <f ca="1">_xll.ciqfunctions.udf.CIQ($X57,"IQ_EPS_EST",IQ_FY+1)/(_xll.ciqfunctions.udf.CIQ($X57,"IQ_DILUT_EPS_INCL",IQ_FY))-1</f>
      </c>
      <c r="AI57" s="547">
        <f ca="1">_xll.ciqfunctions.udf.CIQ($X57, "IQ_EBITDA_MARGIN",IQ_LTM)/100</f>
      </c>
      <c r="AJ57" s="547">
        <f ca="1">_xll.ciqfunctions.udf.CIQ($X57,"IQ_EBITDA_EST",IQ_FY+1)/(_xll.ciqfunctions.udf.CIQ($X57,"IQ_REVENUE_EST",IQ_FY+1))</f>
      </c>
      <c r="AK57" s="547">
        <f ca="1">_xll.ciqfunctions.udf.CIQ($X57, "IQ_NI_MARGIN",IQ_LTM)/100</f>
      </c>
      <c r="AL57" s="547">
        <f ca="1">_xll.ciqfunctions.udf.CIQ($X57,"IQ_NI_EST",IQ_FY+1)/(_xll.ciqfunctions.udf.CIQ($X57,"IQ_REVENUE_EST",IQ_FY+1))</f>
      </c>
      <c r="AM57" s="551">
        <f ca="1">_xll.ciqfunctions.udf.CIQ($X57, "IQ_TEV_EBITDA",IQ_LTM)</f>
      </c>
      <c r="AN57" s="551">
        <f ca="1">_xll.ciqfunctions.udf.CIQ($X57, "IQ_TEV",Current_Date)/_xll.ciqfunctions.udf.CIQ($X57, "IQ_EBITDA_EST",IQ_FY+1)</f>
      </c>
      <c r="AO57" s="551">
        <f ca="1">_xll.ciqfunctions.udf.CIQ($X57, "IQ_TEV_TOTAL_REV",IQ_LTM)</f>
      </c>
      <c r="AP57" s="551">
        <f ca="1">_xll.ciqfunctions.udf.CIQ($X57, "IQ_TEV",Current_Date)/_xll.ciqfunctions.udf.CIQ($X57, "IQ_REVENUE_EST",IQ_FY+1)</f>
      </c>
      <c r="AQ57" s="551">
        <f ca="1">_xll.ciqfunctions.udf.CIQ($X57, "IQ_PE_EXCL",IQ_LTM)</f>
      </c>
      <c r="AR57" s="551">
        <f ca="1">_xll.ciqfunctions.udf.CIQ($X57, "IQ_MARKETCAP",Current_Date)/_xll.ciqfunctions.udf.CIQ($X57, "IQ_NI_EST",IQ_FY+1)</f>
      </c>
      <c r="AS57" s="4"/>
      <c r="AT57" s="599" t="str">
        <f ca="1">AT76</f>
        <v>IQ269231</v>
      </c>
      <c r="AU57" s="47"/>
      <c r="AV57" s="16">
        <f ca="1">_xll.ciqfunctions.udf.CIQ($AT57, "IQ_COMPANY_NAME",Current_Date)</f>
      </c>
      <c r="AW57" s="16"/>
      <c r="AX57" s="84" t="str">
        <f ca="1">N109</f>
        <v>EMR</v>
      </c>
      <c r="AY57" s="549">
        <f ca="1">_xll.ciqfunctions.udf.CIQ($AT57, "IQ_MARKETCAP",Current_Date)</f>
      </c>
      <c r="AZ57" s="549">
        <f ca="1">_xll.ciqfunctions.udf.CIQ($AT57, "IQ_TEV",Current_Date)</f>
      </c>
      <c r="BA57" s="547">
        <f ca="1">_xll.ciqfunctions.udf.CIQ($AT57, "IQ_TOTAL_REV_1YR_ANN_GROWTH",IQ_LTM,Current_Date)/100</f>
      </c>
      <c r="BB57" s="547">
        <f ca="1">_xll.ciqfunctions.udf.CIQ($AT57,"IQ_REVENUE_EST",IQ_FY+1)/(_xll.ciqfunctions.udf.CIQ($AT57,"IQ_TOTAL_REV",IQ_FY))-1</f>
      </c>
      <c r="BC57" s="547">
        <f ca="1">_xll.ciqfunctions.udf.CIQ($AT57, "IQ_EPS_1YR_ANN_GROWTH",IQ_LTM,Current_Date)/100</f>
      </c>
      <c r="BD57" s="547">
        <f ca="1">_xll.ciqfunctions.udf.CIQ($AT57,"IQ_EPS_EST",IQ_FY+1)/(_xll.ciqfunctions.udf.CIQ($AT57,"IQ_DILUT_EPS_INCL",IQ_FY))-1</f>
      </c>
      <c r="BE57" s="547">
        <f ca="1">_xll.ciqfunctions.udf.CIQ($AT57, "IQ_EBITDA_MARGIN",IQ_LTM)/100</f>
      </c>
      <c r="BF57" s="547">
        <f ca="1">_xll.ciqfunctions.udf.CIQ($AT57,"IQ_EBITDA_EST",IQ_FY+1)/(_xll.ciqfunctions.udf.CIQ($AT57,"IQ_REVENUE_EST",IQ_FY+1))</f>
      </c>
      <c r="BG57" s="547">
        <f ca="1">_xll.ciqfunctions.udf.CIQ($AT57, "IQ_NI_MARGIN",IQ_LTM)/100</f>
      </c>
      <c r="BH57" s="547">
        <f ca="1">_xll.ciqfunctions.udf.CIQ($AT57,"IQ_NI_EST",IQ_FY+1)/(_xll.ciqfunctions.udf.CIQ($AT57,"IQ_REVENUE_EST",IQ_FY+1))</f>
      </c>
      <c r="BI57" s="551">
        <f ca="1">_xll.ciqfunctions.udf.CIQ($AT57, "IQ_TEV_EBITDA",IQ_LTM)</f>
      </c>
      <c r="BJ57" s="551">
        <f ca="1">_xll.ciqfunctions.udf.CIQ($AT57, "IQ_TEV",Current_Date)/_xll.ciqfunctions.udf.CIQ($AT57, "IQ_EBITDA_EST",IQ_FY+1)</f>
      </c>
      <c r="BK57" s="551">
        <f ca="1">_xll.ciqfunctions.udf.CIQ($AT57, "IQ_TEV_TOTAL_REV",IQ_LTM)</f>
      </c>
      <c r="BL57" s="551">
        <f ca="1">_xll.ciqfunctions.udf.CIQ($AT57, "IQ_TEV",Current_Date)/_xll.ciqfunctions.udf.CIQ($AT57, "IQ_REVENUE_EST",IQ_FY+1)</f>
      </c>
      <c r="BM57" s="551">
        <f ca="1">_xll.ciqfunctions.udf.CIQ($AT57, "IQ_PE_EXCL",IQ_LTM)</f>
      </c>
      <c r="BN57" s="551">
        <f ca="1">_xll.ciqfunctions.udf.CIQ($AT57, "IQ_MARKETCAP",Current_Date)/_xll.ciqfunctions.udf.CIQ($AT57, "IQ_NI_EST",IQ_FY+1)</f>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41" ca="1">D18</f>
        <v>High</v>
      </c>
      <c r="E59" s="609"/>
      <c r="F59" s="610"/>
      <c r="G59" s="611">
        <f ca="1">MAX(G53:G57)</f>
      </c>
      <c r="H59" s="611">
        <f ca="1">MAX(H53:H57)</f>
      </c>
      <c r="I59" s="612">
        <f ca="1">MAX(I53:I57)</f>
      </c>
      <c r="J59" s="612">
        <f ca="1">MAX(J53:J57)</f>
      </c>
      <c r="K59" s="612">
        <f ca="1">MAX(K53:K57)</f>
      </c>
      <c r="L59" s="612">
        <f ca="1">MAX(L53:L57)</f>
      </c>
      <c r="M59" s="612">
        <f ca="1">MAX(M53:M57)</f>
      </c>
      <c r="N59" s="612">
        <f ca="1">MAX(N53:N57)</f>
      </c>
      <c r="O59" s="612">
        <f ca="1">MAX(O53:O57)</f>
      </c>
      <c r="P59" s="612">
        <f ca="1">MAX(P53:P57)</f>
      </c>
      <c r="Q59" s="613">
        <f ca="1">MAX(Q53:Q57)</f>
      </c>
      <c r="R59" s="614">
        <f ca="1">MAX(R53:R57)</f>
      </c>
      <c r="S59" s="614">
        <f ca="1">MAX(S53:S57)</f>
      </c>
      <c r="T59" s="614">
        <f ca="1">MAX(T53:T57)</f>
      </c>
      <c r="U59" s="614">
        <f ca="1">MAX(U53:U57)</f>
      </c>
      <c r="V59" s="615">
        <f ca="1">MAX(V53:V57)</f>
      </c>
      <c r="W59" s="16"/>
      <c r="X59" s="4"/>
      <c r="Y59" s="47"/>
      <c r="Z59" s="608" t="str">
        <f t="shared" ref="Z59:Z62" si="42" ca="1">Z18</f>
        <v>High</v>
      </c>
      <c r="AA59" s="609"/>
      <c r="AB59" s="610"/>
      <c r="AC59" s="611">
        <f ca="1">MAX(AC53:AC57)</f>
      </c>
      <c r="AD59" s="611">
        <f ca="1">MAX(AD53:AD57)</f>
      </c>
      <c r="AE59" s="612">
        <f ca="1">MAX(AE53:AE57)</f>
      </c>
      <c r="AF59" s="612">
        <f ca="1">MAX(AF53:AF57)</f>
      </c>
      <c r="AG59" s="612">
        <f ca="1">MAX(AG53:AG57)</f>
      </c>
      <c r="AH59" s="612">
        <f ca="1">MAX(AH53:AH57)</f>
      </c>
      <c r="AI59" s="612">
        <f ca="1">MAX(AI53:AI57)</f>
      </c>
      <c r="AJ59" s="612">
        <f ca="1">MAX(AJ53:AJ57)</f>
      </c>
      <c r="AK59" s="612">
        <f ca="1">MAX(AK53:AK57)</f>
      </c>
      <c r="AL59" s="612">
        <f ca="1">MAX(AL53:AL57)</f>
      </c>
      <c r="AM59" s="613">
        <f ca="1">MAX(AM53:AM57)</f>
      </c>
      <c r="AN59" s="614">
        <f ca="1">MAX(AN53:AN57)</f>
      </c>
      <c r="AO59" s="614">
        <f ca="1">MAX(AO53:AO57)</f>
      </c>
      <c r="AP59" s="614">
        <f ca="1">MAX(AP53:AP57)</f>
      </c>
      <c r="AQ59" s="614">
        <f ca="1">MAX(AQ53:AQ57)</f>
      </c>
      <c r="AR59" s="615">
        <f ca="1">MAX(AR53:AR57)</f>
      </c>
      <c r="AS59" s="4"/>
      <c r="AT59" s="4"/>
      <c r="AU59" s="47"/>
      <c r="AV59" s="608" t="str">
        <f t="shared" ref="AV59:AV62" si="43" ca="1">AV18</f>
        <v>High</v>
      </c>
      <c r="AW59" s="609"/>
      <c r="AX59" s="610"/>
      <c r="AY59" s="611">
        <f ca="1">MAX(AY53:AY57)</f>
      </c>
      <c r="AZ59" s="611">
        <f ca="1">MAX(AZ53:AZ57)</f>
      </c>
      <c r="BA59" s="612">
        <f ca="1">MAX(BA53:BA57)</f>
      </c>
      <c r="BB59" s="612">
        <f ca="1">MAX(BB53:BB57)</f>
      </c>
      <c r="BC59" s="612">
        <f ca="1">MAX(BC53:BC57)</f>
      </c>
      <c r="BD59" s="612">
        <f ca="1">MAX(BD53:BD57)</f>
      </c>
      <c r="BE59" s="612">
        <f ca="1">MAX(BE53:BE57)</f>
      </c>
      <c r="BF59" s="612">
        <f ca="1">MAX(BF53:BF57)</f>
      </c>
      <c r="BG59" s="612">
        <f ca="1">MAX(BG53:BG57)</f>
      </c>
      <c r="BH59" s="612">
        <f ca="1">MAX(BH53:BH57)</f>
      </c>
      <c r="BI59" s="613">
        <f ca="1">MAX(BI53:BI57)</f>
      </c>
      <c r="BJ59" s="614">
        <f ca="1">MAX(BJ53:BJ57)</f>
      </c>
      <c r="BK59" s="614">
        <f ca="1">MAX(BK53:BK57)</f>
      </c>
      <c r="BL59" s="614">
        <f ca="1">MAX(BL53:BL57)</f>
      </c>
      <c r="BM59" s="614">
        <f ca="1">MAX(BM53:BM57)</f>
      </c>
      <c r="BN59" s="615">
        <f ca="1">MAX(BN53:BN57)</f>
      </c>
    </row>
    <row r="60" ht="13.5" customHeight="1" spans="1:66" x14ac:dyDescent="0.25" outlineLevel="1" collapsed="1">
      <c r="A60" s="4"/>
      <c r="B60" s="4"/>
      <c r="C60" s="4"/>
      <c r="D60" s="616" t="str">
        <f ca="1">D19</f>
        <v>Mean</v>
      </c>
      <c r="E60" s="617"/>
      <c r="F60" s="618"/>
      <c r="G60" s="619">
        <f ca="1">AVERAGE(G53:G57)</f>
      </c>
      <c r="H60" s="619">
        <f ca="1">AVERAGE(H53:H57)</f>
      </c>
      <c r="I60" s="620">
        <f ca="1">AVERAGE(I53:I57)</f>
      </c>
      <c r="J60" s="620">
        <f ca="1">AVERAGE(J53:J57)</f>
      </c>
      <c r="K60" s="620">
        <f ca="1">AVERAGE(K53:K57)</f>
      </c>
      <c r="L60" s="620">
        <f ca="1">AVERAGE(L53:L57)</f>
      </c>
      <c r="M60" s="620">
        <f ca="1">AVERAGE(M53:M57)</f>
      </c>
      <c r="N60" s="620">
        <f ca="1">AVERAGE(N53:N57)</f>
      </c>
      <c r="O60" s="620">
        <f ca="1">AVERAGE(O53:O57)</f>
      </c>
      <c r="P60" s="620">
        <f ca="1">AVERAGE(P53:P57)</f>
      </c>
      <c r="Q60" s="621">
        <f ca="1">AVERAGE(Q53:Q57)</f>
      </c>
      <c r="R60" s="622">
        <f ca="1">AVERAGE(R53:R57)</f>
      </c>
      <c r="S60" s="622">
        <f ca="1">AVERAGE(S53:S57)</f>
      </c>
      <c r="T60" s="622">
        <f ca="1">AVERAGE(T53:T57)</f>
      </c>
      <c r="U60" s="622">
        <f ca="1">AVERAGE(U53:U57)</f>
      </c>
      <c r="V60" s="623">
        <f ca="1">AVERAGE(V53:V57)</f>
      </c>
      <c r="W60" s="16"/>
      <c r="X60" s="4"/>
      <c r="Y60" s="47"/>
      <c r="Z60" s="616" t="str">
        <f ca="1">Z19</f>
        <v>Mean</v>
      </c>
      <c r="AA60" s="617"/>
      <c r="AB60" s="618"/>
      <c r="AC60" s="619">
        <f ca="1">AVERAGE(AC53:AC57)</f>
      </c>
      <c r="AD60" s="619">
        <f ca="1">AVERAGE(AD53:AD57)</f>
      </c>
      <c r="AE60" s="620">
        <f ca="1">AVERAGE(AE53:AE57)</f>
      </c>
      <c r="AF60" s="620">
        <f ca="1">AVERAGE(AF53:AF57)</f>
      </c>
      <c r="AG60" s="620">
        <f ca="1">AVERAGE(AG53:AG57)</f>
      </c>
      <c r="AH60" s="620">
        <f ca="1">AVERAGE(AH53:AH57)</f>
      </c>
      <c r="AI60" s="620">
        <f ca="1">AVERAGE(AI53:AI57)</f>
      </c>
      <c r="AJ60" s="620">
        <f ca="1">AVERAGE(AJ53:AJ57)</f>
      </c>
      <c r="AK60" s="620">
        <f ca="1">AVERAGE(AK53:AK57)</f>
      </c>
      <c r="AL60" s="620">
        <f ca="1">AVERAGE(AL53:AL57)</f>
      </c>
      <c r="AM60" s="621">
        <f ca="1">AVERAGE(AM53:AM57)</f>
      </c>
      <c r="AN60" s="622">
        <f ca="1">AVERAGE(AN53:AN57)</f>
      </c>
      <c r="AO60" s="622">
        <f ca="1">AVERAGE(AO53:AO57)</f>
      </c>
      <c r="AP60" s="622">
        <f ca="1">AVERAGE(AP53:AP57)</f>
      </c>
      <c r="AQ60" s="622">
        <f ca="1">AVERAGE(AQ53:AQ57)</f>
      </c>
      <c r="AR60" s="623">
        <f ca="1">AVERAGE(AR53:AR57)</f>
      </c>
      <c r="AS60" s="4"/>
      <c r="AT60" s="4"/>
      <c r="AU60" s="47"/>
      <c r="AV60" s="616" t="str">
        <f ca="1">AV19</f>
        <v>Mean</v>
      </c>
      <c r="AW60" s="617"/>
      <c r="AX60" s="618"/>
      <c r="AY60" s="619">
        <f ca="1">AVERAGE(AY53:AY57)</f>
      </c>
      <c r="AZ60" s="619">
        <f ca="1">AVERAGE(AZ53:AZ57)</f>
      </c>
      <c r="BA60" s="620">
        <f ca="1">AVERAGE(BA53:BA57)</f>
      </c>
      <c r="BB60" s="620">
        <f ca="1">AVERAGE(BB53:BB57)</f>
      </c>
      <c r="BC60" s="620">
        <f ca="1">AVERAGE(BC53:BC57)</f>
      </c>
      <c r="BD60" s="620">
        <f ca="1">AVERAGE(BD53:BD57)</f>
      </c>
      <c r="BE60" s="620">
        <f ca="1">AVERAGE(BE53:BE57)</f>
      </c>
      <c r="BF60" s="620">
        <f ca="1">AVERAGE(BF53:BF57)</f>
      </c>
      <c r="BG60" s="620">
        <f ca="1">AVERAGE(BG53:BG57)</f>
      </c>
      <c r="BH60" s="620">
        <f ca="1">AVERAGE(BH53:BH57)</f>
      </c>
      <c r="BI60" s="621">
        <f ca="1">AVERAGE(BI53:BI57)</f>
      </c>
      <c r="BJ60" s="622">
        <f ca="1">AVERAGE(BJ53:BJ57)</f>
      </c>
      <c r="BK60" s="622">
        <f ca="1">AVERAGE(BK53:BK57)</f>
      </c>
      <c r="BL60" s="622">
        <f ca="1">AVERAGE(BL53:BL57)</f>
      </c>
      <c r="BM60" s="622">
        <f ca="1">AVERAGE(BM53:BM57)</f>
      </c>
      <c r="BN60" s="623">
        <f ca="1">AVERAGE(BN53:BN57)</f>
      </c>
    </row>
    <row r="61" ht="13.5" customHeight="1" spans="1:66" x14ac:dyDescent="0.25" outlineLevel="1" collapsed="1">
      <c r="A61" s="4"/>
      <c r="B61" s="4"/>
      <c r="C61" s="4"/>
      <c r="D61" s="616" t="str">
        <f ca="1">D20</f>
        <v>Median</v>
      </c>
      <c r="E61" s="617"/>
      <c r="F61" s="617"/>
      <c r="G61" s="619">
        <f ca="1">MEDIAN(G53:G57)</f>
      </c>
      <c r="H61" s="619">
        <f ca="1">MEDIAN(H53:H57)</f>
      </c>
      <c r="I61" s="620">
        <f ca="1">MEDIAN(I53:I57)</f>
      </c>
      <c r="J61" s="620">
        <f ca="1">MEDIAN(J53:J57)</f>
      </c>
      <c r="K61" s="620">
        <f ca="1">MEDIAN(K53:K57)</f>
      </c>
      <c r="L61" s="620">
        <f ca="1">MEDIAN(L53:L57)</f>
      </c>
      <c r="M61" s="620">
        <f ca="1">MEDIAN(M53:M57)</f>
      </c>
      <c r="N61" s="620">
        <f ca="1">MEDIAN(N53:N57)</f>
      </c>
      <c r="O61" s="620">
        <f ca="1">MEDIAN(O53:O57)</f>
      </c>
      <c r="P61" s="620">
        <f ca="1">MEDIAN(P53:P57)</f>
      </c>
      <c r="Q61" s="621">
        <f ca="1">MEDIAN(Q53:Q57)</f>
      </c>
      <c r="R61" s="622">
        <f ca="1">MEDIAN(R53:R57)</f>
      </c>
      <c r="S61" s="622">
        <f ca="1">MEDIAN(S53:S57)</f>
      </c>
      <c r="T61" s="622">
        <f ca="1">MEDIAN(T53:T57)</f>
      </c>
      <c r="U61" s="622">
        <f ca="1">MEDIAN(U53:U57)</f>
      </c>
      <c r="V61" s="623">
        <f ca="1">MEDIAN(V53:V57)</f>
      </c>
      <c r="W61" s="16"/>
      <c r="X61" s="4"/>
      <c r="Y61" s="47"/>
      <c r="Z61" s="616" t="str">
        <f ca="1">Z20</f>
        <v>Median</v>
      </c>
      <c r="AA61" s="617"/>
      <c r="AB61" s="617"/>
      <c r="AC61" s="619">
        <f ca="1">MEDIAN(AC53:AC57)</f>
      </c>
      <c r="AD61" s="619">
        <f ca="1">MEDIAN(AD53:AD57)</f>
      </c>
      <c r="AE61" s="620">
        <f ca="1">MEDIAN(AE53:AE57)</f>
      </c>
      <c r="AF61" s="620">
        <f ca="1">MEDIAN(AF53:AF57)</f>
      </c>
      <c r="AG61" s="620">
        <f ca="1">MEDIAN(AG53:AG57)</f>
      </c>
      <c r="AH61" s="620">
        <f ca="1">MEDIAN(AH53:AH57)</f>
      </c>
      <c r="AI61" s="620">
        <f ca="1">MEDIAN(AI53:AI57)</f>
      </c>
      <c r="AJ61" s="620">
        <f ca="1">MEDIAN(AJ53:AJ57)</f>
      </c>
      <c r="AK61" s="620">
        <f ca="1">MEDIAN(AK53:AK57)</f>
      </c>
      <c r="AL61" s="620">
        <f ca="1">MEDIAN(AL53:AL57)</f>
      </c>
      <c r="AM61" s="621">
        <f ca="1">MEDIAN(AM53:AM57)</f>
      </c>
      <c r="AN61" s="622">
        <f ca="1">MEDIAN(AN53:AN57)</f>
      </c>
      <c r="AO61" s="622">
        <f ca="1">MEDIAN(AO53:AO57)</f>
      </c>
      <c r="AP61" s="622">
        <f ca="1">MEDIAN(AP53:AP57)</f>
      </c>
      <c r="AQ61" s="622">
        <f ca="1">MEDIAN(AQ53:AQ57)</f>
      </c>
      <c r="AR61" s="623">
        <f ca="1">MEDIAN(AR53:AR57)</f>
      </c>
      <c r="AS61" s="4"/>
      <c r="AT61" s="4"/>
      <c r="AU61" s="47"/>
      <c r="AV61" s="616" t="str">
        <f ca="1">AV20</f>
        <v>Median</v>
      </c>
      <c r="AW61" s="617"/>
      <c r="AX61" s="617"/>
      <c r="AY61" s="619">
        <f ca="1">MEDIAN(AY53:AY57)</f>
      </c>
      <c r="AZ61" s="619">
        <f ca="1">MEDIAN(AZ53:AZ57)</f>
      </c>
      <c r="BA61" s="620">
        <f ca="1">MEDIAN(BA53:BA57)</f>
      </c>
      <c r="BB61" s="620">
        <f ca="1">MEDIAN(BB53:BB57)</f>
      </c>
      <c r="BC61" s="620">
        <f ca="1">MEDIAN(BC53:BC57)</f>
      </c>
      <c r="BD61" s="620">
        <f ca="1">MEDIAN(BD53:BD57)</f>
      </c>
      <c r="BE61" s="620">
        <f ca="1">MEDIAN(BE53:BE57)</f>
      </c>
      <c r="BF61" s="620">
        <f ca="1">MEDIAN(BF53:BF57)</f>
      </c>
      <c r="BG61" s="620">
        <f ca="1">MEDIAN(BG53:BG57)</f>
      </c>
      <c r="BH61" s="620">
        <f ca="1">MEDIAN(BH53:BH57)</f>
      </c>
      <c r="BI61" s="621">
        <f ca="1">MEDIAN(BI53:BI57)</f>
      </c>
      <c r="BJ61" s="622">
        <f ca="1">MEDIAN(BJ53:BJ57)</f>
      </c>
      <c r="BK61" s="622">
        <f ca="1">MEDIAN(BK53:BK57)</f>
      </c>
      <c r="BL61" s="622">
        <f ca="1">MEDIAN(BL53:BL57)</f>
      </c>
      <c r="BM61" s="622">
        <f ca="1">MEDIAN(BM53:BM57)</f>
      </c>
      <c r="BN61" s="623">
        <f ca="1">MEDIAN(BN53:BN57)</f>
      </c>
    </row>
    <row r="62" ht="13.5" customHeight="1" spans="1:66" x14ac:dyDescent="0.25" outlineLevel="1" collapsed="1">
      <c r="A62" s="4"/>
      <c r="B62" s="4"/>
      <c r="C62" s="4"/>
      <c r="D62" s="624" t="str">
        <f ca="1">D21</f>
        <v>Low</v>
      </c>
      <c r="E62" s="625"/>
      <c r="F62" s="625"/>
      <c r="G62" s="626">
        <f ca="1">MIN(G53:G57)</f>
      </c>
      <c r="H62" s="626">
        <f ca="1">MIN(H53:H57)</f>
      </c>
      <c r="I62" s="627">
        <f ca="1">MIN(I53:I57)</f>
      </c>
      <c r="J62" s="627">
        <f ca="1">MIN(J53:J57)</f>
      </c>
      <c r="K62" s="627">
        <f ca="1">MIN(K53:K57)</f>
      </c>
      <c r="L62" s="627">
        <f ca="1">MIN(L53:L57)</f>
      </c>
      <c r="M62" s="627">
        <f ca="1">MIN(M53:M57)</f>
      </c>
      <c r="N62" s="627">
        <f ca="1">MIN(N53:N57)</f>
      </c>
      <c r="O62" s="627">
        <f ca="1">MIN(O53:O57)</f>
      </c>
      <c r="P62" s="627">
        <f ca="1">MIN(P53:P57)</f>
      </c>
      <c r="Q62" s="628">
        <f ca="1">MIN(Q53:Q57)</f>
      </c>
      <c r="R62" s="629">
        <f ca="1">MIN(R53:R57)</f>
      </c>
      <c r="S62" s="629">
        <f ca="1">MIN(S53:S57)</f>
      </c>
      <c r="T62" s="629">
        <f ca="1">MIN(T53:T57)</f>
      </c>
      <c r="U62" s="629">
        <f ca="1">MIN(U53:U57)</f>
      </c>
      <c r="V62" s="630">
        <f ca="1">MIN(V53:V57)</f>
      </c>
      <c r="W62" s="16"/>
      <c r="X62" s="4"/>
      <c r="Y62" s="47"/>
      <c r="Z62" s="624" t="str">
        <f ca="1">Z21</f>
        <v>Low</v>
      </c>
      <c r="AA62" s="625"/>
      <c r="AB62" s="625"/>
      <c r="AC62" s="626">
        <f ca="1">MIN(AC53:AC57)</f>
      </c>
      <c r="AD62" s="626">
        <f ca="1">MIN(AD53:AD57)</f>
      </c>
      <c r="AE62" s="627">
        <f ca="1">MIN(AE53:AE57)</f>
      </c>
      <c r="AF62" s="627">
        <f ca="1">MIN(AF53:AF57)</f>
      </c>
      <c r="AG62" s="627">
        <f ca="1">MIN(AG53:AG57)</f>
      </c>
      <c r="AH62" s="627">
        <f ca="1">MIN(AH53:AH57)</f>
      </c>
      <c r="AI62" s="627">
        <f ca="1">MIN(AI53:AI57)</f>
      </c>
      <c r="AJ62" s="627">
        <f ca="1">MIN(AJ53:AJ57)</f>
      </c>
      <c r="AK62" s="627">
        <f ca="1">MIN(AK53:AK57)</f>
      </c>
      <c r="AL62" s="627">
        <f ca="1">MIN(AL53:AL57)</f>
      </c>
      <c r="AM62" s="628">
        <f ca="1">MIN(AM53:AM57)</f>
      </c>
      <c r="AN62" s="629">
        <f ca="1">MIN(AN53:AN57)</f>
      </c>
      <c r="AO62" s="629">
        <f ca="1">MIN(AO53:AO57)</f>
      </c>
      <c r="AP62" s="629">
        <f ca="1">MIN(AP53:AP57)</f>
      </c>
      <c r="AQ62" s="629">
        <f ca="1">MIN(AQ53:AQ57)</f>
      </c>
      <c r="AR62" s="630">
        <f ca="1">MIN(AR53:AR57)</f>
      </c>
      <c r="AS62" s="4"/>
      <c r="AT62" s="4"/>
      <c r="AU62" s="47"/>
      <c r="AV62" s="624" t="str">
        <f ca="1">AV21</f>
        <v>Low</v>
      </c>
      <c r="AW62" s="625"/>
      <c r="AX62" s="625"/>
      <c r="AY62" s="626">
        <f ca="1">MIN(AY53:AY57)</f>
      </c>
      <c r="AZ62" s="626">
        <f ca="1">MIN(AZ53:AZ57)</f>
      </c>
      <c r="BA62" s="627">
        <f ca="1">MIN(BA53:BA57)</f>
      </c>
      <c r="BB62" s="627">
        <f ca="1">MIN(BB53:BB57)</f>
      </c>
      <c r="BC62" s="627">
        <f ca="1">MIN(BC53:BC57)</f>
      </c>
      <c r="BD62" s="627">
        <f ca="1">MIN(BD53:BD57)</f>
      </c>
      <c r="BE62" s="627">
        <f ca="1">MIN(BE53:BE57)</f>
      </c>
      <c r="BF62" s="627">
        <f ca="1">MIN(BF53:BF57)</f>
      </c>
      <c r="BG62" s="627">
        <f ca="1">MIN(BG53:BG57)</f>
      </c>
      <c r="BH62" s="627">
        <f ca="1">MIN(BH53:BH57)</f>
      </c>
      <c r="BI62" s="628">
        <f ca="1">MIN(BI53:BI57)</f>
      </c>
      <c r="BJ62" s="629">
        <f ca="1">MIN(BJ53:BJ57)</f>
      </c>
      <c r="BK62" s="629">
        <f ca="1">MIN(BK53:BK57)</f>
      </c>
      <c r="BL62" s="629">
        <f ca="1">MIN(BL53:BL57)</f>
      </c>
      <c r="BM62" s="629">
        <f ca="1">MIN(BM53:BM57)</f>
      </c>
      <c r="BN62" s="630">
        <f ca="1">MIN(BN53:BN57)</f>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 ca="1">D23</f>
        <v>Company</v>
      </c>
      <c r="E65" s="66"/>
      <c r="F65" s="66"/>
      <c r="G65" s="538" t="str">
        <f ca="1">G23</f>
        <v>General Statistics</v>
      </c>
      <c r="H65" s="66"/>
      <c r="I65" s="66"/>
      <c r="J65" s="538" t="str">
        <f ca="1">J23</f>
        <v>Returns Analysis</v>
      </c>
      <c r="K65" s="66"/>
      <c r="L65" s="66"/>
      <c r="M65" s="538" t="str">
        <f t="shared" ref="M65:M66" si="44" ca="1">M23</f>
        <v>2025A Leverage Analysis</v>
      </c>
      <c r="N65" s="66"/>
      <c r="O65" s="66"/>
      <c r="P65" s="538" t="str">
        <f ca="1">P23</f>
        <v>2025A Coverage Analysis</v>
      </c>
      <c r="Q65" s="66"/>
      <c r="R65" s="66"/>
      <c r="S65" s="538" t="str">
        <f ca="1">S23</f>
        <v>Liquidity Profile</v>
      </c>
      <c r="T65" s="66"/>
      <c r="U65" s="538" t="str">
        <f ca="1">U23</f>
        <v>Credit Profile</v>
      </c>
      <c r="V65" s="66"/>
      <c r="W65" s="16"/>
      <c r="X65" s="4"/>
      <c r="Y65" s="47"/>
      <c r="Z65" s="538" t="str">
        <f ca="1">Z23</f>
        <v>Company</v>
      </c>
      <c r="AA65" s="66"/>
      <c r="AB65" s="66"/>
      <c r="AC65" s="538" t="str">
        <f ca="1">AC23</f>
        <v>General Statistics</v>
      </c>
      <c r="AD65" s="66"/>
      <c r="AE65" s="66"/>
      <c r="AF65" s="538" t="str">
        <f ca="1">AF23</f>
        <v>Returns Analysis</v>
      </c>
      <c r="AG65" s="66"/>
      <c r="AH65" s="66"/>
      <c r="AI65" s="538" t="str">
        <f t="shared" ref="AI65:AI66" si="45" ca="1">AI23</f>
        <v>2025A Leverage Analysis</v>
      </c>
      <c r="AJ65" s="66"/>
      <c r="AK65" s="66"/>
      <c r="AL65" s="538" t="str">
        <f ca="1">AL23</f>
        <v>2025A Coverage Analysis</v>
      </c>
      <c r="AM65" s="66"/>
      <c r="AN65" s="66"/>
      <c r="AO65" s="538" t="str">
        <f ca="1">AO23</f>
        <v>Liquidity Profile</v>
      </c>
      <c r="AP65" s="66"/>
      <c r="AQ65" s="538" t="str">
        <f ca="1">AQ23</f>
        <v>Credit Profile</v>
      </c>
      <c r="AR65" s="66"/>
      <c r="AS65" s="4"/>
      <c r="AT65" s="4"/>
      <c r="AU65" s="47"/>
      <c r="AV65" s="538" t="str">
        <f ca="1">AV23</f>
        <v>Company</v>
      </c>
      <c r="AW65" s="66"/>
      <c r="AX65" s="66"/>
      <c r="AY65" s="538" t="str">
        <f ca="1">AY23</f>
        <v>General Statistics</v>
      </c>
      <c r="AZ65" s="66"/>
      <c r="BA65" s="66"/>
      <c r="BB65" s="538" t="str">
        <f ca="1">BB23</f>
        <v>Returns Analysis</v>
      </c>
      <c r="BC65" s="66"/>
      <c r="BD65" s="66"/>
      <c r="BE65" s="538" t="str">
        <f t="shared" ref="BE65:BE66" si="46" ca="1">BE23</f>
        <v>2025A Leverage Analysis</v>
      </c>
      <c r="BF65" s="66"/>
      <c r="BG65" s="66"/>
      <c r="BH65" s="538" t="str">
        <f ca="1">BH23</f>
        <v>2025A Coverage Analysis</v>
      </c>
      <c r="BI65" s="66"/>
      <c r="BJ65" s="66"/>
      <c r="BK65" s="538" t="str">
        <f ca="1">BK23</f>
        <v>Liquidity Profile</v>
      </c>
      <c r="BL65" s="66"/>
      <c r="BM65" s="538" t="str">
        <f ca="1">BM23</f>
        <v>Credit Profile</v>
      </c>
      <c r="BN65" s="66"/>
    </row>
    <row r="66" ht="13.5" customHeight="1" spans="1:66" x14ac:dyDescent="0.25" outlineLevel="1" collapsed="1">
      <c r="A66" s="4"/>
      <c r="B66" s="47"/>
      <c r="C66" s="47"/>
      <c r="D66" s="16"/>
      <c r="E66" s="16"/>
      <c r="F66" s="16"/>
      <c r="G66" s="16"/>
      <c r="H66" s="16"/>
      <c r="I66" s="16"/>
      <c r="J66" s="16"/>
      <c r="K66" s="16"/>
      <c r="L66" s="16"/>
      <c r="M66" s="538" t="str">
        <f ca="1">M24</f>
        <v>Total Debt / </v>
      </c>
      <c r="N66" s="66"/>
      <c r="O66" s="66"/>
      <c r="P66" s="16"/>
      <c r="Q66" s="16"/>
      <c r="R66" s="16"/>
      <c r="S66" s="16"/>
      <c r="T66" s="16"/>
      <c r="U66" s="16"/>
      <c r="V66" s="16"/>
      <c r="W66" s="16"/>
      <c r="X66" s="4"/>
      <c r="Y66" s="47"/>
      <c r="Z66" s="16"/>
      <c r="AA66" s="16"/>
      <c r="AB66" s="16"/>
      <c r="AC66" s="16"/>
      <c r="AD66" s="16"/>
      <c r="AE66" s="16"/>
      <c r="AF66" s="16"/>
      <c r="AG66" s="16"/>
      <c r="AH66" s="16"/>
      <c r="AI66" s="538" t="str">
        <f ca="1">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 ca="1">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 ca="1">I25</f>
        <v>Dividend</v>
      </c>
      <c r="J67" s="84"/>
      <c r="K67" s="84"/>
      <c r="L67" s="84"/>
      <c r="M67" s="84"/>
      <c r="N67" s="84"/>
      <c r="O67" s="84"/>
      <c r="P67" s="84" t="str">
        <f t="shared" ref="P67:T67" si="47" ca="1">P25</f>
        <v>EBITDA / </v>
      </c>
      <c r="Q67" s="84" t="str">
        <f ca="1">Q25</f>
        <v>(EBITDA -</v>
      </c>
      <c r="R67" s="84" t="str">
        <f ca="1">R25</f>
        <v>EBIT / </v>
      </c>
      <c r="S67" s="84" t="str">
        <f ca="1">S25</f>
        <v>Quick</v>
      </c>
      <c r="T67" s="84" t="str">
        <f ca="1">T25</f>
        <v>Current</v>
      </c>
      <c r="U67" s="84"/>
      <c r="V67" s="84"/>
      <c r="W67" s="16"/>
      <c r="X67" s="4"/>
      <c r="Y67" s="47"/>
      <c r="Z67" s="84"/>
      <c r="AA67" s="84"/>
      <c r="AB67" s="84"/>
      <c r="AC67" s="84"/>
      <c r="AD67" s="84"/>
      <c r="AE67" s="84" t="str">
        <f ca="1">AE25</f>
        <v>Dividend</v>
      </c>
      <c r="AF67" s="84"/>
      <c r="AG67" s="84"/>
      <c r="AH67" s="84"/>
      <c r="AI67" s="84"/>
      <c r="AJ67" s="84"/>
      <c r="AK67" s="84"/>
      <c r="AL67" s="84" t="str">
        <f t="shared" ref="AL67:AP67" si="48" ca="1">AL25</f>
        <v>EBITDA / </v>
      </c>
      <c r="AM67" s="84" t="str">
        <f ca="1">AM25</f>
        <v>(EBITDA -</v>
      </c>
      <c r="AN67" s="84" t="str">
        <f ca="1">AN25</f>
        <v>EBIT / </v>
      </c>
      <c r="AO67" s="84" t="str">
        <f ca="1">AO25</f>
        <v>Quick</v>
      </c>
      <c r="AP67" s="84" t="str">
        <f ca="1">AP25</f>
        <v>Current</v>
      </c>
      <c r="AQ67" s="84"/>
      <c r="AR67" s="84"/>
      <c r="AS67" s="4"/>
      <c r="AT67" s="4"/>
      <c r="AU67" s="47"/>
      <c r="AV67" s="84"/>
      <c r="AW67" s="84"/>
      <c r="AX67" s="84"/>
      <c r="AY67" s="84"/>
      <c r="AZ67" s="84"/>
      <c r="BA67" s="84" t="str">
        <f ca="1">BA25</f>
        <v>Dividend</v>
      </c>
      <c r="BB67" s="84"/>
      <c r="BC67" s="84"/>
      <c r="BD67" s="84"/>
      <c r="BE67" s="84"/>
      <c r="BF67" s="84"/>
      <c r="BG67" s="84"/>
      <c r="BH67" s="84" t="str">
        <f t="shared" ref="BH67:BL67" si="49" ca="1">BH25</f>
        <v>EBITDA / </v>
      </c>
      <c r="BI67" s="84" t="str">
        <f ca="1">BI25</f>
        <v>(EBITDA -</v>
      </c>
      <c r="BJ67" s="84" t="str">
        <f ca="1">BJ25</f>
        <v>EBIT / </v>
      </c>
      <c r="BK67" s="84" t="str">
        <f ca="1">BK25</f>
        <v>Quick</v>
      </c>
      <c r="BL67" s="84" t="str">
        <f ca="1">BL25</f>
        <v>Current</v>
      </c>
      <c r="BM67" s="84"/>
      <c r="BN67" s="84"/>
    </row>
    <row r="68" ht="13.5" customHeight="1" spans="1:66" x14ac:dyDescent="0.25" outlineLevel="1" collapsed="1">
      <c r="A68" s="4"/>
      <c r="B68" s="47"/>
      <c r="C68" s="47"/>
      <c r="D68" s="139"/>
      <c r="E68" s="84"/>
      <c r="F68" s="538" t="str">
        <f t="shared" ref="F68:T68" si="50" ca="1">F26</f>
        <v>Ticker</v>
      </c>
      <c r="G68" s="538" t="str">
        <f ca="1">G26</f>
        <v>Tax Rate</v>
      </c>
      <c r="H68" s="538" t="str">
        <f ca="1">H26</f>
        <v>Beta</v>
      </c>
      <c r="I68" s="538" t="str">
        <f ca="1">I26</f>
        <v>Yield</v>
      </c>
      <c r="J68" s="538" t="str">
        <f ca="1">J26</f>
        <v>ROIC</v>
      </c>
      <c r="K68" s="538" t="str">
        <f ca="1">K26</f>
        <v>ROE </v>
      </c>
      <c r="L68" s="538" t="str">
        <f ca="1">L26</f>
        <v>ROA</v>
      </c>
      <c r="M68" s="538" t="str">
        <f ca="1">M26</f>
        <v>Cap</v>
      </c>
      <c r="N68" s="538" t="str">
        <f ca="1">N26</f>
        <v>EBITDA</v>
      </c>
      <c r="O68" s="538" t="str">
        <f ca="1">O26</f>
        <v>Equity</v>
      </c>
      <c r="P68" s="538" t="str">
        <f ca="1">P26</f>
        <v>Int. Exp.</v>
      </c>
      <c r="Q68" s="538" t="str">
        <f ca="1">Q26</f>
        <v>Capex)/Int.</v>
      </c>
      <c r="R68" s="538" t="str">
        <f ca="1">R26</f>
        <v>Int. Exp.</v>
      </c>
      <c r="S68" s="538" t="str">
        <f ca="1">S26</f>
        <v>Ratio</v>
      </c>
      <c r="T68" s="538" t="str">
        <f ca="1">T26</f>
        <v>Ratio</v>
      </c>
      <c r="U68" s="538" t="s">
        <v>538</v>
      </c>
      <c r="V68" s="538" t="s">
        <v>539</v>
      </c>
      <c r="W68" s="16"/>
      <c r="X68" s="4"/>
      <c r="Y68" s="47"/>
      <c r="Z68" s="139"/>
      <c r="AA68" s="84"/>
      <c r="AB68" s="538" t="str">
        <f t="shared" ref="AB68:AR68" si="51" ca="1">AB26</f>
        <v>Ticker</v>
      </c>
      <c r="AC68" s="538" t="str">
        <f ca="1">AC26</f>
        <v>Tax Rate</v>
      </c>
      <c r="AD68" s="538" t="str">
        <f ca="1">AD26</f>
        <v>Beta</v>
      </c>
      <c r="AE68" s="538" t="str">
        <f ca="1">AE26</f>
        <v>Yield</v>
      </c>
      <c r="AF68" s="538" t="str">
        <f ca="1">AF26</f>
        <v>ROIC</v>
      </c>
      <c r="AG68" s="538" t="str">
        <f ca="1">AG26</f>
        <v>ROE </v>
      </c>
      <c r="AH68" s="538" t="str">
        <f ca="1">AH26</f>
        <v>ROA</v>
      </c>
      <c r="AI68" s="538" t="str">
        <f ca="1">AI26</f>
        <v>Cap</v>
      </c>
      <c r="AJ68" s="538" t="str">
        <f ca="1">AJ26</f>
        <v>EBITDA</v>
      </c>
      <c r="AK68" s="538" t="str">
        <f ca="1">AK26</f>
        <v>Equity</v>
      </c>
      <c r="AL68" s="538" t="str">
        <f ca="1">AL26</f>
        <v>Int. Exp.</v>
      </c>
      <c r="AM68" s="538" t="str">
        <f ca="1">AM26</f>
        <v>Capex)/Int.</v>
      </c>
      <c r="AN68" s="538" t="str">
        <f ca="1">AN26</f>
        <v>Int. Exp.</v>
      </c>
      <c r="AO68" s="538" t="str">
        <f ca="1">AO26</f>
        <v>Ratio</v>
      </c>
      <c r="AP68" s="538" t="str">
        <f ca="1">AP26</f>
        <v>Ratio</v>
      </c>
      <c r="AQ68" s="538" t="str">
        <f ca="1">AQ26</f>
        <v>S&amp;P</v>
      </c>
      <c r="AR68" s="538" t="str">
        <f ca="1">AR26</f>
        <v>Outlook</v>
      </c>
      <c r="AS68" s="4"/>
      <c r="AT68" s="4"/>
      <c r="AU68" s="47"/>
      <c r="AV68" s="139"/>
      <c r="AW68" s="84"/>
      <c r="AX68" s="538" t="str">
        <f t="shared" ref="AX68:BN68" si="52" ca="1">AX26</f>
        <v>Ticker</v>
      </c>
      <c r="AY68" s="538" t="str">
        <f ca="1">AY26</f>
        <v>Tax Rate</v>
      </c>
      <c r="AZ68" s="538" t="str">
        <f ca="1">AZ26</f>
        <v>Beta</v>
      </c>
      <c r="BA68" s="538" t="str">
        <f ca="1">BA26</f>
        <v>Yield</v>
      </c>
      <c r="BB68" s="538" t="str">
        <f ca="1">BB26</f>
        <v>ROIC</v>
      </c>
      <c r="BC68" s="538" t="str">
        <f ca="1">BC26</f>
        <v>ROE </v>
      </c>
      <c r="BD68" s="538" t="str">
        <f ca="1">BD26</f>
        <v>ROA</v>
      </c>
      <c r="BE68" s="538" t="str">
        <f ca="1">BE26</f>
        <v>Cap</v>
      </c>
      <c r="BF68" s="538" t="str">
        <f ca="1">BF26</f>
        <v>EBITDA</v>
      </c>
      <c r="BG68" s="538" t="str">
        <f ca="1">BG26</f>
        <v>Equity</v>
      </c>
      <c r="BH68" s="538" t="str">
        <f ca="1">BH26</f>
        <v>Int. Exp.</v>
      </c>
      <c r="BI68" s="538" t="str">
        <f ca="1">BI26</f>
        <v>Capex)/Int.</v>
      </c>
      <c r="BJ68" s="538" t="str">
        <f ca="1">BJ26</f>
        <v>Int. Exp.</v>
      </c>
      <c r="BK68" s="538" t="str">
        <f ca="1">BK26</f>
        <v>Ratio</v>
      </c>
      <c r="BL68" s="538" t="str">
        <f ca="1">BL26</f>
        <v>Ratio</v>
      </c>
      <c r="BM68" s="538" t="str">
        <f ca="1">BM26</f>
        <v>S&amp;P</v>
      </c>
      <c r="BN68" s="538" t="str">
        <f ca="1">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 ca="1">E90</f>
        <v>IQ180871</v>
      </c>
      <c r="C70" s="599"/>
      <c r="D70" s="600">
        <f ca="1">D51</f>
        <v>1e-12</v>
      </c>
      <c r="E70" s="601"/>
      <c r="F70" s="602" t="str">
        <f ca="1">F51</f>
        <v>LOW</v>
      </c>
      <c r="G70" s="604">
        <f ca="1">_xll.ciqfunctions.udf.CIQ($B70, "IQ_EFFECT_TAX_RATE",IQ_FY)/100</f>
      </c>
      <c r="H70" s="631">
        <f ca="1">_xll.ciqfunctions.udf.CIQ($B70, "IQ_BETA_5YR",Current_Date)</f>
      </c>
      <c r="I70" s="604">
        <f ca="1">_xll.ciqfunctions.udf.CIQ($B70, "IQ_DIVIDEND_YIELD",Current_Date)/100</f>
      </c>
      <c r="J70" s="604">
        <f ca="1">(_xll.ciqfunctions.udf.CIQ($B70,"IQ_OPER_INC",IQ_LTM)*(1-G70))/(((_xll.ciqfunctions.udf.CIQ($B70,"IQ_TOTAL_DEBT",IQ_LTM))+_xll.ciqfunctions.udf.CIQ($B70,"IQ_TOTAL_EQUITY",IQ_LTM))-_xll.ciqfunctions.udf.CIQ($B70,"IQ_CASH_EQUIV",IQ_LTM))</f>
      </c>
      <c r="K70" s="604">
        <f ca="1">_xll.ciqfunctions.udf.CIQ($B70, "IQ_RETURN_EQUITY",IQ_LTM)/100</f>
      </c>
      <c r="L70" s="604">
        <f ca="1">_xll.ciqfunctions.udf.CIQ($B70, "IQ_RETURN_ASSETS",IQ_LTM)/100</f>
      </c>
      <c r="M70" s="605">
        <f ca="1">_xll.ciqfunctions.udf.CIQ($B70, "IQ_TOTAL_DEBT_CAPITAL",IQ_FY)/100</f>
      </c>
      <c r="N70" s="605">
        <f ca="1">_xll.ciqfunctions.udf.CIQ($B70, "IQ_TOTAL_DEBT_EBITDA",IQ_FY)</f>
      </c>
      <c r="O70" s="605">
        <f ca="1">_xll.ciqfunctions.udf.CIQ($B70, "IQ_TOTAL_DEBT_EQUITY",IQ_FY)/100</f>
      </c>
      <c r="P70" s="605">
        <f ca="1">_xll.ciqfunctions.udf.CIQ($B70, "IQ_EBITDA_INT",IQ_FY)</f>
      </c>
      <c r="Q70" s="605">
        <f ca="1">_xll.ciqfunctions.udf.CIQ($B70, "IQ_EBITDA_CAPEX_INT",IQ_FY)</f>
      </c>
      <c r="R70" s="605">
        <f ca="1">_xll.ciqfunctions.udf.CIQ($B70, "IQ_EBIT_INT",IQ_FY)</f>
      </c>
      <c r="S70" s="605">
        <f ca="1">_xll.ciqfunctions.udf.CIQ($B70, "IQ_QUICK_RATIO",IQ_FY)</f>
      </c>
      <c r="T70" s="605">
        <f ca="1">_xll.ciqfunctions.udf.CIQ($B70, "IQ_CURRENT_RATIO",IQ_FY)</f>
      </c>
      <c r="U70" s="602">
        <f ca="1">_xll.ciqfunctions.udf.CIQ($B70, "IQ_SP_LC_LT",Current)</f>
      </c>
      <c r="V70" s="632">
        <f ca="1">_xll.ciqfunctions.udf.CIQ($B70, "IQ_SP_OUTLOOK_WATCH",Current)</f>
      </c>
      <c r="W70" s="16"/>
      <c r="X70" s="599" t="str">
        <f ca="1">I90</f>
        <v>IQ180871</v>
      </c>
      <c r="Y70" s="47"/>
      <c r="Z70" s="600" t="str">
        <f ca="1">Z51</f>
        <v>Lowe's Companies, Inc.</v>
      </c>
      <c r="AA70" s="601"/>
      <c r="AB70" s="602" t="str">
        <f ca="1">AB51</f>
        <v>LOW</v>
      </c>
      <c r="AC70" s="604">
        <f ca="1">_xll.ciqfunctions.udf.CIQ($X70, "IQ_EFFECT_TAX_RATE",IQ_FY)/100</f>
      </c>
      <c r="AD70" s="631">
        <f ca="1">_xll.ciqfunctions.udf.CIQ($X70, "IQ_BETA_5YR",Current_Date)</f>
      </c>
      <c r="AE70" s="604">
        <f ca="1">_xll.ciqfunctions.udf.CIQ($X70, "IQ_DIVIDEND_YIELD",Current_Date)/100</f>
      </c>
      <c r="AF70" s="604">
        <f ca="1">(_xll.ciqfunctions.udf.CIQ($X70,"IQ_OPER_INC",IQ_LTM)*(1-AC70))/(((_xll.ciqfunctions.udf.CIQ($X70,"IQ_TOTAL_DEBT",IQ_LTM))+_xll.ciqfunctions.udf.CIQ($X70,"IQ_TOTAL_EQUITY",IQ_LTM))-_xll.ciqfunctions.udf.CIQ($X70,"IQ_CASH_EQUIV",IQ_LTM))</f>
      </c>
      <c r="AG70" s="604">
        <f ca="1">_xll.ciqfunctions.udf.CIQ($X70, "IQ_RETURN_EQUITY",IQ_LTM)/100</f>
      </c>
      <c r="AH70" s="604">
        <f ca="1">_xll.ciqfunctions.udf.CIQ($X70, "IQ_RETURN_ASSETS",IQ_LTM)/100</f>
      </c>
      <c r="AI70" s="605">
        <f ca="1">_xll.ciqfunctions.udf.CIQ($X70, "IQ_TOTAL_DEBT_CAPITAL",IQ_FY)/100</f>
      </c>
      <c r="AJ70" s="605">
        <f ca="1">_xll.ciqfunctions.udf.CIQ($X70, "IQ_TOTAL_DEBT_EBITDA",IQ_FY)</f>
      </c>
      <c r="AK70" s="605">
        <f ca="1">_xll.ciqfunctions.udf.CIQ($X70, "IQ_TOTAL_DEBT_EQUITY",IQ_FY)/100</f>
      </c>
      <c r="AL70" s="605">
        <f ca="1">_xll.ciqfunctions.udf.CIQ($X70, "IQ_EBITDA_INT",IQ_FY)</f>
      </c>
      <c r="AM70" s="605">
        <f ca="1">_xll.ciqfunctions.udf.CIQ($X70, "IQ_EBITDA_CAPEX_INT",IQ_FY)</f>
      </c>
      <c r="AN70" s="605">
        <f ca="1">_xll.ciqfunctions.udf.CIQ($X70, "IQ_EBIT_INT",IQ_FY)</f>
      </c>
      <c r="AO70" s="631">
        <f ca="1">_xll.ciqfunctions.udf.CIQ($X70, "IQ_QUICK_RATIO",IQ_FY)</f>
      </c>
      <c r="AP70" s="631">
        <f ca="1">_xll.ciqfunctions.udf.CIQ($X70, "IQ_CURRENT_RATIO",IQ_FY)</f>
      </c>
      <c r="AQ70" s="602">
        <f ca="1">_xll.ciqfunctions.udf.CIQ($X70, "IQ_SP_LC_LT",Current)</f>
      </c>
      <c r="AR70" s="632">
        <f ca="1">_xll.ciqfunctions.udf.CIQ($X70, "IQ_SP_OUTLOOK_WATCH",Current)</f>
      </c>
      <c r="AS70" s="4"/>
      <c r="AT70" s="599" t="str">
        <f ca="1">N90</f>
        <v>IQ180871</v>
      </c>
      <c r="AU70" s="47">
        <f t="shared" ref="AU70:AV70" si="53" ca="1">AU51</f>
        <v>1e-12</v>
      </c>
      <c r="AV70" s="600" t="str">
        <f ca="1">AV51</f>
        <v>Lowe's Companies, Inc.</v>
      </c>
      <c r="AW70" s="601"/>
      <c r="AX70" s="602" t="str">
        <f ca="1">AX51</f>
        <v>LOW</v>
      </c>
      <c r="AY70" s="604">
        <f ca="1">_xll.ciqfunctions.udf.CIQ($AT70, "IQ_EFFECT_TAX_RATE",IQ_FY)/100</f>
      </c>
      <c r="AZ70" s="631">
        <f ca="1">_xll.ciqfunctions.udf.CIQ($AT70, "IQ_BETA_5YR",Current_Date)</f>
      </c>
      <c r="BA70" s="604">
        <f ca="1">_xll.ciqfunctions.udf.CIQ($AT70, "IQ_DIVIDEND_YIELD",Current_Date)/100</f>
      </c>
      <c r="BB70" s="604">
        <f ca="1">(_xll.ciqfunctions.udf.CIQ($AT70,"IQ_OPER_INC",IQ_LTM)*(1-AY70))/(((_xll.ciqfunctions.udf.CIQ($AT70,"IQ_TOTAL_DEBT",IQ_LTM))+_xll.ciqfunctions.udf.CIQ($AT70,"IQ_TOTAL_EQUITY",IQ_LTM))-_xll.ciqfunctions.udf.CIQ($AT70,"IQ_CASH_EQUIV",IQ_LTM))</f>
      </c>
      <c r="BC70" s="604">
        <f ca="1">_xll.ciqfunctions.udf.CIQ($AT70, "IQ_RETURN_EQUITY",IQ_LTM)/100</f>
      </c>
      <c r="BD70" s="604">
        <f ca="1">_xll.ciqfunctions.udf.CIQ($AT70, "IQ_RETURN_ASSETS",IQ_LTM)/100</f>
      </c>
      <c r="BE70" s="605">
        <f ca="1">_xll.ciqfunctions.udf.CIQ($AT70, "IQ_TOTAL_DEBT_CAPITAL",IQ_FY)/100</f>
      </c>
      <c r="BF70" s="605">
        <f ca="1">_xll.ciqfunctions.udf.CIQ($AT70, "IQ_TOTAL_DEBT_EBITDA",IQ_FY)</f>
      </c>
      <c r="BG70" s="605">
        <f ca="1">_xll.ciqfunctions.udf.CIQ($AT70, "IQ_TOTAL_DEBT_EQUITY",IQ_FY)/100</f>
      </c>
      <c r="BH70" s="605">
        <f ca="1">_xll.ciqfunctions.udf.CIQ($AT70, "IQ_EBITDA_INT",IQ_FY)</f>
      </c>
      <c r="BI70" s="605">
        <f ca="1">_xll.ciqfunctions.udf.CIQ($AT70, "IQ_EBITDA_CAPEX_INT",IQ_FY)</f>
      </c>
      <c r="BJ70" s="605">
        <f ca="1">_xll.ciqfunctions.udf.CIQ($AT70, "IQ_EBIT_INT",IQ_FY)</f>
      </c>
      <c r="BK70" s="631">
        <f ca="1">_xll.ciqfunctions.udf.CIQ($AT70, "IQ_QUICK_RATIO",IQ_FY)</f>
      </c>
      <c r="BL70" s="631">
        <f ca="1">_xll.ciqfunctions.udf.CIQ($AT70, "IQ_CURRENT_RATIO",IQ_FY)</f>
      </c>
      <c r="BM70" s="602">
        <f ca="1">_xll.ciqfunctions.udf.CIQ($AT70, "IQ_SP_LC_LT",Current)</f>
      </c>
      <c r="BN70" s="632">
        <f ca="1">_xll.ciqfunctions.udf.CIQ($AT70, "IQ_SP_OUTLOOK_WATCH",Current)</f>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 ca="1">E94</f>
        <v>IQ278679</v>
      </c>
      <c r="C72" s="599"/>
      <c r="D72" s="16">
        <f ca="1">D53</f>
        <v>1e-12</v>
      </c>
      <c r="E72" s="16"/>
      <c r="F72" s="84" t="str">
        <f ca="1">E93</f>
        <v>HD</v>
      </c>
      <c r="G72" s="547">
        <f ca="1">_xll.ciqfunctions.udf.CIQ($B72, "IQ_EFFECT_TAX_RATE",IQ_FY)/100</f>
      </c>
      <c r="H72" s="581">
        <f ca="1">_xll.ciqfunctions.udf.CIQ($B72, "IQ_BETA_5YR",Current_Date)</f>
      </c>
      <c r="I72" s="547">
        <f ca="1">_xll.ciqfunctions.udf.CIQ($B72, "IQ_DIVIDEND_YIELD",Current_Date)/100</f>
      </c>
      <c r="J72" s="547">
        <f ca="1">(_xll.ciqfunctions.udf.CIQ($B72,"IQ_OPER_INC",IQ_LTM)*(1-G72))/(((_xll.ciqfunctions.udf.CIQ($B72,"IQ_TOTAL_DEBT",IQ_LTM))+_xll.ciqfunctions.udf.CIQ($B72,"IQ_TOTAL_EQUITY",IQ_LTM))-_xll.ciqfunctions.udf.CIQ($B72,"IQ_CASH_EQUIV",IQ_LTM))</f>
      </c>
      <c r="K72" s="547">
        <f ca="1">_xll.ciqfunctions.udf.CIQ($B72, "IQ_RETURN_EQUITY",IQ_LTM)/100</f>
      </c>
      <c r="L72" s="547">
        <f ca="1">_xll.ciqfunctions.udf.CIQ($B72, "IQ_RETURN_ASSETS",IQ_LTM)/100</f>
      </c>
      <c r="M72" s="551">
        <f ca="1">_xll.ciqfunctions.udf.CIQ($B72, "IQ_TOTAL_DEBT_CAPITAL",IQ_FY)/100</f>
      </c>
      <c r="N72" s="551">
        <f ca="1">_xll.ciqfunctions.udf.CIQ($B72, "IQ_TOTAL_DEBT_EBITDA",IQ_FY)</f>
      </c>
      <c r="O72" s="551">
        <f ca="1">_xll.ciqfunctions.udf.CIQ($B72, "IQ_TOTAL_DEBT_EQUITY",IQ_FY)/100</f>
      </c>
      <c r="P72" s="551">
        <f ca="1">_xll.ciqfunctions.udf.CIQ($B72, "IQ_EBITDA_INT",IQ_FY)</f>
      </c>
      <c r="Q72" s="551">
        <f ca="1">_xll.ciqfunctions.udf.CIQ($B72, "IQ_EBITDA_CAPEX_INT",IQ_FY)</f>
      </c>
      <c r="R72" s="551">
        <f ca="1">_xll.ciqfunctions.udf.CIQ($B72, "IQ_EBIT_INT",IQ_FY)</f>
      </c>
      <c r="S72" s="551">
        <f ca="1">_xll.ciqfunctions.udf.CIQ($B72, "IQ_QUICK_RATIO",IQ_FY)</f>
      </c>
      <c r="T72" s="551">
        <f ca="1">_xll.ciqfunctions.udf.CIQ($B72, "IQ_CURRENT_RATIO",IQ_FY)</f>
      </c>
      <c r="U72" s="84">
        <f ca="1">_xll.ciqfunctions.udf.CIQ($B72, "IQ_SP_LC_LT",Current)</f>
      </c>
      <c r="V72" s="84">
        <f ca="1">_xll.ciqfunctions.udf.CIQ($B72, "IQ_SP_OUTLOOK_WATCH",Current)</f>
      </c>
      <c r="W72" s="16"/>
      <c r="X72" s="599" t="str">
        <f ca="1">I94</f>
        <v>IQ159230</v>
      </c>
      <c r="Y72" s="47"/>
      <c r="Z72" s="16">
        <f ca="1">Z53</f>
        <v>1e-12</v>
      </c>
      <c r="AA72" s="16"/>
      <c r="AB72" s="84" t="str">
        <f ca="1">I93</f>
        <v>RTX</v>
      </c>
      <c r="AC72" s="547">
        <f ca="1">_xll.ciqfunctions.udf.CIQ($X72, "IQ_EFFECT_TAX_RATE",IQ_FY)/100</f>
      </c>
      <c r="AD72" s="581">
        <f ca="1">_xll.ciqfunctions.udf.CIQ($X72, "IQ_BETA_5YR",Current_Date)</f>
      </c>
      <c r="AE72" s="547">
        <f ca="1">_xll.ciqfunctions.udf.CIQ($X72, "IQ_DIVIDEND_YIELD",Current_Date)/100</f>
      </c>
      <c r="AF72" s="547">
        <f ca="1">(_xll.ciqfunctions.udf.CIQ($X72,"IQ_OPER_INC",IQ_LTM)*(1-AC72))/(((_xll.ciqfunctions.udf.CIQ($X72,"IQ_TOTAL_DEBT",IQ_LTM))+_xll.ciqfunctions.udf.CIQ($X72,"IQ_TOTAL_EQUITY",IQ_LTM))-_xll.ciqfunctions.udf.CIQ($X72,"IQ_CASH_EQUIV",IQ_LTM))</f>
      </c>
      <c r="AG72" s="547">
        <f ca="1">_xll.ciqfunctions.udf.CIQ($X72, "IQ_RETURN_EQUITY",IQ_LTM)/100</f>
      </c>
      <c r="AH72" s="547">
        <f ca="1">_xll.ciqfunctions.udf.CIQ($X72, "IQ_RETURN_ASSETS",IQ_LTM)/100</f>
      </c>
      <c r="AI72" s="551">
        <f ca="1">_xll.ciqfunctions.udf.CIQ($X72, "IQ_TOTAL_DEBT_CAPITAL",IQ_FY)/100</f>
      </c>
      <c r="AJ72" s="551">
        <f ca="1">_xll.ciqfunctions.udf.CIQ($X72, "IQ_TOTAL_DEBT_EBITDA",IQ_FY)</f>
      </c>
      <c r="AK72" s="551">
        <f ca="1">_xll.ciqfunctions.udf.CIQ($X72, "IQ_TOTAL_DEBT_EQUITY",IQ_FY)/100</f>
      </c>
      <c r="AL72" s="551">
        <f ca="1">_xll.ciqfunctions.udf.CIQ($X72, "IQ_EBITDA_INT",IQ_FY)</f>
      </c>
      <c r="AM72" s="551">
        <f ca="1">_xll.ciqfunctions.udf.CIQ($X72, "IQ_EBITDA_CAPEX_INT",IQ_FY)</f>
      </c>
      <c r="AN72" s="551">
        <f ca="1">_xll.ciqfunctions.udf.CIQ($X72, "IQ_EBIT_INT",IQ_FY)</f>
      </c>
      <c r="AO72" s="581">
        <f ca="1">_xll.ciqfunctions.udf.CIQ($X72, "IQ_QUICK_RATIO",IQ_FY)</f>
      </c>
      <c r="AP72" s="581">
        <f ca="1">_xll.ciqfunctions.udf.CIQ($X72, "IQ_CURRENT_RATIO",IQ_FY)</f>
      </c>
      <c r="AQ72" s="84">
        <f ca="1">_xll.ciqfunctions.udf.CIQ($X72, "IQ_SP_LC_LT",Current)</f>
      </c>
      <c r="AR72" s="84">
        <f ca="1">_xll.ciqfunctions.udf.CIQ($X72, "IQ_SP_OUTLOOK_WATCH",Current)</f>
      </c>
      <c r="AS72" s="4"/>
      <c r="AT72" s="599" t="str">
        <f ca="1">N94</f>
        <v>IQ289194</v>
      </c>
      <c r="AU72" s="47">
        <f t="shared" ref="AU72:AV72" si="54" ca="1">AU53</f>
        <v>1e-12</v>
      </c>
      <c r="AV72" s="16">
        <f ca="1">AV53</f>
        <v>1e-12</v>
      </c>
      <c r="AW72" s="16"/>
      <c r="AX72" s="84" t="str">
        <f t="shared" ref="AX72:AX76" si="55" ca="1">AX53</f>
        <v>MMM</v>
      </c>
      <c r="AY72" s="547">
        <f ca="1">_xll.ciqfunctions.udf.CIQ($AT72, "IQ_EFFECT_TAX_RATE",IQ_FY)/100</f>
      </c>
      <c r="AZ72" s="581">
        <f ca="1">_xll.ciqfunctions.udf.CIQ($AT72, "IQ_BETA_5YR",Current_Date)</f>
      </c>
      <c r="BA72" s="547">
        <f ca="1">_xll.ciqfunctions.udf.CIQ($AT72, "IQ_DIVIDEND_YIELD",Current_Date)/100</f>
      </c>
      <c r="BB72" s="547">
        <f ca="1">(_xll.ciqfunctions.udf.CIQ($AT72,"IQ_OPER_INC",IQ_LTM)*(1-AY72))/(((_xll.ciqfunctions.udf.CIQ($AT72,"IQ_TOTAL_DEBT",IQ_LTM))+_xll.ciqfunctions.udf.CIQ($AT72,"IQ_TOTAL_EQUITY",IQ_LTM))-_xll.ciqfunctions.udf.CIQ($AT72,"IQ_CASH_EQUIV",IQ_LTM))</f>
      </c>
      <c r="BC72" s="547">
        <f ca="1">_xll.ciqfunctions.udf.CIQ($AT72, "IQ_RETURN_EQUITY",IQ_LTM)/100</f>
      </c>
      <c r="BD72" s="547">
        <f ca="1">_xll.ciqfunctions.udf.CIQ($AT72, "IQ_RETURN_ASSETS",IQ_LTM)/100</f>
      </c>
      <c r="BE72" s="551">
        <f ca="1">_xll.ciqfunctions.udf.CIQ($AT72, "IQ_TOTAL_DEBT_CAPITAL",IQ_FY)/100</f>
      </c>
      <c r="BF72" s="551">
        <f ca="1">_xll.ciqfunctions.udf.CIQ($AT72, "IQ_TOTAL_DEBT_EBITDA",IQ_FY)</f>
      </c>
      <c r="BG72" s="551">
        <f ca="1">_xll.ciqfunctions.udf.CIQ($AT72, "IQ_TOTAL_DEBT_EQUITY",IQ_FY)/100</f>
      </c>
      <c r="BH72" s="551">
        <f ca="1">_xll.ciqfunctions.udf.CIQ($AT72, "IQ_EBITDA_INT",IQ_FY)</f>
      </c>
      <c r="BI72" s="551">
        <f ca="1">_xll.ciqfunctions.udf.CIQ($AT72, "IQ_EBITDA_CAPEX_INT",IQ_FY)</f>
      </c>
      <c r="BJ72" s="551">
        <f ca="1">_xll.ciqfunctions.udf.CIQ($AT72, "IQ_EBIT_INT",IQ_FY)</f>
      </c>
      <c r="BK72" s="581">
        <f ca="1">_xll.ciqfunctions.udf.CIQ($AT72, "IQ_QUICK_RATIO",IQ_FY)</f>
      </c>
      <c r="BL72" s="581">
        <f ca="1">_xll.ciqfunctions.udf.CIQ($AT72, "IQ_CURRENT_RATIO",IQ_FY)</f>
      </c>
      <c r="BM72" s="84">
        <f ca="1">_xll.ciqfunctions.udf.CIQ($AT72, "IQ_SP_LC_LT",Current)</f>
      </c>
      <c r="BN72" s="84">
        <f ca="1">_xll.ciqfunctions.udf.CIQ($AT72, "IQ_SP_OUTLOOK_WATCH",Current)</f>
      </c>
    </row>
    <row r="73" ht="13.5" customHeight="1" spans="1:66" x14ac:dyDescent="0.25" outlineLevel="1" collapsed="1">
      <c r="A73" s="4"/>
      <c r="B73" s="599" t="str">
        <f ca="1">E98</f>
        <v>IQ20765463</v>
      </c>
      <c r="C73" s="599"/>
      <c r="D73" s="16">
        <f ca="1">D54</f>
        <v>1e-12</v>
      </c>
      <c r="E73" s="16"/>
      <c r="F73" s="84" t="str">
        <f ca="1">E97</f>
        <v>""</v>
      </c>
      <c r="G73" s="547">
        <f ca="1">_xll.ciqfunctions.udf.CIQ($B73, "IQ_EFFECT_TAX_RATE",IQ_FY)/100</f>
      </c>
      <c r="H73" s="581">
        <f ca="1">_xll.ciqfunctions.udf.CIQ($B73, "IQ_BETA_5YR",Current_Date)</f>
      </c>
      <c r="I73" s="547">
        <f ca="1">_xll.ciqfunctions.udf.CIQ($B73, "IQ_DIVIDEND_YIELD",Current_Date)/100</f>
      </c>
      <c r="J73" s="547">
        <f ca="1">(_xll.ciqfunctions.udf.CIQ($B73,"IQ_OPER_INC",IQ_LTM)*(1-G73))/(((_xll.ciqfunctions.udf.CIQ($B73,"IQ_TOTAL_DEBT",IQ_LTM))+_xll.ciqfunctions.udf.CIQ($B73,"IQ_TOTAL_EQUITY",IQ_LTM))-_xll.ciqfunctions.udf.CIQ($B73,"IQ_CASH_EQUIV",IQ_LTM))</f>
      </c>
      <c r="K73" s="547">
        <f ca="1">_xll.ciqfunctions.udf.CIQ($B73, "IQ_RETURN_EQUITY",IQ_LTM)/100</f>
      </c>
      <c r="L73" s="547">
        <f ca="1">_xll.ciqfunctions.udf.CIQ($B73, "IQ_RETURN_ASSETS",IQ_LTM)/100</f>
      </c>
      <c r="M73" s="551">
        <f ca="1">_xll.ciqfunctions.udf.CIQ($B73, "IQ_TOTAL_DEBT_CAPITAL",IQ_FY)/100</f>
      </c>
      <c r="N73" s="551">
        <f ca="1">_xll.ciqfunctions.udf.CIQ($B73, "IQ_TOTAL_DEBT_EBITDA",IQ_FY)</f>
      </c>
      <c r="O73" s="551">
        <f ca="1">_xll.ciqfunctions.udf.CIQ($B73, "IQ_TOTAL_DEBT_EQUITY",IQ_FY)/100</f>
      </c>
      <c r="P73" s="551">
        <f ca="1">_xll.ciqfunctions.udf.CIQ($B73, "IQ_EBITDA_INT",IQ_FY)</f>
      </c>
      <c r="Q73" s="551">
        <f ca="1">_xll.ciqfunctions.udf.CIQ($B73, "IQ_EBITDA_CAPEX_INT",IQ_FY)</f>
      </c>
      <c r="R73" s="551">
        <f ca="1">_xll.ciqfunctions.udf.CIQ($B73, "IQ_EBIT_INT",IQ_FY)</f>
      </c>
      <c r="S73" s="551">
        <f ca="1">_xll.ciqfunctions.udf.CIQ($B73, "IQ_QUICK_RATIO",IQ_FY)</f>
      </c>
      <c r="T73" s="551">
        <f ca="1">_xll.ciqfunctions.udf.CIQ($B73, "IQ_CURRENT_RATIO",IQ_FY)</f>
      </c>
      <c r="U73" s="84">
        <f ca="1">_xll.ciqfunctions.udf.CIQ($B73, "IQ_SP_LC_LT",Current)</f>
      </c>
      <c r="V73" s="84">
        <f ca="1">_xll.ciqfunctions.udf.CIQ($B73, "IQ_SP_OUTLOOK_WATCH",Current)</f>
      </c>
      <c r="W73" s="16"/>
      <c r="X73" s="599" t="str">
        <f ca="1">I98</f>
        <v>IQ370857</v>
      </c>
      <c r="Y73" s="47"/>
      <c r="Z73" s="16">
        <f ca="1">Z54</f>
        <v>1e-12</v>
      </c>
      <c r="AA73" s="16"/>
      <c r="AB73" s="84" t="str">
        <f ca="1">I97</f>
        <v>BA</v>
      </c>
      <c r="AC73" s="547">
        <f ca="1">_xll.ciqfunctions.udf.CIQ($X73, "IQ_EFFECT_TAX_RATE",IQ_FY)/100</f>
      </c>
      <c r="AD73" s="581">
        <f ca="1">_xll.ciqfunctions.udf.CIQ($X73, "IQ_BETA_5YR",Current_Date)</f>
      </c>
      <c r="AE73" s="547">
        <f ca="1">_xll.ciqfunctions.udf.CIQ($X73, "IQ_DIVIDEND_YIELD",Current_Date)/100</f>
      </c>
      <c r="AF73" s="547">
        <f ca="1">(_xll.ciqfunctions.udf.CIQ($X73,"IQ_OPER_INC",IQ_LTM)*(1-AC73))/(((_xll.ciqfunctions.udf.CIQ($X73,"IQ_TOTAL_DEBT",IQ_LTM))+_xll.ciqfunctions.udf.CIQ($X73,"IQ_TOTAL_EQUITY",IQ_LTM))-_xll.ciqfunctions.udf.CIQ($X73,"IQ_CASH_EQUIV",IQ_LTM))</f>
      </c>
      <c r="AG73" s="547">
        <f ca="1">_xll.ciqfunctions.udf.CIQ($X73, "IQ_RETURN_EQUITY",IQ_LTM)/100</f>
      </c>
      <c r="AH73" s="547">
        <f ca="1">_xll.ciqfunctions.udf.CIQ($X73, "IQ_RETURN_ASSETS",IQ_LTM)/100</f>
      </c>
      <c r="AI73" s="551">
        <f ca="1">_xll.ciqfunctions.udf.CIQ($X73, "IQ_TOTAL_DEBT_CAPITAL",IQ_FY)/100</f>
      </c>
      <c r="AJ73" s="551">
        <f ca="1">_xll.ciqfunctions.udf.CIQ($X73, "IQ_TOTAL_DEBT_EBITDA",IQ_FY)</f>
      </c>
      <c r="AK73" s="551">
        <f ca="1">_xll.ciqfunctions.udf.CIQ($X73, "IQ_TOTAL_DEBT_EQUITY",IQ_FY)/100</f>
      </c>
      <c r="AL73" s="551">
        <f ca="1">_xll.ciqfunctions.udf.CIQ($X73, "IQ_EBITDA_INT",IQ_FY)</f>
      </c>
      <c r="AM73" s="551">
        <f ca="1">_xll.ciqfunctions.udf.CIQ($X73, "IQ_EBITDA_CAPEX_INT",IQ_FY)</f>
      </c>
      <c r="AN73" s="551">
        <f ca="1">_xll.ciqfunctions.udf.CIQ($X73, "IQ_EBIT_INT",IQ_FY)</f>
      </c>
      <c r="AO73" s="581">
        <f ca="1">_xll.ciqfunctions.udf.CIQ($X73, "IQ_QUICK_RATIO",IQ_FY)</f>
      </c>
      <c r="AP73" s="581">
        <f ca="1">_xll.ciqfunctions.udf.CIQ($X73, "IQ_CURRENT_RATIO",IQ_FY)</f>
      </c>
      <c r="AQ73" s="84">
        <f ca="1">_xll.ciqfunctions.udf.CIQ($X73, "IQ_SP_LC_LT",Current)</f>
      </c>
      <c r="AR73" s="84">
        <f ca="1">_xll.ciqfunctions.udf.CIQ($X73, "IQ_SP_OUTLOOK_WATCH",Current)</f>
      </c>
      <c r="AS73" s="4"/>
      <c r="AT73" s="599" t="str">
        <f ca="1">N98</f>
        <v>IQ177031</v>
      </c>
      <c r="AU73" s="47">
        <f ca="1">AU96</f>
        <v>1e-12</v>
      </c>
      <c r="AV73" s="16">
        <f ca="1">AV54</f>
        <v>1e-12</v>
      </c>
      <c r="AW73" s="16"/>
      <c r="AX73" s="84" t="str">
        <f ca="1">AX54</f>
        <v>GE</v>
      </c>
      <c r="AY73" s="547">
        <f ca="1">_xll.ciqfunctions.udf.CIQ($AT73, "IQ_EFFECT_TAX_RATE",IQ_FY)/100</f>
      </c>
      <c r="AZ73" s="581">
        <f ca="1">_xll.ciqfunctions.udf.CIQ($AT73, "IQ_BETA_5YR",Current_Date)</f>
      </c>
      <c r="BA73" s="547">
        <f ca="1">_xll.ciqfunctions.udf.CIQ($AT73, "IQ_DIVIDEND_YIELD",Current_Date)/100</f>
      </c>
      <c r="BB73" s="547">
        <f ca="1">(_xll.ciqfunctions.udf.CIQ($AT73,"IQ_OPER_INC",IQ_LTM)*(1-AY73))/(((_xll.ciqfunctions.udf.CIQ($AT73,"IQ_TOTAL_DEBT",IQ_LTM))+_xll.ciqfunctions.udf.CIQ($AT73,"IQ_TOTAL_EQUITY",IQ_LTM))-_xll.ciqfunctions.udf.CIQ($AT73,"IQ_CASH_EQUIV",IQ_LTM))</f>
      </c>
      <c r="BC73" s="547">
        <f ca="1">_xll.ciqfunctions.udf.CIQ($AT73, "IQ_RETURN_EQUITY",IQ_LTM)/100</f>
      </c>
      <c r="BD73" s="547">
        <f ca="1">_xll.ciqfunctions.udf.CIQ($AT73, "IQ_RETURN_ASSETS",IQ_LTM)/100</f>
      </c>
      <c r="BE73" s="551">
        <f ca="1">_xll.ciqfunctions.udf.CIQ($AT73, "IQ_TOTAL_DEBT_CAPITAL",IQ_FY)/100</f>
      </c>
      <c r="BF73" s="551">
        <f ca="1">_xll.ciqfunctions.udf.CIQ($AT73, "IQ_TOTAL_DEBT_EBITDA",IQ_FY)</f>
      </c>
      <c r="BG73" s="551">
        <f ca="1">_xll.ciqfunctions.udf.CIQ($AT73, "IQ_TOTAL_DEBT_EQUITY",IQ_FY)/100</f>
      </c>
      <c r="BH73" s="551">
        <f ca="1">_xll.ciqfunctions.udf.CIQ($AT73, "IQ_EBITDA_INT",IQ_FY)</f>
      </c>
      <c r="BI73" s="551">
        <f ca="1">_xll.ciqfunctions.udf.CIQ($AT73, "IQ_EBITDA_CAPEX_INT",IQ_FY)</f>
      </c>
      <c r="BJ73" s="551">
        <f ca="1">_xll.ciqfunctions.udf.CIQ($AT73, "IQ_EBIT_INT",IQ_FY)</f>
      </c>
      <c r="BK73" s="581">
        <f ca="1">_xll.ciqfunctions.udf.CIQ($AT73, "IQ_QUICK_RATIO",IQ_FY)</f>
      </c>
      <c r="BL73" s="581">
        <f ca="1">_xll.ciqfunctions.udf.CIQ($AT73, "IQ_CURRENT_RATIO",IQ_FY)</f>
      </c>
      <c r="BM73" s="84">
        <f ca="1">_xll.ciqfunctions.udf.CIQ($AT73, "IQ_SP_LC_LT",Current)</f>
      </c>
      <c r="BN73" s="84">
        <f ca="1">_xll.ciqfunctions.udf.CIQ($AT73, "IQ_SP_OUTLOOK_WATCH",Current)</f>
      </c>
    </row>
    <row r="74" ht="13.5" customHeight="1" spans="1:66" x14ac:dyDescent="0.25" outlineLevel="1" collapsed="1">
      <c r="A74" s="4"/>
      <c r="B74" s="599" t="str">
        <f ca="1">E102</f>
        <v>IQ21835</v>
      </c>
      <c r="C74" s="599"/>
      <c r="D74" s="16">
        <f ca="1">D55</f>
        <v>1e-12</v>
      </c>
      <c r="E74" s="16"/>
      <c r="F74" s="84" t="str">
        <f ca="1">E101</f>
        <v>""</v>
      </c>
      <c r="G74" s="547">
        <f ca="1">_xll.ciqfunctions.udf.CIQ($B74, "IQ_EFFECT_TAX_RATE",IQ_FY)/100</f>
      </c>
      <c r="H74" s="581">
        <f ca="1">_xll.ciqfunctions.udf.CIQ($B74, "IQ_BETA_5YR",Current_Date)</f>
      </c>
      <c r="I74" s="547">
        <f ca="1">_xll.ciqfunctions.udf.CIQ($B74, "IQ_DIVIDEND_YIELD",Current_Date)/100</f>
      </c>
      <c r="J74" s="547">
        <f ca="1">(_xll.ciqfunctions.udf.CIQ($B74,"IQ_OPER_INC",IQ_LTM)*(1-G74))/(((_xll.ciqfunctions.udf.CIQ($B74,"IQ_TOTAL_DEBT",IQ_LTM))+_xll.ciqfunctions.udf.CIQ($B74,"IQ_TOTAL_EQUITY",IQ_LTM))-_xll.ciqfunctions.udf.CIQ($B74,"IQ_CASH_EQUIV",IQ_LTM))</f>
      </c>
      <c r="K74" s="547">
        <f ca="1">_xll.ciqfunctions.udf.CIQ($B74, "IQ_RETURN_EQUITY",IQ_LTM)/100</f>
      </c>
      <c r="L74" s="547">
        <f ca="1">_xll.ciqfunctions.udf.CIQ($B74, "IQ_RETURN_ASSETS",IQ_LTM)/100</f>
      </c>
      <c r="M74" s="551">
        <f ca="1">_xll.ciqfunctions.udf.CIQ($B74, "IQ_TOTAL_DEBT_CAPITAL",IQ_FY)/100</f>
      </c>
      <c r="N74" s="551">
        <f ca="1">_xll.ciqfunctions.udf.CIQ($B74, "IQ_TOTAL_DEBT_EBITDA",IQ_FY)</f>
      </c>
      <c r="O74" s="551">
        <f ca="1">_xll.ciqfunctions.udf.CIQ($B74, "IQ_TOTAL_DEBT_EQUITY",IQ_FY)/100</f>
      </c>
      <c r="P74" s="551">
        <f ca="1">_xll.ciqfunctions.udf.CIQ($B74, "IQ_EBITDA_INT",IQ_FY)</f>
      </c>
      <c r="Q74" s="551">
        <f ca="1">_xll.ciqfunctions.udf.CIQ($B74, "IQ_EBITDA_CAPEX_INT",IQ_FY)</f>
      </c>
      <c r="R74" s="551">
        <f ca="1">_xll.ciqfunctions.udf.CIQ($B74, "IQ_EBIT_INT",IQ_FY)</f>
      </c>
      <c r="S74" s="551">
        <f ca="1">_xll.ciqfunctions.udf.CIQ($B74, "IQ_QUICK_RATIO",IQ_FY)</f>
      </c>
      <c r="T74" s="551">
        <f ca="1">_xll.ciqfunctions.udf.CIQ($B74, "IQ_CURRENT_RATIO",IQ_FY)</f>
      </c>
      <c r="U74" s="84">
        <f ca="1">_xll.ciqfunctions.udf.CIQ($B74, "IQ_SP_LC_LT",Current)</f>
      </c>
      <c r="V74" s="84">
        <f ca="1">_xll.ciqfunctions.udf.CIQ($B74, "IQ_SP_OUTLOOK_WATCH",Current)</f>
      </c>
      <c r="W74" s="16"/>
      <c r="X74" s="599" t="str">
        <f ca="1">I102</f>
        <v>IQ363263</v>
      </c>
      <c r="Y74" s="47"/>
      <c r="Z74" s="16">
        <f ca="1">Z55</f>
        <v>1e-12</v>
      </c>
      <c r="AA74" s="16"/>
      <c r="AB74" s="84" t="str">
        <f ca="1">I101</f>
        <v>HII</v>
      </c>
      <c r="AC74" s="547">
        <f ca="1">_xll.ciqfunctions.udf.CIQ($X74, "IQ_EFFECT_TAX_RATE",IQ_FY)/100</f>
      </c>
      <c r="AD74" s="581">
        <f ca="1">_xll.ciqfunctions.udf.CIQ($X74, "IQ_BETA_5YR",Current_Date)</f>
      </c>
      <c r="AE74" s="547">
        <f ca="1">_xll.ciqfunctions.udf.CIQ($X74, "IQ_DIVIDEND_YIELD",Current_Date)/100</f>
      </c>
      <c r="AF74" s="547">
        <f ca="1">(_xll.ciqfunctions.udf.CIQ($X74,"IQ_OPER_INC",IQ_LTM)*(1-AC74))/(((_xll.ciqfunctions.udf.CIQ($X74,"IQ_TOTAL_DEBT",IQ_LTM))+_xll.ciqfunctions.udf.CIQ($X74,"IQ_TOTAL_EQUITY",IQ_LTM))-_xll.ciqfunctions.udf.CIQ($X74,"IQ_CASH_EQUIV",IQ_LTM))</f>
      </c>
      <c r="AG74" s="547">
        <f ca="1">_xll.ciqfunctions.udf.CIQ($X74, "IQ_RETURN_EQUITY",IQ_LTM)/100</f>
      </c>
      <c r="AH74" s="547">
        <f ca="1">_xll.ciqfunctions.udf.CIQ($X74, "IQ_RETURN_ASSETS",IQ_LTM)/100</f>
      </c>
      <c r="AI74" s="551">
        <f ca="1">_xll.ciqfunctions.udf.CIQ($X74, "IQ_TOTAL_DEBT_CAPITAL",IQ_FY)/100</f>
      </c>
      <c r="AJ74" s="551">
        <f ca="1">_xll.ciqfunctions.udf.CIQ($X74, "IQ_TOTAL_DEBT_EBITDA",IQ_FY)</f>
      </c>
      <c r="AK74" s="551">
        <f ca="1">_xll.ciqfunctions.udf.CIQ($X74, "IQ_TOTAL_DEBT_EQUITY",IQ_FY)/100</f>
      </c>
      <c r="AL74" s="551">
        <f ca="1">_xll.ciqfunctions.udf.CIQ($X74, "IQ_EBITDA_INT",IQ_FY)</f>
      </c>
      <c r="AM74" s="551">
        <f ca="1">_xll.ciqfunctions.udf.CIQ($X74, "IQ_EBITDA_CAPEX_INT",IQ_FY)</f>
      </c>
      <c r="AN74" s="551">
        <f ca="1">_xll.ciqfunctions.udf.CIQ($X74, "IQ_EBIT_INT",IQ_FY)</f>
      </c>
      <c r="AO74" s="581">
        <f ca="1">_xll.ciqfunctions.udf.CIQ($X74, "IQ_QUICK_RATIO",IQ_FY)</f>
      </c>
      <c r="AP74" s="581">
        <f ca="1">_xll.ciqfunctions.udf.CIQ($X74, "IQ_CURRENT_RATIO",IQ_FY)</f>
      </c>
      <c r="AQ74" s="84">
        <f ca="1">_xll.ciqfunctions.udf.CIQ($X74, "IQ_SP_LC_LT",Current)</f>
      </c>
      <c r="AR74" s="84">
        <f ca="1">_xll.ciqfunctions.udf.CIQ($X74, "IQ_SP_OUTLOOK_WATCH",Current)</f>
      </c>
      <c r="AS74" s="4"/>
      <c r="AT74" s="599" t="str">
        <f ca="1">N102</f>
        <v>IQ1340740</v>
      </c>
      <c r="AU74" s="47">
        <f ca="1">AU100</f>
        <v>1e-12</v>
      </c>
      <c r="AV74" s="16">
        <f ca="1">AV55</f>
        <v>1e-12</v>
      </c>
      <c r="AW74" s="16"/>
      <c r="AX74" s="84" t="str">
        <f ca="1">AX55</f>
        <v>HON</v>
      </c>
      <c r="AY74" s="547">
        <f ca="1">_xll.ciqfunctions.udf.CIQ($AT74, "IQ_EFFECT_TAX_RATE",IQ_FY)/100</f>
      </c>
      <c r="AZ74" s="581">
        <f ca="1">_xll.ciqfunctions.udf.CIQ($AT74, "IQ_BETA_5YR",Current_Date)</f>
      </c>
      <c r="BA74" s="547">
        <f ca="1">_xll.ciqfunctions.udf.CIQ($AT74, "IQ_DIVIDEND_YIELD",Current_Date)/100</f>
      </c>
      <c r="BB74" s="547">
        <f ca="1">(_xll.ciqfunctions.udf.CIQ($AT74,"IQ_OPER_INC",IQ_LTM)*(1-AY74))/(((_xll.ciqfunctions.udf.CIQ($AT74,"IQ_TOTAL_DEBT",IQ_LTM))+_xll.ciqfunctions.udf.CIQ($AT74,"IQ_TOTAL_EQUITY",IQ_LTM))-_xll.ciqfunctions.udf.CIQ($AT74,"IQ_CASH_EQUIV",IQ_LTM))</f>
      </c>
      <c r="BC74" s="547">
        <f ca="1">_xll.ciqfunctions.udf.CIQ($AT74, "IQ_RETURN_EQUITY",IQ_LTM)/100</f>
      </c>
      <c r="BD74" s="547">
        <f ca="1">_xll.ciqfunctions.udf.CIQ($AT74, "IQ_RETURN_ASSETS",IQ_LTM)/100</f>
      </c>
      <c r="BE74" s="551">
        <f ca="1">_xll.ciqfunctions.udf.CIQ($AT74, "IQ_TOTAL_DEBT_CAPITAL",IQ_FY)/100</f>
      </c>
      <c r="BF74" s="551">
        <f ca="1">_xll.ciqfunctions.udf.CIQ($AT74, "IQ_TOTAL_DEBT_EBITDA",IQ_FY)</f>
      </c>
      <c r="BG74" s="551">
        <f ca="1">_xll.ciqfunctions.udf.CIQ($AT74, "IQ_TOTAL_DEBT_EQUITY",IQ_FY)/100</f>
      </c>
      <c r="BH74" s="551">
        <f ca="1">_xll.ciqfunctions.udf.CIQ($AT74, "IQ_EBITDA_INT",IQ_FY)</f>
      </c>
      <c r="BI74" s="551">
        <f ca="1">_xll.ciqfunctions.udf.CIQ($AT74, "IQ_EBITDA_CAPEX_INT",IQ_FY)</f>
      </c>
      <c r="BJ74" s="551">
        <f ca="1">_xll.ciqfunctions.udf.CIQ($AT74, "IQ_EBIT_INT",IQ_FY)</f>
      </c>
      <c r="BK74" s="581">
        <f ca="1">_xll.ciqfunctions.udf.CIQ($AT74, "IQ_QUICK_RATIO",IQ_FY)</f>
      </c>
      <c r="BL74" s="581">
        <f ca="1">_xll.ciqfunctions.udf.CIQ($AT74, "IQ_CURRENT_RATIO",IQ_FY)</f>
      </c>
      <c r="BM74" s="84">
        <f ca="1">_xll.ciqfunctions.udf.CIQ($AT74, "IQ_SP_LC_LT",Current)</f>
      </c>
      <c r="BN74" s="84">
        <f ca="1">_xll.ciqfunctions.udf.CIQ($AT74, "IQ_SP_OUTLOOK_WATCH",Current)</f>
      </c>
    </row>
    <row r="75" ht="13.5" customHeight="1" spans="1:66" x14ac:dyDescent="0.25" outlineLevel="1" collapsed="1">
      <c r="A75" s="4"/>
      <c r="B75" s="599" t="str">
        <f ca="1">E106</f>
        <v>IQ224055283</v>
      </c>
      <c r="C75" s="599"/>
      <c r="D75" s="16">
        <f ca="1">D56</f>
        <v>1e-12</v>
      </c>
      <c r="E75" s="16"/>
      <c r="F75" s="84" t="str">
        <f ca="1">E105</f>
        <v>""</v>
      </c>
      <c r="G75" s="547">
        <f ca="1">_xll.ciqfunctions.udf.CIQ($B75, "IQ_EFFECT_TAX_RATE",IQ_FY)/100</f>
      </c>
      <c r="H75" s="581">
        <f ca="1">_xll.ciqfunctions.udf.CIQ($B75, "IQ_BETA_5YR",Current_Date)</f>
      </c>
      <c r="I75" s="547">
        <f ca="1">_xll.ciqfunctions.udf.CIQ($B75, "IQ_DIVIDEND_YIELD",Current_Date)/100</f>
      </c>
      <c r="J75" s="547">
        <f ca="1">(_xll.ciqfunctions.udf.CIQ($B75,"IQ_OPER_INC",IQ_LTM)*(1-G75))/(((_xll.ciqfunctions.udf.CIQ($B75,"IQ_TOTAL_DEBT",IQ_LTM))+_xll.ciqfunctions.udf.CIQ($B75,"IQ_TOTAL_EQUITY",IQ_LTM))-_xll.ciqfunctions.udf.CIQ($B75,"IQ_CASH_EQUIV",IQ_LTM))</f>
      </c>
      <c r="K75" s="547">
        <f ca="1">_xll.ciqfunctions.udf.CIQ($B75, "IQ_RETURN_EQUITY",IQ_LTM)/100</f>
      </c>
      <c r="L75" s="547">
        <f ca="1">_xll.ciqfunctions.udf.CIQ($B75, "IQ_RETURN_ASSETS",IQ_LTM)/100</f>
      </c>
      <c r="M75" s="551">
        <f ca="1">_xll.ciqfunctions.udf.CIQ($B75, "IQ_TOTAL_DEBT_CAPITAL",IQ_FY)/100</f>
      </c>
      <c r="N75" s="551">
        <f ca="1">_xll.ciqfunctions.udf.CIQ($B75, "IQ_TOTAL_DEBT_EBITDA",IQ_FY)</f>
      </c>
      <c r="O75" s="551">
        <f ca="1">_xll.ciqfunctions.udf.CIQ($B75, "IQ_TOTAL_DEBT_EQUITY",IQ_FY)/100</f>
      </c>
      <c r="P75" s="551">
        <f ca="1">_xll.ciqfunctions.udf.CIQ($B75, "IQ_EBITDA_INT",IQ_FY)</f>
      </c>
      <c r="Q75" s="551">
        <f ca="1">_xll.ciqfunctions.udf.CIQ($B75, "IQ_EBITDA_CAPEX_INT",IQ_FY)</f>
      </c>
      <c r="R75" s="551">
        <f ca="1">_xll.ciqfunctions.udf.CIQ($B75, "IQ_EBIT_INT",IQ_FY)</f>
      </c>
      <c r="S75" s="551">
        <f ca="1">_xll.ciqfunctions.udf.CIQ($B75, "IQ_QUICK_RATIO",IQ_FY)</f>
      </c>
      <c r="T75" s="551">
        <f ca="1">_xll.ciqfunctions.udf.CIQ($B75, "IQ_CURRENT_RATIO",IQ_FY)</f>
      </c>
      <c r="U75" s="84">
        <f ca="1">_xll.ciqfunctions.udf.CIQ($B75, "IQ_SP_LC_LT",Current)</f>
      </c>
      <c r="V75" s="84">
        <f ca="1">_xll.ciqfunctions.udf.CIQ($B75, "IQ_SP_OUTLOOK_WATCH",Current)</f>
      </c>
      <c r="W75" s="16"/>
      <c r="X75" s="599" t="str">
        <f ca="1">I106</f>
        <v>IQ285827</v>
      </c>
      <c r="Y75" s="47"/>
      <c r="Z75" s="16">
        <f ca="1">Z56</f>
        <v>1e-12</v>
      </c>
      <c r="AA75" s="16"/>
      <c r="AB75" s="84" t="str">
        <f ca="1">I105</f>
        <v>LMT</v>
      </c>
      <c r="AC75" s="547">
        <f ca="1">_xll.ciqfunctions.udf.CIQ($X75, "IQ_EFFECT_TAX_RATE",IQ_FY)/100</f>
      </c>
      <c r="AD75" s="581">
        <f ca="1">_xll.ciqfunctions.udf.CIQ($X75, "IQ_BETA_5YR",Current_Date)</f>
      </c>
      <c r="AE75" s="547">
        <f ca="1">_xll.ciqfunctions.udf.CIQ($X75, "IQ_DIVIDEND_YIELD",Current_Date)/100</f>
      </c>
      <c r="AF75" s="547">
        <f ca="1">(_xll.ciqfunctions.udf.CIQ($X75,"IQ_OPER_INC",IQ_LTM)*(1-AC75))/(((_xll.ciqfunctions.udf.CIQ($X75,"IQ_TOTAL_DEBT",IQ_LTM))+_xll.ciqfunctions.udf.CIQ($X75,"IQ_TOTAL_EQUITY",IQ_LTM))-_xll.ciqfunctions.udf.CIQ($X75,"IQ_CASH_EQUIV",IQ_LTM))</f>
      </c>
      <c r="AG75" s="547">
        <f ca="1">_xll.ciqfunctions.udf.CIQ($X75, "IQ_RETURN_EQUITY",IQ_LTM)/100</f>
      </c>
      <c r="AH75" s="547">
        <f ca="1">_xll.ciqfunctions.udf.CIQ($X75, "IQ_RETURN_ASSETS",IQ_LTM)/100</f>
      </c>
      <c r="AI75" s="551">
        <f ca="1">_xll.ciqfunctions.udf.CIQ($X75, "IQ_TOTAL_DEBT_CAPITAL",IQ_FY)/100</f>
      </c>
      <c r="AJ75" s="551">
        <f ca="1">_xll.ciqfunctions.udf.CIQ($X75, "IQ_TOTAL_DEBT_EBITDA",IQ_FY)</f>
      </c>
      <c r="AK75" s="551">
        <f ca="1">_xll.ciqfunctions.udf.CIQ($X75, "IQ_TOTAL_DEBT_EQUITY",IQ_FY)/100</f>
      </c>
      <c r="AL75" s="551">
        <f ca="1">_xll.ciqfunctions.udf.CIQ($X75, "IQ_EBITDA_INT",IQ_FY)</f>
      </c>
      <c r="AM75" s="551">
        <f ca="1">_xll.ciqfunctions.udf.CIQ($X75, "IQ_EBITDA_CAPEX_INT",IQ_FY)</f>
      </c>
      <c r="AN75" s="551">
        <f ca="1">_xll.ciqfunctions.udf.CIQ($X75, "IQ_EBIT_INT",IQ_FY)</f>
      </c>
      <c r="AO75" s="581">
        <f ca="1">_xll.ciqfunctions.udf.CIQ($X75, "IQ_QUICK_RATIO",IQ_FY)</f>
      </c>
      <c r="AP75" s="581">
        <f ca="1">_xll.ciqfunctions.udf.CIQ($X75, "IQ_CURRENT_RATIO",IQ_FY)</f>
      </c>
      <c r="AQ75" s="84">
        <f ca="1">_xll.ciqfunctions.udf.CIQ($X75, "IQ_SP_LC_LT",Current)</f>
      </c>
      <c r="AR75" s="84">
        <f ca="1">_xll.ciqfunctions.udf.CIQ($X75, "IQ_SP_OUTLOOK_WATCH",Current)</f>
      </c>
      <c r="AS75" s="4"/>
      <c r="AT75" s="599" t="str">
        <f ca="1">N106</f>
        <v>IQ22751</v>
      </c>
      <c r="AU75" s="47">
        <f ca="1">AU104</f>
        <v>1e-12</v>
      </c>
      <c r="AV75" s="16">
        <f ca="1">AV56</f>
        <v>1e-12</v>
      </c>
      <c r="AW75" s="16"/>
      <c r="AX75" s="84" t="str">
        <f ca="1">AX56</f>
        <v>ROP</v>
      </c>
      <c r="AY75" s="547">
        <f ca="1">_xll.ciqfunctions.udf.CIQ($AT75, "IQ_EFFECT_TAX_RATE",IQ_FY)/100</f>
      </c>
      <c r="AZ75" s="581">
        <f ca="1">_xll.ciqfunctions.udf.CIQ($AT75, "IQ_BETA_5YR",Current_Date)</f>
      </c>
      <c r="BA75" s="547">
        <f ca="1">_xll.ciqfunctions.udf.CIQ($AT75, "IQ_DIVIDEND_YIELD",Current_Date)/100</f>
      </c>
      <c r="BB75" s="547">
        <f ca="1">(_xll.ciqfunctions.udf.CIQ($AT75,"IQ_OPER_INC",IQ_LTM)*(1-AY75))/(((_xll.ciqfunctions.udf.CIQ($AT75,"IQ_TOTAL_DEBT",IQ_LTM))+_xll.ciqfunctions.udf.CIQ($AT75,"IQ_TOTAL_EQUITY",IQ_LTM))-_xll.ciqfunctions.udf.CIQ($AT75,"IQ_CASH_EQUIV",IQ_LTM))</f>
      </c>
      <c r="BC75" s="547">
        <f ca="1">_xll.ciqfunctions.udf.CIQ($AT75, "IQ_RETURN_EQUITY",IQ_LTM)/100</f>
      </c>
      <c r="BD75" s="547">
        <f ca="1">_xll.ciqfunctions.udf.CIQ($AT75, "IQ_RETURN_ASSETS",IQ_LTM)/100</f>
      </c>
      <c r="BE75" s="551">
        <f ca="1">_xll.ciqfunctions.udf.CIQ($AT75, "IQ_TOTAL_DEBT_CAPITAL",IQ_FY)/100</f>
      </c>
      <c r="BF75" s="551">
        <f ca="1">_xll.ciqfunctions.udf.CIQ($AT75, "IQ_TOTAL_DEBT_EBITDA",IQ_FY)</f>
      </c>
      <c r="BG75" s="551">
        <f ca="1">_xll.ciqfunctions.udf.CIQ($AT75, "IQ_TOTAL_DEBT_EQUITY",IQ_FY)/100</f>
      </c>
      <c r="BH75" s="551">
        <f ca="1">_xll.ciqfunctions.udf.CIQ($AT75, "IQ_EBITDA_INT",IQ_FY)</f>
      </c>
      <c r="BI75" s="551">
        <f ca="1">_xll.ciqfunctions.udf.CIQ($AT75, "IQ_EBITDA_CAPEX_INT",IQ_FY)</f>
      </c>
      <c r="BJ75" s="551">
        <f ca="1">_xll.ciqfunctions.udf.CIQ($AT75, "IQ_EBIT_INT",IQ_FY)</f>
      </c>
      <c r="BK75" s="581">
        <f ca="1">_xll.ciqfunctions.udf.CIQ($AT75, "IQ_QUICK_RATIO",IQ_FY)</f>
      </c>
      <c r="BL75" s="581">
        <f ca="1">_xll.ciqfunctions.udf.CIQ($AT75, "IQ_CURRENT_RATIO",IQ_FY)</f>
      </c>
      <c r="BM75" s="84">
        <f ca="1">_xll.ciqfunctions.udf.CIQ($AT75, "IQ_SP_LC_LT",Current)</f>
      </c>
      <c r="BN75" s="84">
        <f ca="1">_xll.ciqfunctions.udf.CIQ($AT75, "IQ_SP_OUTLOOK_WATCH",Current)</f>
      </c>
    </row>
    <row r="76" ht="13.5" customHeight="1" spans="1:66" x14ac:dyDescent="0.25" outlineLevel="1" collapsed="1">
      <c r="A76" s="4"/>
      <c r="B76" s="599" t="str">
        <f ca="1">E110</f>
        <v>IQ29096</v>
      </c>
      <c r="C76" s="599"/>
      <c r="D76" s="16">
        <f ca="1">D57</f>
        <v>1e-12</v>
      </c>
      <c r="E76" s="16"/>
      <c r="F76" s="84" t="str">
        <f ca="1">E109</f>
        <v>""</v>
      </c>
      <c r="G76" s="547">
        <f ca="1">_xll.ciqfunctions.udf.CIQ($B76, "IQ_EFFECT_TAX_RATE",IQ_FY)/100</f>
      </c>
      <c r="H76" s="581">
        <f ca="1">_xll.ciqfunctions.udf.CIQ($B76, "IQ_BETA_5YR",Current_Date)</f>
      </c>
      <c r="I76" s="547">
        <f ca="1">_xll.ciqfunctions.udf.CIQ($B76, "IQ_DIVIDEND_YIELD",Current_Date)/100</f>
      </c>
      <c r="J76" s="547">
        <f ca="1">(_xll.ciqfunctions.udf.CIQ($B76,"IQ_OPER_INC",IQ_LTM)*(1-G76))/(((_xll.ciqfunctions.udf.CIQ($B76,"IQ_TOTAL_DEBT",IQ_LTM))+_xll.ciqfunctions.udf.CIQ($B76,"IQ_TOTAL_EQUITY",IQ_LTM))-_xll.ciqfunctions.udf.CIQ($B76,"IQ_CASH_EQUIV",IQ_LTM))</f>
      </c>
      <c r="K76" s="547">
        <f ca="1">_xll.ciqfunctions.udf.CIQ($B76, "IQ_RETURN_EQUITY",IQ_LTM)/100</f>
      </c>
      <c r="L76" s="547">
        <f ca="1">_xll.ciqfunctions.udf.CIQ($B76, "IQ_RETURN_ASSETS",IQ_LTM)/100</f>
      </c>
      <c r="M76" s="551">
        <f ca="1">_xll.ciqfunctions.udf.CIQ($B76, "IQ_TOTAL_DEBT_CAPITAL",IQ_FY)/100</f>
      </c>
      <c r="N76" s="551">
        <f ca="1">_xll.ciqfunctions.udf.CIQ($B76, "IQ_TOTAL_DEBT_EBITDA",IQ_FY)</f>
      </c>
      <c r="O76" s="551">
        <f ca="1">_xll.ciqfunctions.udf.CIQ($B76, "IQ_TOTAL_DEBT_EQUITY",IQ_FY)/100</f>
      </c>
      <c r="P76" s="551">
        <f ca="1">_xll.ciqfunctions.udf.CIQ($B76, "IQ_EBITDA_INT",IQ_FY)</f>
      </c>
      <c r="Q76" s="551">
        <f ca="1">_xll.ciqfunctions.udf.CIQ($B76, "IQ_EBITDA_CAPEX_INT",IQ_FY)</f>
      </c>
      <c r="R76" s="551">
        <f ca="1">_xll.ciqfunctions.udf.CIQ($B76, "IQ_EBIT_INT",IQ_FY)</f>
      </c>
      <c r="S76" s="551">
        <f ca="1">_xll.ciqfunctions.udf.CIQ($B76, "IQ_QUICK_RATIO",IQ_FY)</f>
      </c>
      <c r="T76" s="551">
        <f ca="1">_xll.ciqfunctions.udf.CIQ($B76, "IQ_CURRENT_RATIO",IQ_FY)</f>
      </c>
      <c r="U76" s="84">
        <f ca="1">_xll.ciqfunctions.udf.CIQ($B76, "IQ_SP_LC_LT",Current)</f>
      </c>
      <c r="V76" s="84">
        <f ca="1">_xll.ciqfunctions.udf.CIQ($B76, "IQ_SP_OUTLOOK_WATCH",Current)</f>
      </c>
      <c r="W76" s="16"/>
      <c r="X76" s="599" t="str">
        <f ca="1">I110</f>
        <v>IQ97199</v>
      </c>
      <c r="Y76" s="47"/>
      <c r="Z76" s="16">
        <f ca="1">Z57</f>
        <v>1e-12</v>
      </c>
      <c r="AA76" s="16"/>
      <c r="AB76" s="84" t="str">
        <f ca="1">I109</f>
        <v>NOC</v>
      </c>
      <c r="AC76" s="547">
        <f ca="1">_xll.ciqfunctions.udf.CIQ($X76, "IQ_EFFECT_TAX_RATE",IQ_FY)/100</f>
      </c>
      <c r="AD76" s="581">
        <f ca="1">_xll.ciqfunctions.udf.CIQ($X76, "IQ_BETA_5YR",Current_Date)</f>
      </c>
      <c r="AE76" s="547">
        <f ca="1">_xll.ciqfunctions.udf.CIQ($X76, "IQ_DIVIDEND_YIELD",Current_Date)/100</f>
      </c>
      <c r="AF76" s="547">
        <f ca="1">(_xll.ciqfunctions.udf.CIQ($X76,"IQ_OPER_INC",IQ_LTM)*(1-AC76))/(((_xll.ciqfunctions.udf.CIQ($X76,"IQ_TOTAL_DEBT",IQ_LTM))+_xll.ciqfunctions.udf.CIQ($X76,"IQ_TOTAL_EQUITY",IQ_LTM))-_xll.ciqfunctions.udf.CIQ($X76,"IQ_CASH_EQUIV",IQ_LTM))</f>
      </c>
      <c r="AG76" s="547">
        <f ca="1">_xll.ciqfunctions.udf.CIQ($X76, "IQ_RETURN_EQUITY",IQ_LTM)/100</f>
      </c>
      <c r="AH76" s="547">
        <f ca="1">_xll.ciqfunctions.udf.CIQ($X76, "IQ_RETURN_ASSETS",IQ_LTM)/100</f>
      </c>
      <c r="AI76" s="551">
        <f ca="1">_xll.ciqfunctions.udf.CIQ($X76, "IQ_TOTAL_DEBT_CAPITAL",IQ_FY)/100</f>
      </c>
      <c r="AJ76" s="551">
        <f ca="1">_xll.ciqfunctions.udf.CIQ($X76, "IQ_TOTAL_DEBT_EBITDA",IQ_FY)</f>
      </c>
      <c r="AK76" s="551">
        <f ca="1">_xll.ciqfunctions.udf.CIQ($X76, "IQ_TOTAL_DEBT_EQUITY",IQ_FY)/100</f>
      </c>
      <c r="AL76" s="551">
        <f ca="1">_xll.ciqfunctions.udf.CIQ($X76, "IQ_EBITDA_INT",IQ_FY)</f>
      </c>
      <c r="AM76" s="551">
        <f ca="1">_xll.ciqfunctions.udf.CIQ($X76, "IQ_EBITDA_CAPEX_INT",IQ_FY)</f>
      </c>
      <c r="AN76" s="551">
        <f ca="1">_xll.ciqfunctions.udf.CIQ($X76, "IQ_EBIT_INT",IQ_FY)</f>
      </c>
      <c r="AO76" s="581">
        <f ca="1">_xll.ciqfunctions.udf.CIQ($X76, "IQ_QUICK_RATIO",IQ_FY)</f>
      </c>
      <c r="AP76" s="581">
        <f ca="1">_xll.ciqfunctions.udf.CIQ($X76, "IQ_CURRENT_RATIO",IQ_FY)</f>
      </c>
      <c r="AQ76" s="84">
        <f ca="1">_xll.ciqfunctions.udf.CIQ($X76, "IQ_SP_LC_LT",Current)</f>
      </c>
      <c r="AR76" s="84">
        <f ca="1">_xll.ciqfunctions.udf.CIQ($X76, "IQ_SP_OUTLOOK_WATCH",Current)</f>
      </c>
      <c r="AS76" s="4"/>
      <c r="AT76" s="599" t="str">
        <f ca="1">N110</f>
        <v>IQ269231</v>
      </c>
      <c r="AU76" s="47">
        <f ca="1">AU108</f>
        <v>1e-12</v>
      </c>
      <c r="AV76" s="16">
        <f ca="1">AV57</f>
        <v>1e-12</v>
      </c>
      <c r="AW76" s="16"/>
      <c r="AX76" s="84" t="str">
        <f ca="1">AX57</f>
        <v>EMR</v>
      </c>
      <c r="AY76" s="547">
        <f ca="1">_xll.ciqfunctions.udf.CIQ($AT76, "IQ_EFFECT_TAX_RATE",IQ_FY)/100</f>
      </c>
      <c r="AZ76" s="581">
        <f ca="1">_xll.ciqfunctions.udf.CIQ($AT76, "IQ_BETA_5YR",Current_Date)</f>
      </c>
      <c r="BA76" s="547">
        <f ca="1">_xll.ciqfunctions.udf.CIQ($AT76, "IQ_DIVIDEND_YIELD",Current_Date)/100</f>
      </c>
      <c r="BB76" s="547">
        <f ca="1">(_xll.ciqfunctions.udf.CIQ($AT76,"IQ_OPER_INC",IQ_LTM)*(1-AY76))/(((_xll.ciqfunctions.udf.CIQ($AT76,"IQ_TOTAL_DEBT",IQ_LTM))+_xll.ciqfunctions.udf.CIQ($AT76,"IQ_TOTAL_EQUITY",IQ_LTM))-_xll.ciqfunctions.udf.CIQ($AT76,"IQ_CASH_EQUIV",IQ_LTM))</f>
      </c>
      <c r="BC76" s="547">
        <f ca="1">_xll.ciqfunctions.udf.CIQ($AT76, "IQ_RETURN_EQUITY",IQ_LTM)/100</f>
      </c>
      <c r="BD76" s="547">
        <f ca="1">_xll.ciqfunctions.udf.CIQ($AT76, "IQ_RETURN_ASSETS",IQ_LTM)/100</f>
      </c>
      <c r="BE76" s="551">
        <f ca="1">_xll.ciqfunctions.udf.CIQ($AT76, "IQ_TOTAL_DEBT_CAPITAL",IQ_FY)/100</f>
      </c>
      <c r="BF76" s="551">
        <f ca="1">_xll.ciqfunctions.udf.CIQ($AT76, "IQ_TOTAL_DEBT_EBITDA",IQ_FY)</f>
      </c>
      <c r="BG76" s="551">
        <f ca="1">_xll.ciqfunctions.udf.CIQ($AT76, "IQ_TOTAL_DEBT_EQUITY",IQ_FY)/100</f>
      </c>
      <c r="BH76" s="551">
        <f ca="1">_xll.ciqfunctions.udf.CIQ($AT76, "IQ_EBITDA_INT",IQ_FY)</f>
      </c>
      <c r="BI76" s="551">
        <f ca="1">_xll.ciqfunctions.udf.CIQ($AT76, "IQ_EBITDA_CAPEX_INT",IQ_FY)</f>
      </c>
      <c r="BJ76" s="551">
        <f ca="1">_xll.ciqfunctions.udf.CIQ($AT76, "IQ_EBIT_INT",IQ_FY)</f>
      </c>
      <c r="BK76" s="581">
        <f ca="1">_xll.ciqfunctions.udf.CIQ($AT76, "IQ_QUICK_RATIO",IQ_FY)</f>
      </c>
      <c r="BL76" s="581">
        <f ca="1">_xll.ciqfunctions.udf.CIQ($AT76, "IQ_CURRENT_RATIO",IQ_FY)</f>
      </c>
      <c r="BM76" s="84">
        <f ca="1">_xll.ciqfunctions.udf.CIQ($AT76, "IQ_SP_LC_LT",Current)</f>
      </c>
      <c r="BN76" s="84">
        <f ca="1">_xll.ciqfunctions.udf.CIQ($AT76, "IQ_SP_OUTLOOK_WATCH",Current)</f>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56" ca="1">D36</f>
        <v>High</v>
      </c>
      <c r="E78" s="609"/>
      <c r="F78" s="610"/>
      <c r="G78" s="611">
        <f ca="1">MAX(G72:G76)</f>
      </c>
      <c r="H78" s="634">
        <f ca="1">MAX(H72:H76)</f>
      </c>
      <c r="I78" s="612">
        <f ca="1">MAX(I72:I76)</f>
      </c>
      <c r="J78" s="612">
        <f ca="1">MAX(J72:J76)</f>
      </c>
      <c r="K78" s="612">
        <f ca="1">MAX(K72:K76)</f>
      </c>
      <c r="L78" s="612">
        <f ca="1">MAX(L72:L76)</f>
      </c>
      <c r="M78" s="613">
        <f ca="1">MAX(M72:M76)</f>
      </c>
      <c r="N78" s="612">
        <f ca="1">MAX(N72:N76)</f>
      </c>
      <c r="O78" s="612">
        <f ca="1">MAX(O72:O76)</f>
      </c>
      <c r="P78" s="613">
        <f ca="1">MAX(P72:P76)</f>
      </c>
      <c r="Q78" s="613">
        <f ca="1">MAX(Q72:Q76)</f>
      </c>
      <c r="R78" s="613">
        <f ca="1">MAX(R72:R76)</f>
      </c>
      <c r="S78" s="613">
        <f ca="1">MAX(S72:S76)</f>
      </c>
      <c r="T78" s="613">
        <f ca="1">MAX(T72:T76)</f>
      </c>
      <c r="U78" s="614"/>
      <c r="V78" s="615"/>
      <c r="W78" s="16"/>
      <c r="X78" s="4"/>
      <c r="Y78" s="47"/>
      <c r="Z78" s="608" t="str">
        <f t="shared" ref="Z78:Z81" si="57" ca="1">Z36</f>
        <v>High</v>
      </c>
      <c r="AA78" s="609"/>
      <c r="AB78" s="610"/>
      <c r="AC78" s="611">
        <f ca="1">MAX(AC72:AC76)</f>
      </c>
      <c r="AD78" s="634">
        <f ca="1">MAX(AD72:AD76)</f>
      </c>
      <c r="AE78" s="612">
        <f ca="1">MAX(AE72:AE76)</f>
      </c>
      <c r="AF78" s="612">
        <f ca="1">MAX(AF72:AF76)</f>
      </c>
      <c r="AG78" s="612">
        <f ca="1">MAX(AG72:AG76)</f>
      </c>
      <c r="AH78" s="612">
        <f ca="1">MAX(AH72:AH76)</f>
      </c>
      <c r="AI78" s="613">
        <f ca="1">MAX(AI72:AI76)</f>
      </c>
      <c r="AJ78" s="612">
        <f ca="1">MAX(AJ72:AJ76)</f>
      </c>
      <c r="AK78" s="614">
        <f ca="1">MAX(AK72:AK76)</f>
      </c>
      <c r="AL78" s="614">
        <f ca="1">MAX(AL72:AL76)</f>
      </c>
      <c r="AM78" s="614">
        <f ca="1">MAX(AM72:AM76)</f>
      </c>
      <c r="AN78" s="614">
        <f ca="1">MAX(AN72:AN76)</f>
      </c>
      <c r="AO78" s="614">
        <f ca="1">MAX(AO72:AO76)</f>
      </c>
      <c r="AP78" s="614">
        <f ca="1">MAX(AP72:AP76)</f>
      </c>
      <c r="AQ78" s="614"/>
      <c r="AR78" s="615"/>
      <c r="AS78" s="4"/>
      <c r="AT78" s="4"/>
      <c r="AU78" s="47"/>
      <c r="AV78" s="608" t="str">
        <f t="shared" ref="AV78:AV81" si="58" ca="1">AV36</f>
        <v>High</v>
      </c>
      <c r="AW78" s="609"/>
      <c r="AX78" s="610"/>
      <c r="AY78" s="611">
        <f ca="1">MAX(AY72:AY76)</f>
      </c>
      <c r="AZ78" s="611">
        <f ca="1">MAX(AZ72:AZ76)</f>
      </c>
      <c r="BA78" s="612">
        <f ca="1">MAX(BA72:BA76)</f>
      </c>
      <c r="BB78" s="612">
        <f ca="1">MAX(BB72:BB76)</f>
      </c>
      <c r="BC78" s="612">
        <f ca="1">MAX(BC72:BC76)</f>
      </c>
      <c r="BD78" s="612">
        <f ca="1">MAX(BD72:BD76)</f>
      </c>
      <c r="BE78" s="612">
        <f ca="1">MAX(BE72:BE76)</f>
      </c>
      <c r="BF78" s="612">
        <f ca="1">MAX(BF72:BF76)</f>
      </c>
      <c r="BG78" s="612">
        <f ca="1">MAX(BG72:BG76)</f>
      </c>
      <c r="BH78" s="612">
        <f ca="1">MAX(BH72:BH76)</f>
      </c>
      <c r="BI78" s="613">
        <f ca="1">MAX(BI72:BI76)</f>
      </c>
      <c r="BJ78" s="614">
        <f ca="1">MAX(BJ72:BJ76)</f>
      </c>
      <c r="BK78" s="614">
        <f ca="1">MAX(BK72:BK76)</f>
      </c>
      <c r="BL78" s="614">
        <f ca="1">MAX(BL72:BL76)</f>
      </c>
      <c r="BM78" s="614"/>
      <c r="BN78" s="615"/>
    </row>
    <row r="79" ht="13.5" customHeight="1" spans="1:66" x14ac:dyDescent="0.25" outlineLevel="1" collapsed="1">
      <c r="A79" s="4"/>
      <c r="B79" s="47"/>
      <c r="C79" s="47"/>
      <c r="D79" s="616" t="str">
        <f ca="1">D37</f>
        <v>Mean</v>
      </c>
      <c r="E79" s="617"/>
      <c r="F79" s="618"/>
      <c r="G79" s="619">
        <f ca="1">AVERAGE(G72:G76)</f>
      </c>
      <c r="H79" s="635">
        <f ca="1">AVERAGE(H72:H76)</f>
      </c>
      <c r="I79" s="620">
        <f ca="1">AVERAGE(I72:I76)</f>
      </c>
      <c r="J79" s="620">
        <f ca="1">AVERAGE(J72:J76)</f>
      </c>
      <c r="K79" s="620">
        <f ca="1">AVERAGE(K72:K76)</f>
      </c>
      <c r="L79" s="620">
        <f ca="1">AVERAGE(L72:L76)</f>
      </c>
      <c r="M79" s="636">
        <f ca="1">AVERAGE(M72:M76)</f>
      </c>
      <c r="N79" s="620">
        <f ca="1">AVERAGE(N72:N76)</f>
      </c>
      <c r="O79" s="620">
        <f ca="1">AVERAGE(O72:O76)</f>
      </c>
      <c r="P79" s="636">
        <f ca="1">AVERAGE(P72:P76)</f>
      </c>
      <c r="Q79" s="636">
        <f ca="1">AVERAGE(Q72:Q76)</f>
      </c>
      <c r="R79" s="636">
        <f ca="1">AVERAGE(R72:R76)</f>
      </c>
      <c r="S79" s="636">
        <f ca="1">AVERAGE(S72:S76)</f>
      </c>
      <c r="T79" s="636">
        <f ca="1">AVERAGE(T72:T76)</f>
      </c>
      <c r="U79" s="622"/>
      <c r="V79" s="623"/>
      <c r="W79" s="16"/>
      <c r="X79" s="4"/>
      <c r="Y79" s="47"/>
      <c r="Z79" s="616" t="str">
        <f ca="1">Z37</f>
        <v>Mean</v>
      </c>
      <c r="AA79" s="617"/>
      <c r="AB79" s="618"/>
      <c r="AC79" s="619">
        <f ca="1">AVERAGE(AC72:AC76)</f>
      </c>
      <c r="AD79" s="635">
        <f ca="1">AVERAGE(AD72:AD76)</f>
      </c>
      <c r="AE79" s="620">
        <f ca="1">AVERAGE(AE72:AE76)</f>
      </c>
      <c r="AF79" s="620">
        <f ca="1">AVERAGE(AF72:AF76)</f>
      </c>
      <c r="AG79" s="620">
        <f ca="1">AVERAGE(AG72:AG76)</f>
      </c>
      <c r="AH79" s="620">
        <f ca="1">AVERAGE(AH72:AH76)</f>
      </c>
      <c r="AI79" s="621">
        <f ca="1">AVERAGE(AI72:AI76)</f>
      </c>
      <c r="AJ79" s="620">
        <f ca="1">AVERAGE(AJ72:AJ76)</f>
      </c>
      <c r="AK79" s="622">
        <f ca="1">AVERAGE(AK72:AK76)</f>
      </c>
      <c r="AL79" s="622">
        <f ca="1">AVERAGE(AL72:AL76)</f>
      </c>
      <c r="AM79" s="622">
        <f ca="1">AVERAGE(AM72:AM76)</f>
      </c>
      <c r="AN79" s="622">
        <f ca="1">AVERAGE(AN72:AN76)</f>
      </c>
      <c r="AO79" s="622">
        <f ca="1">AVERAGE(AO72:AO76)</f>
      </c>
      <c r="AP79" s="622">
        <f ca="1">AVERAGE(AP72:AP76)</f>
      </c>
      <c r="AQ79" s="622"/>
      <c r="AR79" s="623"/>
      <c r="AS79" s="4"/>
      <c r="AT79" s="4"/>
      <c r="AU79" s="47"/>
      <c r="AV79" s="616" t="str">
        <f ca="1">AV37</f>
        <v>Mean</v>
      </c>
      <c r="AW79" s="617"/>
      <c r="AX79" s="618"/>
      <c r="AY79" s="619">
        <f ca="1">AVERAGE(AY72:AY76)</f>
      </c>
      <c r="AZ79" s="619">
        <f ca="1">AVERAGE(AZ72:AZ76)</f>
      </c>
      <c r="BA79" s="620">
        <f ca="1">AVERAGE(BA72:BA76)</f>
      </c>
      <c r="BB79" s="620">
        <f ca="1">AVERAGE(BB72:BB76)</f>
      </c>
      <c r="BC79" s="620">
        <f ca="1">AVERAGE(BC72:BC76)</f>
      </c>
      <c r="BD79" s="620">
        <f ca="1">AVERAGE(BD72:BD76)</f>
      </c>
      <c r="BE79" s="620">
        <f ca="1">AVERAGE(BE72:BE76)</f>
      </c>
      <c r="BF79" s="620">
        <f ca="1">AVERAGE(BF72:BF76)</f>
      </c>
      <c r="BG79" s="620">
        <f ca="1">AVERAGE(BG72:BG76)</f>
      </c>
      <c r="BH79" s="620">
        <f ca="1">AVERAGE(BH72:BH76)</f>
      </c>
      <c r="BI79" s="621">
        <f ca="1">AVERAGE(BI72:BI76)</f>
      </c>
      <c r="BJ79" s="622">
        <f ca="1">AVERAGE(BJ72:BJ76)</f>
      </c>
      <c r="BK79" s="622">
        <f ca="1">AVERAGE(BK72:BK76)</f>
      </c>
      <c r="BL79" s="622">
        <f ca="1">AVERAGE(BL72:BL76)</f>
      </c>
      <c r="BM79" s="622"/>
      <c r="BN79" s="623"/>
    </row>
    <row r="80" ht="13.5" customHeight="1" spans="1:66" x14ac:dyDescent="0.25" outlineLevel="1" collapsed="1">
      <c r="A80" s="4"/>
      <c r="B80" s="47"/>
      <c r="C80" s="47"/>
      <c r="D80" s="616" t="str">
        <f ca="1">D38</f>
        <v>Median</v>
      </c>
      <c r="E80" s="617"/>
      <c r="F80" s="617"/>
      <c r="G80" s="619">
        <f ca="1">MEDIAN(G72:G76)</f>
      </c>
      <c r="H80" s="635">
        <f ca="1">MEDIAN(H72:H76)</f>
      </c>
      <c r="I80" s="620">
        <f ca="1">MEDIAN(I72:I76)</f>
      </c>
      <c r="J80" s="620">
        <f ca="1">MEDIAN(J72:J76)</f>
      </c>
      <c r="K80" s="620">
        <f ca="1">MEDIAN(K72:K76)</f>
      </c>
      <c r="L80" s="620">
        <f ca="1">MEDIAN(L72:L76)</f>
      </c>
      <c r="M80" s="636">
        <f ca="1">MEDIAN(M72:M76)</f>
      </c>
      <c r="N80" s="620">
        <f ca="1">MEDIAN(N72:N76)</f>
      </c>
      <c r="O80" s="620">
        <f ca="1">MEDIAN(O72:O76)</f>
      </c>
      <c r="P80" s="636">
        <f ca="1">MEDIAN(P72:P76)</f>
      </c>
      <c r="Q80" s="636">
        <f ca="1">MEDIAN(Q72:Q76)</f>
      </c>
      <c r="R80" s="636">
        <f ca="1">MEDIAN(R72:R76)</f>
      </c>
      <c r="S80" s="636">
        <f ca="1">MEDIAN(S72:S76)</f>
      </c>
      <c r="T80" s="636">
        <f ca="1">MEDIAN(T72:T76)</f>
      </c>
      <c r="U80" s="622"/>
      <c r="V80" s="623"/>
      <c r="W80" s="16"/>
      <c r="X80" s="4"/>
      <c r="Y80" s="47"/>
      <c r="Z80" s="616" t="str">
        <f ca="1">Z38</f>
        <v>Median</v>
      </c>
      <c r="AA80" s="617"/>
      <c r="AB80" s="617"/>
      <c r="AC80" s="619">
        <f ca="1">MEDIAN(AC72:AC76)</f>
      </c>
      <c r="AD80" s="635">
        <f ca="1">MEDIAN(AD72:AD76)</f>
      </c>
      <c r="AE80" s="620">
        <f ca="1">MEDIAN(AE72:AE76)</f>
      </c>
      <c r="AF80" s="620">
        <f ca="1">MEDIAN(AF72:AF76)</f>
      </c>
      <c r="AG80" s="620">
        <f ca="1">MEDIAN(AG72:AG76)</f>
      </c>
      <c r="AH80" s="620">
        <f ca="1">MEDIAN(AH72:AH76)</f>
      </c>
      <c r="AI80" s="621">
        <f ca="1">MEDIAN(AI72:AI76)</f>
      </c>
      <c r="AJ80" s="620">
        <f ca="1">MEDIAN(AJ72:AJ76)</f>
      </c>
      <c r="AK80" s="622">
        <f ca="1">MEDIAN(AK72:AK76)</f>
      </c>
      <c r="AL80" s="622">
        <f ca="1">MEDIAN(AL72:AL76)</f>
      </c>
      <c r="AM80" s="622">
        <f ca="1">MEDIAN(AM72:AM76)</f>
      </c>
      <c r="AN80" s="622">
        <f ca="1">MEDIAN(AN72:AN76)</f>
      </c>
      <c r="AO80" s="622">
        <f ca="1">MEDIAN(AO72:AO76)</f>
      </c>
      <c r="AP80" s="622">
        <f ca="1">MEDIAN(AP72:AP76)</f>
      </c>
      <c r="AQ80" s="622"/>
      <c r="AR80" s="623"/>
      <c r="AS80" s="4"/>
      <c r="AT80" s="4"/>
      <c r="AU80" s="47"/>
      <c r="AV80" s="616" t="str">
        <f ca="1">AV38</f>
        <v>Median</v>
      </c>
      <c r="AW80" s="617"/>
      <c r="AX80" s="617"/>
      <c r="AY80" s="619">
        <f ca="1">MEDIAN(AY72:AY76)</f>
      </c>
      <c r="AZ80" s="619">
        <f ca="1">MEDIAN(AZ72:AZ76)</f>
      </c>
      <c r="BA80" s="620">
        <f ca="1">MEDIAN(BA72:BA76)</f>
      </c>
      <c r="BB80" s="620">
        <f ca="1">MEDIAN(BB72:BB76)</f>
      </c>
      <c r="BC80" s="620">
        <f ca="1">MEDIAN(BC72:BC76)</f>
      </c>
      <c r="BD80" s="620">
        <f ca="1">MEDIAN(BD72:BD76)</f>
      </c>
      <c r="BE80" s="620">
        <f ca="1">MEDIAN(BE72:BE76)</f>
      </c>
      <c r="BF80" s="620">
        <f ca="1">MEDIAN(BF72:BF76)</f>
      </c>
      <c r="BG80" s="620">
        <f ca="1">MEDIAN(BG72:BG76)</f>
      </c>
      <c r="BH80" s="620">
        <f ca="1">MEDIAN(BH72:BH76)</f>
      </c>
      <c r="BI80" s="621">
        <f ca="1">MEDIAN(BI72:BI76)</f>
      </c>
      <c r="BJ80" s="622">
        <f ca="1">MEDIAN(BJ72:BJ76)</f>
      </c>
      <c r="BK80" s="622">
        <f ca="1">MEDIAN(BK72:BK76)</f>
      </c>
      <c r="BL80" s="622">
        <f ca="1">MEDIAN(BL72:BL76)</f>
      </c>
      <c r="BM80" s="622"/>
      <c r="BN80" s="623"/>
    </row>
    <row r="81" ht="13.5" customHeight="1" spans="1:66" x14ac:dyDescent="0.25" outlineLevel="1" collapsed="1">
      <c r="A81" s="4"/>
      <c r="B81" s="47"/>
      <c r="C81" s="47"/>
      <c r="D81" s="624" t="str">
        <f ca="1">D39</f>
        <v>Low</v>
      </c>
      <c r="E81" s="625"/>
      <c r="F81" s="625"/>
      <c r="G81" s="626">
        <f ca="1">MIN(G72:G76)</f>
      </c>
      <c r="H81" s="637">
        <f ca="1">MIN(H72:H76)</f>
      </c>
      <c r="I81" s="627">
        <f ca="1">MIN(I72:I76)</f>
      </c>
      <c r="J81" s="627">
        <f ca="1">MIN(J72:J76)</f>
      </c>
      <c r="K81" s="627">
        <f ca="1">MIN(K72:K76)</f>
      </c>
      <c r="L81" s="627">
        <f ca="1">MIN(L72:L76)</f>
      </c>
      <c r="M81" s="638">
        <f ca="1">MIN(M72:M76)</f>
      </c>
      <c r="N81" s="627">
        <f ca="1">MIN(N72:N76)</f>
      </c>
      <c r="O81" s="627">
        <f ca="1">MIN(O72:O76)</f>
      </c>
      <c r="P81" s="638">
        <f ca="1">MIN(P72:P76)</f>
      </c>
      <c r="Q81" s="638">
        <f ca="1">MIN(Q72:Q76)</f>
      </c>
      <c r="R81" s="638">
        <f ca="1">MIN(R72:R76)</f>
      </c>
      <c r="S81" s="638">
        <f ca="1">MIN(S72:S76)</f>
      </c>
      <c r="T81" s="638">
        <f ca="1">MIN(T72:T76)</f>
      </c>
      <c r="U81" s="629"/>
      <c r="V81" s="630"/>
      <c r="W81" s="16"/>
      <c r="X81" s="4"/>
      <c r="Y81" s="47"/>
      <c r="Z81" s="624" t="str">
        <f ca="1">Z39</f>
        <v>Low</v>
      </c>
      <c r="AA81" s="625"/>
      <c r="AB81" s="625"/>
      <c r="AC81" s="626">
        <f ca="1">MIN(AC72:AC76)</f>
      </c>
      <c r="AD81" s="637">
        <f ca="1">MIN(AD72:AD76)</f>
      </c>
      <c r="AE81" s="627">
        <f ca="1">MIN(AE72:AE76)</f>
      </c>
      <c r="AF81" s="627">
        <f ca="1">MIN(AF72:AF76)</f>
      </c>
      <c r="AG81" s="627">
        <f ca="1">MIN(AG72:AG76)</f>
      </c>
      <c r="AH81" s="627">
        <f ca="1">MIN(AH72:AH76)</f>
      </c>
      <c r="AI81" s="628">
        <f ca="1">MIN(AI72:AI76)</f>
      </c>
      <c r="AJ81" s="627">
        <f ca="1">MIN(AJ72:AJ76)</f>
      </c>
      <c r="AK81" s="629">
        <f ca="1">MIN(AK72:AK76)</f>
      </c>
      <c r="AL81" s="629">
        <f ca="1">MIN(AL72:AL76)</f>
      </c>
      <c r="AM81" s="629">
        <f ca="1">MIN(AM72:AM76)</f>
      </c>
      <c r="AN81" s="629">
        <f ca="1">MIN(AN72:AN76)</f>
      </c>
      <c r="AO81" s="629">
        <f ca="1">MIN(AO72:AO76)</f>
      </c>
      <c r="AP81" s="629">
        <f ca="1">MIN(AP72:AP76)</f>
      </c>
      <c r="AQ81" s="629"/>
      <c r="AR81" s="630"/>
      <c r="AS81" s="4"/>
      <c r="AT81" s="4"/>
      <c r="AU81" s="47"/>
      <c r="AV81" s="624" t="str">
        <f ca="1">AV39</f>
        <v>Low</v>
      </c>
      <c r="AW81" s="625"/>
      <c r="AX81" s="625"/>
      <c r="AY81" s="626">
        <f ca="1">MIN(AY72:AY76)</f>
      </c>
      <c r="AZ81" s="626">
        <f ca="1">MIN(AZ72:AZ76)</f>
      </c>
      <c r="BA81" s="627">
        <f ca="1">MIN(BA72:BA76)</f>
      </c>
      <c r="BB81" s="627">
        <f ca="1">MIN(BB72:BB76)</f>
      </c>
      <c r="BC81" s="627">
        <f ca="1">MIN(BC72:BC76)</f>
      </c>
      <c r="BD81" s="627">
        <f ca="1">MIN(BD72:BD76)</f>
      </c>
      <c r="BE81" s="627">
        <f ca="1">MIN(BE72:BE76)</f>
      </c>
      <c r="BF81" s="627">
        <f ca="1">MIN(BF72:BF76)</f>
      </c>
      <c r="BG81" s="627">
        <f ca="1">MIN(BG72:BG76)</f>
      </c>
      <c r="BH81" s="627">
        <f ca="1">MIN(BH72:BH76)</f>
      </c>
      <c r="BI81" s="628">
        <f ca="1">MIN(BI72:BI76)</f>
      </c>
      <c r="BJ81" s="629">
        <f ca="1">MIN(BJ72:BJ76)</f>
      </c>
      <c r="BK81" s="629">
        <f ca="1">MIN(BK72:BK76)</f>
      </c>
      <c r="BL81" s="629">
        <f ca="1">MIN(BL72:BL76)</f>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552</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 ca="1">S88</f>
        <v>Primary Peer Group</v>
      </c>
      <c r="E86" s="20"/>
      <c r="F86" s="17" t="s">
        <v>1</v>
      </c>
      <c r="G86" s="18" t="str">
        <f ca="1">S89</f>
        <v>Defense Peer Group</v>
      </c>
      <c r="H86" s="19"/>
      <c r="I86" s="19"/>
      <c r="J86" s="20"/>
      <c r="K86" s="16"/>
      <c r="L86" s="18" t="str">
        <f ca="1">S90</f>
        <v>Cap. Goods Peer Group</v>
      </c>
      <c r="M86" s="19"/>
      <c r="N86" s="19"/>
      <c r="O86" s="20"/>
      <c r="P86" s="16"/>
      <c r="Q86" s="18" t="s">
        <v>553</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554</v>
      </c>
      <c r="E88" s="283" t="str">
        <f ca="1">Company_Name</f>
        <v>Lowe's Companies, Inc.</v>
      </c>
      <c r="F88" s="16"/>
      <c r="G88" s="190" t="s">
        <v>554</v>
      </c>
      <c r="H88" s="132"/>
      <c r="I88" s="132" t="str">
        <f ca="1">Company_Name</f>
        <v>Lowe's Companies, Inc.</v>
      </c>
      <c r="J88" s="283"/>
      <c r="K88" s="16"/>
      <c r="L88" s="190" t="s">
        <v>554</v>
      </c>
      <c r="M88" s="132"/>
      <c r="N88" s="132" t="str">
        <f ca="1">Company_Name</f>
        <v>Lowe's Companies, Inc.</v>
      </c>
      <c r="O88" s="283"/>
      <c r="P88" s="16"/>
      <c r="Q88" s="190" t="s">
        <v>555</v>
      </c>
      <c r="R88" s="132"/>
      <c r="S88" s="640" t="s">
        <v>556</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557</v>
      </c>
      <c r="E89" s="189" t="str">
        <f ca="1">Ticker</f>
        <v>LOW</v>
      </c>
      <c r="F89" s="16"/>
      <c r="G89" s="188" t="s">
        <v>557</v>
      </c>
      <c r="H89" s="16"/>
      <c r="I89" s="16" t="str">
        <f ca="1">Ticker</f>
        <v>LOW</v>
      </c>
      <c r="J89" s="189"/>
      <c r="K89" s="16"/>
      <c r="L89" s="188" t="s">
        <v>557</v>
      </c>
      <c r="M89" s="16"/>
      <c r="N89" s="16" t="str">
        <f ca="1">Ticker</f>
        <v>LOW</v>
      </c>
      <c r="O89" s="189"/>
      <c r="P89" s="16"/>
      <c r="Q89" s="188" t="s">
        <v>558</v>
      </c>
      <c r="R89" s="16"/>
      <c r="S89" s="641" t="s">
        <v>559</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560</v>
      </c>
      <c r="E90" s="642" t="s">
        <v>561</v>
      </c>
      <c r="F90" s="16"/>
      <c r="G90" s="192" t="s">
        <v>560</v>
      </c>
      <c r="H90" s="131"/>
      <c r="I90" s="131" t="str">
        <f ca="1">$E$90</f>
        <v>IQ180871</v>
      </c>
      <c r="J90" s="643"/>
      <c r="K90" s="16"/>
      <c r="L90" s="192" t="s">
        <v>560</v>
      </c>
      <c r="M90" s="131"/>
      <c r="N90" s="131" t="str">
        <f ca="1">$E$90</f>
        <v>IQ180871</v>
      </c>
      <c r="O90" s="643"/>
      <c r="P90" s="16"/>
      <c r="Q90" s="192" t="s">
        <v>562</v>
      </c>
      <c r="R90" s="131"/>
      <c r="S90" s="644" t="s">
        <v>563</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564</v>
      </c>
      <c r="E92" s="645" t="s">
        <v>565</v>
      </c>
      <c r="F92" s="16"/>
      <c r="G92" s="190" t="s">
        <v>564</v>
      </c>
      <c r="H92" s="132"/>
      <c r="I92" s="640" t="s">
        <v>566</v>
      </c>
      <c r="J92" s="283"/>
      <c r="K92" s="16"/>
      <c r="L92" s="190" t="s">
        <v>564</v>
      </c>
      <c r="M92" s="132"/>
      <c r="N92" s="640" t="s">
        <v>567</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557</v>
      </c>
      <c r="E93" s="646" t="s">
        <v>568</v>
      </c>
      <c r="F93" s="16"/>
      <c r="G93" s="188" t="s">
        <v>557</v>
      </c>
      <c r="H93" s="16"/>
      <c r="I93" s="641" t="s">
        <v>500</v>
      </c>
      <c r="J93" s="189"/>
      <c r="K93" s="16"/>
      <c r="L93" s="188" t="s">
        <v>557</v>
      </c>
      <c r="M93" s="16"/>
      <c r="N93" s="641" t="s">
        <v>501</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560</v>
      </c>
      <c r="E94" s="642" t="s">
        <v>569</v>
      </c>
      <c r="F94" s="16"/>
      <c r="G94" s="192" t="s">
        <v>560</v>
      </c>
      <c r="H94" s="131"/>
      <c r="I94" s="644" t="s">
        <v>570</v>
      </c>
      <c r="J94" s="643"/>
      <c r="K94" s="16"/>
      <c r="L94" s="192" t="s">
        <v>560</v>
      </c>
      <c r="M94" s="131"/>
      <c r="N94" s="644" t="s">
        <v>571</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564</v>
      </c>
      <c r="E96" s="645" t="s">
        <v>572</v>
      </c>
      <c r="F96" s="16"/>
      <c r="G96" s="190" t="s">
        <v>564</v>
      </c>
      <c r="H96" s="132"/>
      <c r="I96" s="640" t="s">
        <v>573</v>
      </c>
      <c r="J96" s="283"/>
      <c r="K96" s="16"/>
      <c r="L96" s="190" t="s">
        <v>564</v>
      </c>
      <c r="M96" s="132"/>
      <c r="N96" s="640" t="s">
        <v>574</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557</v>
      </c>
      <c r="E97" s="646" t="s">
        <v>452</v>
      </c>
      <c r="F97" s="16"/>
      <c r="G97" s="188" t="s">
        <v>557</v>
      </c>
      <c r="H97" s="16"/>
      <c r="I97" s="641" t="s">
        <v>503</v>
      </c>
      <c r="J97" s="189"/>
      <c r="K97" s="16"/>
      <c r="L97" s="188" t="s">
        <v>557</v>
      </c>
      <c r="M97" s="16"/>
      <c r="N97" s="641" t="s">
        <v>505</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560</v>
      </c>
      <c r="E98" s="642" t="s">
        <v>575</v>
      </c>
      <c r="F98" s="16"/>
      <c r="G98" s="192" t="s">
        <v>560</v>
      </c>
      <c r="H98" s="131"/>
      <c r="I98" s="644" t="s">
        <v>576</v>
      </c>
      <c r="J98" s="643"/>
      <c r="K98" s="16"/>
      <c r="L98" s="192" t="s">
        <v>560</v>
      </c>
      <c r="M98" s="131"/>
      <c r="N98" s="644" t="s">
        <v>577</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564</v>
      </c>
      <c r="E100" s="645" t="s">
        <v>578</v>
      </c>
      <c r="F100" s="16"/>
      <c r="G100" s="190" t="s">
        <v>564</v>
      </c>
      <c r="H100" s="132"/>
      <c r="I100" s="640" t="s">
        <v>579</v>
      </c>
      <c r="J100" s="283"/>
      <c r="K100" s="16"/>
      <c r="L100" s="190" t="s">
        <v>564</v>
      </c>
      <c r="M100" s="132"/>
      <c r="N100" s="640" t="s">
        <v>580</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557</v>
      </c>
      <c r="E101" s="646" t="s">
        <v>452</v>
      </c>
      <c r="F101" s="16"/>
      <c r="G101" s="188" t="s">
        <v>557</v>
      </c>
      <c r="H101" s="47"/>
      <c r="I101" s="641" t="s">
        <v>507</v>
      </c>
      <c r="J101" s="189"/>
      <c r="K101" s="16"/>
      <c r="L101" s="188" t="s">
        <v>557</v>
      </c>
      <c r="M101" s="47"/>
      <c r="N101" s="641" t="s">
        <v>508</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560</v>
      </c>
      <c r="E102" s="642" t="s">
        <v>581</v>
      </c>
      <c r="F102" s="16"/>
      <c r="G102" s="192" t="s">
        <v>560</v>
      </c>
      <c r="H102" s="131"/>
      <c r="I102" s="644" t="s">
        <v>582</v>
      </c>
      <c r="J102" s="643"/>
      <c r="K102" s="16"/>
      <c r="L102" s="192" t="s">
        <v>560</v>
      </c>
      <c r="M102" s="131"/>
      <c r="N102" s="644" t="s">
        <v>583</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564</v>
      </c>
      <c r="E104" s="645" t="s">
        <v>584</v>
      </c>
      <c r="F104" s="16"/>
      <c r="G104" s="190" t="s">
        <v>564</v>
      </c>
      <c r="H104" s="132"/>
      <c r="I104" s="640" t="s">
        <v>585</v>
      </c>
      <c r="J104" s="283"/>
      <c r="K104" s="16"/>
      <c r="L104" s="190" t="s">
        <v>564</v>
      </c>
      <c r="M104" s="132"/>
      <c r="N104" s="640" t="s">
        <v>586</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557</v>
      </c>
      <c r="E105" s="646" t="s">
        <v>452</v>
      </c>
      <c r="F105" s="16"/>
      <c r="G105" s="188" t="s">
        <v>557</v>
      </c>
      <c r="H105" s="16"/>
      <c r="I105" s="641" t="s">
        <v>510</v>
      </c>
      <c r="J105" s="189"/>
      <c r="K105" s="16"/>
      <c r="L105" s="188" t="s">
        <v>557</v>
      </c>
      <c r="M105" s="16"/>
      <c r="N105" s="641" t="s">
        <v>511</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560</v>
      </c>
      <c r="E106" s="642" t="s">
        <v>587</v>
      </c>
      <c r="F106" s="16"/>
      <c r="G106" s="192" t="s">
        <v>560</v>
      </c>
      <c r="H106" s="131"/>
      <c r="I106" s="644" t="s">
        <v>588</v>
      </c>
      <c r="J106" s="643"/>
      <c r="K106" s="16"/>
      <c r="L106" s="192" t="s">
        <v>560</v>
      </c>
      <c r="M106" s="131"/>
      <c r="N106" s="644" t="s">
        <v>589</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564</v>
      </c>
      <c r="E108" s="645" t="s">
        <v>590</v>
      </c>
      <c r="F108" s="16"/>
      <c r="G108" s="190" t="s">
        <v>564</v>
      </c>
      <c r="H108" s="132"/>
      <c r="I108" s="640" t="s">
        <v>591</v>
      </c>
      <c r="J108" s="283"/>
      <c r="K108" s="16"/>
      <c r="L108" s="190" t="s">
        <v>564</v>
      </c>
      <c r="M108" s="132"/>
      <c r="N108" s="640" t="s">
        <v>592</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557</v>
      </c>
      <c r="E109" s="646" t="s">
        <v>452</v>
      </c>
      <c r="F109" s="16"/>
      <c r="G109" s="188" t="s">
        <v>557</v>
      </c>
      <c r="H109" s="16"/>
      <c r="I109" s="641" t="s">
        <v>513</v>
      </c>
      <c r="J109" s="189"/>
      <c r="K109" s="16"/>
      <c r="L109" s="188" t="s">
        <v>557</v>
      </c>
      <c r="M109" s="16"/>
      <c r="N109" s="641" t="s">
        <v>514</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560</v>
      </c>
      <c r="E110" s="642" t="s">
        <v>593</v>
      </c>
      <c r="F110" s="16"/>
      <c r="G110" s="192" t="s">
        <v>560</v>
      </c>
      <c r="H110" s="131"/>
      <c r="I110" s="644" t="s">
        <v>594</v>
      </c>
      <c r="J110" s="643"/>
      <c r="K110" s="16"/>
      <c r="L110" s="192" t="s">
        <v>560</v>
      </c>
      <c r="M110" s="131"/>
      <c r="N110" s="644" t="s">
        <v>595</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66" x14ac:dyDescent="0.25">
      <c r="A113" s="4"/>
    </row>
    <row r="114" ht="13.5" customHeight="1" spans="1:66" x14ac:dyDescent="0.25">
      <c r="A114" s="4"/>
    </row>
    <row r="115" ht="13.5" customHeight="1" spans="1:66" x14ac:dyDescent="0.25">
      <c r="A115" s="4"/>
    </row>
    <row r="116" ht="13.5" customHeight="1" spans="1:66" x14ac:dyDescent="0.25">
      <c r="A116" s="4"/>
    </row>
    <row r="117" ht="13.5" customHeight="1" spans="1:66"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596</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f ca="1">_xll.ciqfunctions.udf.CIQ("3304","iq_ev_over_ltm_ebitda")</f>
      </c>
    </row>
    <row r="3" ht="12.75" customHeight="1" spans="1:29" x14ac:dyDescent="0.25">
      <c r="A3" s="16"/>
      <c r="B3" s="16" t="s">
        <v>597</v>
      </c>
      <c r="C3" s="16"/>
      <c r="D3" s="16"/>
      <c r="E3" s="16"/>
      <c r="F3" s="16"/>
      <c r="G3" s="16"/>
      <c r="H3" s="647"/>
      <c r="I3" s="647"/>
      <c r="J3" s="647"/>
      <c r="K3" s="647"/>
      <c r="L3" s="647">
        <f t="shared" ref="L3:L6" si="0" ca="1">L2+1</f>
        <v>2</v>
      </c>
      <c r="M3" s="647"/>
      <c r="N3" s="647"/>
      <c r="O3" s="647"/>
      <c r="P3" s="647"/>
      <c r="Q3" s="647"/>
      <c r="R3" s="647"/>
      <c r="S3" s="647"/>
      <c r="T3" s="647"/>
      <c r="U3" s="16"/>
      <c r="V3" s="16"/>
      <c r="W3" s="16"/>
      <c r="X3" s="16"/>
      <c r="Y3" s="16"/>
      <c r="Z3" s="16"/>
      <c r="AA3" s="16"/>
      <c r="AB3" s="16"/>
      <c r="AC3" s="16"/>
    </row>
    <row r="4" ht="12.75" customHeight="1" spans="1:29" x14ac:dyDescent="0.25">
      <c r="A4" s="16"/>
      <c r="B4" s="16" t="s">
        <v>598</v>
      </c>
      <c r="C4" s="16"/>
      <c r="D4" s="16"/>
      <c r="E4" s="16"/>
      <c r="F4" s="16"/>
      <c r="G4" s="16"/>
      <c r="H4" s="647"/>
      <c r="I4" s="647"/>
      <c r="J4" s="647"/>
      <c r="K4" s="647"/>
      <c r="L4" s="647">
        <f ca="1">L3+1</f>
        <v>3</v>
      </c>
      <c r="M4" s="647"/>
      <c r="N4" s="647"/>
      <c r="O4" s="647"/>
      <c r="P4" s="647"/>
      <c r="Q4" s="647"/>
      <c r="R4" s="647"/>
      <c r="S4" s="647"/>
      <c r="T4" s="647"/>
      <c r="U4" s="16"/>
      <c r="V4" s="16"/>
      <c r="W4" s="16"/>
      <c r="X4" s="16"/>
      <c r="Y4" s="16"/>
      <c r="Z4" s="16"/>
      <c r="AA4" s="16"/>
      <c r="AB4" s="16"/>
      <c r="AC4" s="16"/>
    </row>
    <row r="5" ht="12.75" customHeight="1" spans="1:29" x14ac:dyDescent="0.25">
      <c r="A5" s="16"/>
      <c r="B5" s="16" t="s">
        <v>599</v>
      </c>
      <c r="C5" s="16"/>
      <c r="D5" s="16"/>
      <c r="E5" s="16"/>
      <c r="F5" s="16"/>
      <c r="G5" s="16"/>
      <c r="H5" s="647"/>
      <c r="I5" s="647"/>
      <c r="J5" s="647"/>
      <c r="K5" s="647"/>
      <c r="L5" s="647">
        <f ca="1">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 ca="1">L5+1</f>
        <v>5</v>
      </c>
      <c r="M6" s="647"/>
      <c r="N6" s="647"/>
      <c r="O6" s="647"/>
      <c r="P6" s="647"/>
      <c r="Q6" s="647"/>
      <c r="R6" s="647"/>
      <c r="S6" s="647"/>
      <c r="T6" s="647"/>
      <c r="U6" s="16"/>
      <c r="V6" s="16"/>
      <c r="W6" s="16"/>
      <c r="X6" s="16"/>
      <c r="Y6" s="16"/>
      <c r="Z6" s="16"/>
      <c r="AA6" s="16"/>
      <c r="AB6" s="16"/>
      <c r="AC6" s="16"/>
    </row>
    <row r="7" ht="12.75" customHeight="1" spans="1:29" x14ac:dyDescent="0.25">
      <c r="A7" s="16"/>
      <c r="B7" s="16" t="s">
        <v>600</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601</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602</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603</v>
      </c>
      <c r="D11" s="652" t="s">
        <v>604</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605</v>
      </c>
      <c r="C12" s="653" t="s">
        <v>606</v>
      </c>
      <c r="D12" s="653" t="s">
        <v>607</v>
      </c>
      <c r="E12" s="653" t="s">
        <v>608</v>
      </c>
      <c r="F12" s="653" t="s">
        <v>609</v>
      </c>
      <c r="G12" s="653" t="s">
        <v>25</v>
      </c>
      <c r="H12" s="647"/>
      <c r="I12" s="647"/>
      <c r="J12" s="16"/>
      <c r="K12" s="16">
        <f t="shared" ref="K12:O12" si="1" ca="1">J12+1</f>
        <v>1</v>
      </c>
      <c r="L12" s="16">
        <f ca="1">K12+1</f>
        <v>2</v>
      </c>
      <c r="M12" s="16">
        <f ca="1">L12+1</f>
        <v>3</v>
      </c>
      <c r="N12" s="16">
        <f ca="1">M12+1</f>
        <v>4</v>
      </c>
      <c r="O12" s="16">
        <f ca="1">N12+1</f>
        <v>5</v>
      </c>
      <c r="P12" s="647"/>
      <c r="Q12" s="647">
        <f t="shared" ref="Q12:U12" si="2" ca="1">P12+1</f>
        <v>1</v>
      </c>
      <c r="R12" s="647">
        <f ca="1">Q12+1</f>
        <v>2</v>
      </c>
      <c r="S12" s="647">
        <f ca="1">R12+1</f>
        <v>3</v>
      </c>
      <c r="T12" s="647">
        <f ca="1">S12+1</f>
        <v>4</v>
      </c>
      <c r="U12" s="647">
        <f ca="1">T12+1</f>
        <v>5</v>
      </c>
      <c r="V12" s="16"/>
      <c r="W12" s="16"/>
      <c r="X12" s="16"/>
      <c r="Y12" s="16"/>
      <c r="Z12" s="16"/>
      <c r="AA12" s="16"/>
      <c r="AB12" s="16"/>
      <c r="AC12" s="16"/>
    </row>
    <row r="13" ht="12.75" customHeight="1" hidden="1" spans="1:29" x14ac:dyDescent="0.25" outlineLevel="1" collapsed="1">
      <c r="A13" s="16"/>
      <c r="B13" s="641" t="s">
        <v>610</v>
      </c>
      <c r="C13" s="506" t="str">
        <f ca="1">IF(J13="","",IFERROR(MATCH(B13,$K13:O13,0),"NO"))</f>
        <v/>
      </c>
      <c r="D13" s="641">
        <v>1</v>
      </c>
      <c r="E13" s="16" t="str">
        <f t="shared" ref="E13:E30" si="3" ca="1">IF(INDEX($K13:$O13,,MATCH($D13,$K$12:$O$12,0))=0,"No Result",INDEX($K13:$O13,,MATCH($D13,$K$12:$O$12,0)))</f>
        <v>No Result</v>
      </c>
      <c r="F13" s="16">
        <f t="shared" ref="F13:F30" si="4" ca="1">IF(INDEX($Q13:$U13,,MATCH($D13,$Q$12:$U$12,0))=0,"",INDEX($Q13:$U13,,MATCH($D13,$Q$12:$U$12,0)))</f>
      </c>
      <c r="G13" s="461">
        <f ca="1">IF(OR(_xll.ciqfunctions.udf.CIQ($F13,"IQ_COMPANY_TICKER")=0,_xll.ciqfunctions.udf.CIQ($F13,"IQ_COMPANY_TICKER")="(Invalid Identifier)"),"-",_xll.ciqfunctions.udf.CIQ($F13,"IQ_COMPANY_TICKER"))</f>
      </c>
      <c r="H13" s="647"/>
      <c r="I13" s="647"/>
      <c r="J13" s="16">
        <f ca="1">_xll.ciqfunctions.udf.CIQRANGEA($B13,"IQ_COMPANY_NAME_QUICK_MATCH",1,5,,,,,,,"NAME")</f>
      </c>
      <c r="K13" s="16"/>
      <c r="L13" s="16"/>
      <c r="M13" s="16"/>
      <c r="N13" s="16"/>
      <c r="O13" s="647"/>
      <c r="P13" s="647">
        <f ca="1">_xll.ciqfunctions.udf.CIQRANGEA($B13,"IQ_COMPANY_ID_QUICK_MATCH",1,5,,,,,,,"ID")</f>
      </c>
      <c r="Q13" s="647"/>
      <c r="R13" s="647"/>
      <c r="S13" s="647"/>
      <c r="T13" s="647"/>
      <c r="U13" s="647"/>
      <c r="V13" s="16"/>
      <c r="W13" s="16"/>
      <c r="X13" s="16"/>
      <c r="Y13" s="16"/>
      <c r="Z13" s="16"/>
      <c r="AA13" s="16"/>
      <c r="AB13" s="16"/>
      <c r="AC13" s="16"/>
    </row>
    <row r="14" ht="12.75" customHeight="1" spans="1:29" x14ac:dyDescent="0.25">
      <c r="A14" s="16"/>
      <c r="B14" s="641" t="s">
        <v>567</v>
      </c>
      <c r="C14" s="506" t="str">
        <f ca="1">IF(J14="","",IFERROR(MATCH(B14,$K14:O14,0),"NO"))</f>
        <v/>
      </c>
      <c r="D14" s="641">
        <v>1</v>
      </c>
      <c r="E14" s="16" t="str">
        <f ca="1">IF(INDEX($K14:$O14,,MATCH($D14,$K$12:$O$12,0))=0,"No Result",INDEX($K14:$O14,,MATCH($D14,$K$12:$O$12,0)))</f>
        <v>3M Company</v>
      </c>
      <c r="F14" s="16" t="str">
        <f ca="1">IF(INDEX($Q14:$U14,,MATCH($D14,$Q$12:$U$12,0))=0,"",INDEX($Q14:$U14,,MATCH($D14,$Q$12:$U$12,0)))</f>
        <v>IQ289194</v>
      </c>
      <c r="G14" s="461">
        <f ca="1">IF(OR(_xll.ciqfunctions.udf.CIQ($F14,"IQ_COMPANY_TICKER")=0,_xll.ciqfunctions.udf.CIQ($F14,"IQ_COMPANY_TICKER")="(Invalid Identifier)"),"-",_xll.ciqfunctions.udf.CIQ($F14,"IQ_COMPANY_TICKER"))</f>
      </c>
      <c r="H14" s="647"/>
      <c r="I14" s="647"/>
      <c r="J14" s="16">
        <f ca="1">_xll.ciqfunctions.udf.CIQRANGEA($B14,"IQ_COMPANY_NAME_QUICK_MATCH",1,5,,,,,,,"NAME")</f>
      </c>
      <c r="K14" s="16" t="s">
        <v>567</v>
      </c>
      <c r="L14" s="16" t="s">
        <v>611</v>
      </c>
      <c r="M14" s="16" t="s">
        <v>612</v>
      </c>
      <c r="N14" s="16" t="s">
        <v>613</v>
      </c>
      <c r="O14" s="647" t="s">
        <v>614</v>
      </c>
      <c r="P14" s="647">
        <f ca="1">_xll.ciqfunctions.udf.CIQRANGEA($B14,"IQ_COMPANY_ID_QUICK_MATCH",1,5,,,,,,,"ID")</f>
      </c>
      <c r="Q14" s="647" t="s">
        <v>571</v>
      </c>
      <c r="R14" s="647" t="s">
        <v>615</v>
      </c>
      <c r="S14" s="647" t="s">
        <v>616</v>
      </c>
      <c r="T14" s="647" t="s">
        <v>617</v>
      </c>
      <c r="U14" s="647" t="s">
        <v>618</v>
      </c>
      <c r="V14" s="16"/>
      <c r="W14" s="16"/>
      <c r="X14" s="16"/>
      <c r="Y14" s="16"/>
      <c r="Z14" s="16"/>
      <c r="AA14" s="16"/>
      <c r="AB14" s="16"/>
      <c r="AC14" s="16"/>
    </row>
    <row r="15" ht="12.75" customHeight="1" spans="1:29" x14ac:dyDescent="0.25">
      <c r="A15" s="16"/>
      <c r="B15" s="641" t="s">
        <v>619</v>
      </c>
      <c r="C15" s="506" t="str">
        <f ca="1">IF(J15="","",IFERROR(MATCH(B15,$K15:O15,0),"NO"))</f>
        <v/>
      </c>
      <c r="D15" s="641">
        <v>1</v>
      </c>
      <c r="E15" s="16" t="str">
        <f ca="1">IF(INDEX($K15:$O15,,MATCH($D15,$K$12:$O$12,0))=0,"No Result",INDEX($K15:$O15,,MATCH($D15,$K$12:$O$12,0)))</f>
        <v>General Electric Company</v>
      </c>
      <c r="F15" s="16" t="str">
        <f ca="1">IF(INDEX($Q15:$U15,,MATCH($D15,$Q$12:$U$12,0))=0,"",INDEX($Q15:$U15,,MATCH($D15,$Q$12:$U$12,0)))</f>
        <v>IQ177031</v>
      </c>
      <c r="G15" s="461">
        <f ca="1">IF(OR(_xll.ciqfunctions.udf.CIQ($F15,"IQ_COMPANY_TICKER")=0,_xll.ciqfunctions.udf.CIQ($F15,"IQ_COMPANY_TICKER")="(Invalid Identifier)"),"-",_xll.ciqfunctions.udf.CIQ($F15,"IQ_COMPANY_TICKER"))</f>
      </c>
      <c r="H15" s="647"/>
      <c r="I15" s="647"/>
      <c r="J15" s="16">
        <f ca="1">_xll.ciqfunctions.udf.CIQRANGEA($B15,"IQ_COMPANY_NAME_QUICK_MATCH",1,5,,,,,,,"NAME")</f>
      </c>
      <c r="K15" s="16" t="s">
        <v>619</v>
      </c>
      <c r="L15" s="16" t="s">
        <v>620</v>
      </c>
      <c r="M15" s="16" t="s">
        <v>621</v>
      </c>
      <c r="N15" s="16" t="s">
        <v>622</v>
      </c>
      <c r="O15" s="647" t="s">
        <v>619</v>
      </c>
      <c r="P15" s="647">
        <f ca="1">_xll.ciqfunctions.udf.CIQRANGEA($B15,"IQ_COMPANY_ID_QUICK_MATCH",1,5,,,,,,,"ID")</f>
      </c>
      <c r="Q15" s="647" t="s">
        <v>577</v>
      </c>
      <c r="R15" s="647" t="s">
        <v>623</v>
      </c>
      <c r="S15" s="647" t="s">
        <v>624</v>
      </c>
      <c r="T15" s="647" t="s">
        <v>625</v>
      </c>
      <c r="U15" s="647" t="s">
        <v>626</v>
      </c>
      <c r="V15" s="16"/>
      <c r="W15" s="16"/>
      <c r="X15" s="16"/>
      <c r="Y15" s="16"/>
      <c r="Z15" s="16"/>
      <c r="AA15" s="16"/>
      <c r="AB15" s="16"/>
      <c r="AC15" s="16"/>
    </row>
    <row r="16" ht="12.75" customHeight="1" spans="1:29" x14ac:dyDescent="0.25">
      <c r="A16" s="16"/>
      <c r="B16" s="641" t="s">
        <v>619</v>
      </c>
      <c r="C16" s="506" t="str">
        <f ca="1">IF(J16="","",IFERROR(MATCH(B16,$K16:O16,0),"NO"))</f>
        <v/>
      </c>
      <c r="D16" s="641">
        <v>1</v>
      </c>
      <c r="E16" s="16" t="str">
        <f ca="1">IF(INDEX($K16:$O16,,MATCH($D16,$K$12:$O$12,0))=0,"No Result",INDEX($K16:$O16,,MATCH($D16,$K$12:$O$12,0)))</f>
        <v>General Electric Company</v>
      </c>
      <c r="F16" s="16" t="str">
        <f ca="1">IF(INDEX($Q16:$U16,,MATCH($D16,$Q$12:$U$12,0))=0,"",INDEX($Q16:$U16,,MATCH($D16,$Q$12:$U$12,0)))</f>
        <v>IQ177031</v>
      </c>
      <c r="G16" s="461">
        <f ca="1">IF(OR(_xll.ciqfunctions.udf.CIQ($F16,"IQ_COMPANY_TICKER")=0,_xll.ciqfunctions.udf.CIQ($F16,"IQ_COMPANY_TICKER")="(Invalid Identifier)"),"-",_xll.ciqfunctions.udf.CIQ($F16,"IQ_COMPANY_TICKER"))</f>
      </c>
      <c r="H16" s="647"/>
      <c r="I16" s="647"/>
      <c r="J16" s="16">
        <f ca="1">_xll.ciqfunctions.udf.CIQRANGEA($B16,"IQ_COMPANY_NAME_QUICK_MATCH",1,5,,,,,,,"NAME")</f>
      </c>
      <c r="K16" s="16" t="s">
        <v>619</v>
      </c>
      <c r="L16" s="16" t="s">
        <v>620</v>
      </c>
      <c r="M16" s="16" t="s">
        <v>621</v>
      </c>
      <c r="N16" s="16" t="s">
        <v>622</v>
      </c>
      <c r="O16" s="647" t="s">
        <v>619</v>
      </c>
      <c r="P16" s="647">
        <f ca="1">_xll.ciqfunctions.udf.CIQRANGEA($B16,"IQ_COMPANY_ID_QUICK_MATCH",1,5,,,,,,,"ID")</f>
      </c>
      <c r="Q16" s="647" t="s">
        <v>577</v>
      </c>
      <c r="R16" s="647" t="s">
        <v>623</v>
      </c>
      <c r="S16" s="647" t="s">
        <v>624</v>
      </c>
      <c r="T16" s="647" t="s">
        <v>625</v>
      </c>
      <c r="U16" s="647" t="s">
        <v>626</v>
      </c>
      <c r="V16" s="16"/>
      <c r="W16" s="16"/>
      <c r="X16" s="16"/>
      <c r="Y16" s="16"/>
      <c r="Z16" s="16"/>
      <c r="AA16" s="16"/>
      <c r="AB16" s="16"/>
      <c r="AC16" s="16"/>
    </row>
    <row r="17" ht="12.75" customHeight="1" spans="1:29" x14ac:dyDescent="0.25">
      <c r="A17" s="16"/>
      <c r="B17" s="641" t="s">
        <v>627</v>
      </c>
      <c r="C17" s="506" t="str">
        <f ca="1">IF(J17="","",IFERROR(MATCH(B17,$K17:O17,0),"NO"))</f>
        <v/>
      </c>
      <c r="D17" s="641">
        <v>1</v>
      </c>
      <c r="E17" s="16" t="str">
        <f ca="1">IF(INDEX($K17:$O17,,MATCH($D17,$K$12:$O$12,0))=0,"No Result",INDEX($K17:$O17,,MATCH($D17,$K$12:$O$12,0)))</f>
        <v>The Home Depot, Inc.</v>
      </c>
      <c r="F17" s="16" t="str">
        <f ca="1">IF(INDEX($Q17:$U17,,MATCH($D17,$Q$12:$U$12,0))=0,"",INDEX($Q17:$U17,,MATCH($D17,$Q$12:$U$12,0)))</f>
        <v>IQ278679</v>
      </c>
      <c r="G17" s="461">
        <f ca="1">IF(OR(_xll.ciqfunctions.udf.CIQ($F17,"IQ_COMPANY_TICKER")=0,_xll.ciqfunctions.udf.CIQ($F17,"IQ_COMPANY_TICKER")="(Invalid Identifier)"),"-",_xll.ciqfunctions.udf.CIQ($F17,"IQ_COMPANY_TICKER"))</f>
      </c>
      <c r="H17" s="647"/>
      <c r="I17" s="647"/>
      <c r="J17" s="16">
        <f ca="1">_xll.ciqfunctions.udf.CIQRANGEA($B17,"IQ_COMPANY_NAME_QUICK_MATCH",1,5,,,,,,,"NAME")</f>
      </c>
      <c r="K17" s="16" t="s">
        <v>565</v>
      </c>
      <c r="L17" s="16" t="s">
        <v>628</v>
      </c>
      <c r="M17" s="16" t="s">
        <v>627</v>
      </c>
      <c r="N17" s="16" t="s">
        <v>629</v>
      </c>
      <c r="O17" s="647" t="s">
        <v>630</v>
      </c>
      <c r="P17" s="647">
        <f ca="1">_xll.ciqfunctions.udf.CIQRANGEA($B17,"IQ_COMPANY_ID_QUICK_MATCH",1,5,,,,,,,"ID")</f>
      </c>
      <c r="Q17" s="647" t="s">
        <v>569</v>
      </c>
      <c r="R17" s="647" t="s">
        <v>631</v>
      </c>
      <c r="S17" s="647" t="s">
        <v>632</v>
      </c>
      <c r="T17" s="647" t="s">
        <v>633</v>
      </c>
      <c r="U17" s="647" t="s">
        <v>634</v>
      </c>
      <c r="V17" s="16"/>
      <c r="W17" s="16"/>
      <c r="X17" s="16"/>
      <c r="Y17" s="16"/>
      <c r="Z17" s="16"/>
      <c r="AA17" s="16"/>
      <c r="AB17" s="16"/>
      <c r="AC17" s="16"/>
    </row>
    <row r="18" ht="12.75" customHeight="1" spans="1:29" x14ac:dyDescent="0.25">
      <c r="A18" s="16"/>
      <c r="B18" s="641" t="s">
        <v>635</v>
      </c>
      <c r="C18" s="506" t="str">
        <f ca="1">IF(J18="","",IFERROR(MATCH(B18,$K18:O18,0),"NO"))</f>
        <v/>
      </c>
      <c r="D18" s="641">
        <v>1</v>
      </c>
      <c r="E18" s="16" t="str">
        <f ca="1">IF(INDEX($K18:$O18,,MATCH($D18,$K$12:$O$12,0))=0,"No Result",INDEX($K18:$O18,,MATCH($D18,$K$12:$O$12,0)))</f>
        <v>Roper Technologies, Inc.</v>
      </c>
      <c r="F18" s="16" t="str">
        <f ca="1">IF(INDEX($Q18:$U18,,MATCH($D18,$Q$12:$U$12,0))=0,"",INDEX($Q18:$U18,,MATCH($D18,$Q$12:$U$12,0)))</f>
        <v>IQ22751</v>
      </c>
      <c r="G18" s="461">
        <f ca="1">IF(OR(_xll.ciqfunctions.udf.CIQ($F18,"IQ_COMPANY_TICKER")=0,_xll.ciqfunctions.udf.CIQ($F18,"IQ_COMPANY_TICKER")="(Invalid Identifier)"),"-",_xll.ciqfunctions.udf.CIQ($F18,"IQ_COMPANY_TICKER"))</f>
      </c>
      <c r="H18" s="647"/>
      <c r="I18" s="647"/>
      <c r="J18" s="16">
        <f ca="1">_xll.ciqfunctions.udf.CIQRANGEA($B18,"IQ_COMPANY_NAME_QUICK_MATCH",1,5,,,,,,,"NAME")</f>
      </c>
      <c r="K18" s="16" t="s">
        <v>635</v>
      </c>
      <c r="L18" s="16" t="s">
        <v>636</v>
      </c>
      <c r="M18" s="16" t="s">
        <v>637</v>
      </c>
      <c r="N18" s="16" t="s">
        <v>638</v>
      </c>
      <c r="O18" s="647"/>
      <c r="P18" s="647">
        <f ca="1">_xll.ciqfunctions.udf.CIQRANGEA($B18,"IQ_COMPANY_ID_QUICK_MATCH",1,5,,,,,,,"ID")</f>
      </c>
      <c r="Q18" s="647" t="s">
        <v>589</v>
      </c>
      <c r="R18" s="647" t="s">
        <v>639</v>
      </c>
      <c r="S18" s="647" t="s">
        <v>640</v>
      </c>
      <c r="T18" s="647" t="s">
        <v>641</v>
      </c>
      <c r="U18" s="647"/>
      <c r="V18" s="16"/>
      <c r="W18" s="16"/>
      <c r="X18" s="16"/>
      <c r="Y18" s="16"/>
      <c r="Z18" s="16"/>
      <c r="AA18" s="16"/>
      <c r="AB18" s="16"/>
      <c r="AC18" s="16"/>
    </row>
    <row r="19" ht="12.75" customHeight="1" spans="1:29" x14ac:dyDescent="0.25">
      <c r="A19" s="16"/>
      <c r="B19" s="641" t="s">
        <v>642</v>
      </c>
      <c r="C19" s="506" t="str">
        <f ca="1">IF(J19="","",IFERROR(MATCH(B19,$K19:O19,0),"NO"))</f>
        <v/>
      </c>
      <c r="D19" s="641">
        <v>1</v>
      </c>
      <c r="E19" s="16" t="str">
        <f ca="1">IF(INDEX($K19:$O19,,MATCH($D19,$K$12:$O$12,0))=0,"No Result",INDEX($K19:$O19,,MATCH($D19,$K$12:$O$12,0)))</f>
        <v>Emerson Electric Co.</v>
      </c>
      <c r="F19" s="16" t="str">
        <f ca="1">IF(INDEX($Q19:$U19,,MATCH($D19,$Q$12:$U$12,0))=0,"",INDEX($Q19:$U19,,MATCH($D19,$Q$12:$U$12,0)))</f>
        <v>IQ269231</v>
      </c>
      <c r="G19" s="461">
        <f ca="1">IF(OR(_xll.ciqfunctions.udf.CIQ($F19,"IQ_COMPANY_TICKER")=0,_xll.ciqfunctions.udf.CIQ($F19,"IQ_COMPANY_TICKER")="(Invalid Identifier)"),"-",_xll.ciqfunctions.udf.CIQ($F19,"IQ_COMPANY_TICKER"))</f>
      </c>
      <c r="H19" s="647"/>
      <c r="I19" s="647"/>
      <c r="J19" s="16">
        <f ca="1">_xll.ciqfunctions.udf.CIQRANGEA($B19,"IQ_COMPANY_NAME_QUICK_MATCH",1,5,,,,,,,"NAME")</f>
      </c>
      <c r="K19" s="16" t="s">
        <v>642</v>
      </c>
      <c r="L19" s="16" t="s">
        <v>643</v>
      </c>
      <c r="M19" s="16" t="s">
        <v>644</v>
      </c>
      <c r="N19" s="16" t="s">
        <v>645</v>
      </c>
      <c r="O19" s="647" t="s">
        <v>646</v>
      </c>
      <c r="P19" s="647">
        <f ca="1">_xll.ciqfunctions.udf.CIQRANGEA($B19,"IQ_COMPANY_ID_QUICK_MATCH",1,5,,,,,,,"ID")</f>
      </c>
      <c r="Q19" s="647" t="s">
        <v>595</v>
      </c>
      <c r="R19" s="647" t="s">
        <v>647</v>
      </c>
      <c r="S19" s="647" t="s">
        <v>648</v>
      </c>
      <c r="T19" s="647" t="s">
        <v>649</v>
      </c>
      <c r="U19" s="647" t="s">
        <v>650</v>
      </c>
      <c r="V19" s="16"/>
      <c r="W19" s="16"/>
      <c r="X19" s="16"/>
      <c r="Y19" s="16"/>
      <c r="Z19" s="16"/>
      <c r="AA19" s="16"/>
      <c r="AB19" s="16"/>
      <c r="AC19" s="16"/>
    </row>
    <row r="20" ht="12.75" customHeight="1" spans="1:29" x14ac:dyDescent="0.25">
      <c r="A20" s="16"/>
      <c r="B20" s="641" t="s">
        <v>572</v>
      </c>
      <c r="C20" s="506" t="str">
        <f ca="1">IF(J20="","",IFERROR(MATCH(B20,$K20:O20,0),"NO"))</f>
        <v/>
      </c>
      <c r="D20" s="641">
        <v>1</v>
      </c>
      <c r="E20" s="16" t="str">
        <f ca="1">IF(INDEX($K20:$O20,,MATCH($D20,$K$12:$O$12,0))=0,"No Result",INDEX($K20:$O20,,MATCH($D20,$K$12:$O$12,0)))</f>
        <v>Apple Inc.</v>
      </c>
      <c r="F20" s="16" t="str">
        <f ca="1">IF(INDEX($Q20:$U20,,MATCH($D20,$Q$12:$U$12,0))=0,"",INDEX($Q20:$U20,,MATCH($D20,$Q$12:$U$12,0)))</f>
        <v>IQ24937</v>
      </c>
      <c r="G20" s="461">
        <f ca="1">IF(OR(_xll.ciqfunctions.udf.CIQ($F20,"IQ_COMPANY_TICKER")=0,_xll.ciqfunctions.udf.CIQ($F20,"IQ_COMPANY_TICKER")="(Invalid Identifier)"),"-",_xll.ciqfunctions.udf.CIQ($F20,"IQ_COMPANY_TICKER"))</f>
      </c>
      <c r="H20" s="647"/>
      <c r="I20" s="647"/>
      <c r="J20" s="16">
        <f ca="1">_xll.ciqfunctions.udf.CIQRANGEA($B20,"IQ_COMPANY_NAME_QUICK_MATCH",1,5,,,,,,,"NAME")</f>
      </c>
      <c r="K20" s="16" t="s">
        <v>651</v>
      </c>
      <c r="L20" s="16" t="s">
        <v>572</v>
      </c>
      <c r="M20" s="16" t="s">
        <v>652</v>
      </c>
      <c r="N20" s="16" t="s">
        <v>653</v>
      </c>
      <c r="O20" s="647" t="s">
        <v>651</v>
      </c>
      <c r="P20" s="647">
        <f ca="1">_xll.ciqfunctions.udf.CIQRANGEA($B20,"IQ_COMPANY_ID_QUICK_MATCH",1,5,,,,,,,"ID")</f>
      </c>
      <c r="Q20" s="647" t="s">
        <v>654</v>
      </c>
      <c r="R20" s="647" t="s">
        <v>655</v>
      </c>
      <c r="S20" s="647" t="s">
        <v>656</v>
      </c>
      <c r="T20" s="647" t="s">
        <v>657</v>
      </c>
      <c r="U20" s="647" t="s">
        <v>658</v>
      </c>
      <c r="V20" s="16"/>
      <c r="W20" s="16"/>
      <c r="X20" s="16"/>
      <c r="Y20" s="16"/>
      <c r="Z20" s="16"/>
      <c r="AA20" s="16"/>
      <c r="AB20" s="16"/>
      <c r="AC20" s="16"/>
    </row>
    <row r="21" ht="12.75" customHeight="1" spans="1:29" x14ac:dyDescent="0.25">
      <c r="A21" s="16"/>
      <c r="B21" s="641" t="s">
        <v>659</v>
      </c>
      <c r="C21" s="506" t="str">
        <f ca="1">IF(J21="","",IFERROR(MATCH(B21,$K21:O21,0),"NO"))</f>
        <v/>
      </c>
      <c r="D21" s="641">
        <v>1</v>
      </c>
      <c r="E21" s="16" t="str">
        <f ca="1">IF(INDEX($K21:$O21,,MATCH($D21,$K$12:$O$12,0))=0,"No Result",INDEX($K21:$O21,,MATCH($D21,$K$12:$O$12,0)))</f>
        <v>Oracle Corporation</v>
      </c>
      <c r="F21" s="16" t="str">
        <f ca="1">IF(INDEX($Q21:$U21,,MATCH($D21,$Q$12:$U$12,0))=0,"",INDEX($Q21:$U21,,MATCH($D21,$Q$12:$U$12,0)))</f>
        <v>IQ22247</v>
      </c>
      <c r="G21" s="461">
        <f ca="1">IF(OR(_xll.ciqfunctions.udf.CIQ($F21,"IQ_COMPANY_TICKER")=0,_xll.ciqfunctions.udf.CIQ($F21,"IQ_COMPANY_TICKER")="(Invalid Identifier)"),"-",_xll.ciqfunctions.udf.CIQ($F21,"IQ_COMPANY_TICKER"))</f>
      </c>
      <c r="H21" s="647"/>
      <c r="I21" s="647"/>
      <c r="J21" s="16">
        <f ca="1">_xll.ciqfunctions.udf.CIQRANGEA($B21,"IQ_COMPANY_NAME_QUICK_MATCH",1,5,,,,,,,"NAME")</f>
      </c>
      <c r="K21" s="16" t="s">
        <v>660</v>
      </c>
      <c r="L21" s="16" t="s">
        <v>661</v>
      </c>
      <c r="M21" s="16" t="s">
        <v>662</v>
      </c>
      <c r="N21" s="16" t="s">
        <v>663</v>
      </c>
      <c r="O21" s="647" t="s">
        <v>664</v>
      </c>
      <c r="P21" s="647">
        <f ca="1">_xll.ciqfunctions.udf.CIQRANGEA($B21,"IQ_COMPANY_ID_QUICK_MATCH",1,5,,,,,,,"ID")</f>
      </c>
      <c r="Q21" s="647" t="s">
        <v>665</v>
      </c>
      <c r="R21" s="647" t="s">
        <v>666</v>
      </c>
      <c r="S21" s="647" t="s">
        <v>667</v>
      </c>
      <c r="T21" s="647" t="s">
        <v>668</v>
      </c>
      <c r="U21" s="647" t="s">
        <v>669</v>
      </c>
      <c r="V21" s="16"/>
      <c r="W21" s="16"/>
      <c r="X21" s="16"/>
      <c r="Y21" s="16"/>
      <c r="Z21" s="16"/>
      <c r="AA21" s="16"/>
      <c r="AB21" s="16"/>
      <c r="AC21" s="16"/>
    </row>
    <row r="22" ht="12.75" customHeight="1" spans="1:29" x14ac:dyDescent="0.25">
      <c r="A22" s="16"/>
      <c r="B22" s="641" t="s">
        <v>670</v>
      </c>
      <c r="C22" s="506" t="str">
        <f ca="1">IF(J22="","",IFERROR(MATCH(B22,$K22:O22,0),"NO"))</f>
        <v/>
      </c>
      <c r="D22" s="641">
        <v>1</v>
      </c>
      <c r="E22" s="16" t="str">
        <f ca="1">IF(INDEX($K22:$O22,,MATCH($D22,$K$12:$O$12,0))=0,"No Result",INDEX($K22:$O22,,MATCH($D22,$K$12:$O$12,0)))</f>
        <v>Citrix Systems, Inc.</v>
      </c>
      <c r="F22" s="16" t="str">
        <f ca="1">IF(INDEX($Q22:$U22,,MATCH($D22,$Q$12:$U$12,0))=0,"",INDEX($Q22:$U22,,MATCH($D22,$Q$12:$U$12,0)))</f>
        <v>IQ26524</v>
      </c>
      <c r="G22" s="461">
        <f ca="1">IF(OR(_xll.ciqfunctions.udf.CIQ($F22,"IQ_COMPANY_TICKER")=0,_xll.ciqfunctions.udf.CIQ($F22,"IQ_COMPANY_TICKER")="(Invalid Identifier)"),"-",_xll.ciqfunctions.udf.CIQ($F22,"IQ_COMPANY_TICKER"))</f>
      </c>
      <c r="H22" s="647"/>
      <c r="I22" s="647"/>
      <c r="J22" s="16">
        <f ca="1">_xll.ciqfunctions.udf.CIQRANGEA($B22,"IQ_COMPANY_NAME_QUICK_MATCH",1,5,,,,,,,"NAME")</f>
      </c>
      <c r="K22" s="16" t="s">
        <v>671</v>
      </c>
      <c r="L22" s="16" t="s">
        <v>672</v>
      </c>
      <c r="M22" s="16" t="s">
        <v>673</v>
      </c>
      <c r="N22" s="16" t="s">
        <v>674</v>
      </c>
      <c r="O22" s="647" t="s">
        <v>675</v>
      </c>
      <c r="P22" s="647">
        <f ca="1">_xll.ciqfunctions.udf.CIQRANGEA($B22,"IQ_COMPANY_ID_QUICK_MATCH",1,5,,,,,,,"ID")</f>
      </c>
      <c r="Q22" s="647" t="s">
        <v>676</v>
      </c>
      <c r="R22" s="647" t="s">
        <v>677</v>
      </c>
      <c r="S22" s="647" t="s">
        <v>678</v>
      </c>
      <c r="T22" s="647" t="s">
        <v>679</v>
      </c>
      <c r="U22" s="647" t="s">
        <v>680</v>
      </c>
      <c r="V22" s="16"/>
      <c r="W22" s="16"/>
      <c r="X22" s="16"/>
      <c r="Y22" s="16"/>
      <c r="Z22" s="16"/>
      <c r="AA22" s="16"/>
      <c r="AB22" s="16"/>
      <c r="AC22" s="16"/>
    </row>
    <row r="23" ht="12.75" customHeight="1" spans="1:29" x14ac:dyDescent="0.25">
      <c r="A23" s="16"/>
      <c r="B23" s="641" t="s">
        <v>681</v>
      </c>
      <c r="C23" s="506" t="str">
        <f ca="1">IF(J23="","",IFERROR(MATCH(B23,$K23:O23,0),"NO"))</f>
        <v/>
      </c>
      <c r="D23" s="641">
        <v>1</v>
      </c>
      <c r="E23" s="16" t="str">
        <f ca="1">IF(INDEX($K23:$O23,,MATCH($D23,$K$12:$O$12,0))=0,"No Result",INDEX($K23:$O23,,MATCH($D23,$K$12:$O$12,0)))</f>
        <v>Cyren Ltd.</v>
      </c>
      <c r="F23" s="16" t="str">
        <f ca="1">IF(INDEX($Q23:$U23,,MATCH($D23,$Q$12:$U$12,0))=0,"",INDEX($Q23:$U23,,MATCH($D23,$Q$12:$U$12,0)))</f>
        <v>IQ26767</v>
      </c>
      <c r="G23" s="461">
        <f ca="1">IF(OR(_xll.ciqfunctions.udf.CIQ($F23,"IQ_COMPANY_TICKER")=0,_xll.ciqfunctions.udf.CIQ($F23,"IQ_COMPANY_TICKER")="(Invalid Identifier)"),"-",_xll.ciqfunctions.udf.CIQ($F23,"IQ_COMPANY_TICKER"))</f>
      </c>
      <c r="H23" s="647"/>
      <c r="I23" s="647"/>
      <c r="J23" s="16">
        <f ca="1">_xll.ciqfunctions.udf.CIQRANGEA($B23,"IQ_COMPANY_NAME_QUICK_MATCH",1,5,,,,,,,"NAME")</f>
      </c>
      <c r="K23" s="16" t="s">
        <v>682</v>
      </c>
      <c r="L23" s="16" t="s">
        <v>683</v>
      </c>
      <c r="M23" s="16" t="s">
        <v>684</v>
      </c>
      <c r="N23" s="16" t="s">
        <v>685</v>
      </c>
      <c r="O23" s="647" t="s">
        <v>686</v>
      </c>
      <c r="P23" s="647">
        <f ca="1">_xll.ciqfunctions.udf.CIQRANGEA($B23,"IQ_COMPANY_ID_QUICK_MATCH",1,5,,,,,,,"ID")</f>
      </c>
      <c r="Q23" s="647" t="s">
        <v>687</v>
      </c>
      <c r="R23" s="647" t="s">
        <v>688</v>
      </c>
      <c r="S23" s="647" t="s">
        <v>689</v>
      </c>
      <c r="T23" s="647" t="s">
        <v>690</v>
      </c>
      <c r="U23" s="647" t="s">
        <v>691</v>
      </c>
      <c r="V23" s="16"/>
      <c r="W23" s="16"/>
      <c r="X23" s="16"/>
      <c r="Y23" s="16"/>
      <c r="Z23" s="16"/>
      <c r="AA23" s="16"/>
      <c r="AB23" s="16"/>
      <c r="AC23" s="16"/>
    </row>
    <row r="24" ht="12.75" customHeight="1" spans="1:29" x14ac:dyDescent="0.25">
      <c r="A24" s="16"/>
      <c r="B24" s="641" t="s">
        <v>692</v>
      </c>
      <c r="C24" s="506" t="str">
        <f ca="1">IF(J24="","",IFERROR(MATCH(B24,$K24:O24,0),"NO"))</f>
        <v/>
      </c>
      <c r="D24" s="641">
        <v>1</v>
      </c>
      <c r="E24" s="16" t="str">
        <f ca="1">IF(INDEX($K24:$O24,,MATCH($D24,$K$12:$O$12,0))=0,"No Result",INDEX($K24:$O24,,MATCH($D24,$K$12:$O$12,0)))</f>
        <v>Commvault Systems, Inc.</v>
      </c>
      <c r="F24" s="16" t="str">
        <f ca="1">IF(INDEX($Q24:$U24,,MATCH($D24,$Q$12:$U$12,0))=0,"",INDEX($Q24:$U24,,MATCH($D24,$Q$12:$U$12,0)))</f>
        <v>IQ26789</v>
      </c>
      <c r="G24" s="461">
        <f ca="1">IF(OR(_xll.ciqfunctions.udf.CIQ($F24,"IQ_COMPANY_TICKER")=0,_xll.ciqfunctions.udf.CIQ($F24,"IQ_COMPANY_TICKER")="(Invalid Identifier)"),"-",_xll.ciqfunctions.udf.CIQ($F24,"IQ_COMPANY_TICKER"))</f>
      </c>
      <c r="H24" s="647"/>
      <c r="I24" s="647"/>
      <c r="J24" s="16">
        <f ca="1">_xll.ciqfunctions.udf.CIQRANGEA($B24,"IQ_COMPANY_NAME_QUICK_MATCH",1,5,,,,,,,"NAME")</f>
      </c>
      <c r="K24" s="16" t="s">
        <v>693</v>
      </c>
      <c r="L24" s="16" t="s">
        <v>694</v>
      </c>
      <c r="M24" s="16" t="s">
        <v>695</v>
      </c>
      <c r="N24" s="16" t="s">
        <v>696</v>
      </c>
      <c r="O24" s="647" t="s">
        <v>697</v>
      </c>
      <c r="P24" s="647">
        <f ca="1">_xll.ciqfunctions.udf.CIQRANGEA($B24,"IQ_COMPANY_ID_QUICK_MATCH",1,5,,,,,,,"ID")</f>
      </c>
      <c r="Q24" s="647" t="s">
        <v>698</v>
      </c>
      <c r="R24" s="647" t="s">
        <v>699</v>
      </c>
      <c r="S24" s="647" t="s">
        <v>700</v>
      </c>
      <c r="T24" s="647" t="s">
        <v>701</v>
      </c>
      <c r="U24" s="647" t="s">
        <v>702</v>
      </c>
      <c r="V24" s="16"/>
      <c r="W24" s="16"/>
      <c r="X24" s="16"/>
      <c r="Y24" s="16"/>
      <c r="Z24" s="16"/>
      <c r="AA24" s="16"/>
      <c r="AB24" s="16"/>
      <c r="AC24" s="16"/>
    </row>
    <row r="25" ht="12.75" customHeight="1" spans="1:29" x14ac:dyDescent="0.25">
      <c r="A25" s="16"/>
      <c r="B25" s="641" t="s">
        <v>703</v>
      </c>
      <c r="C25" s="506" t="str">
        <f ca="1">IF(J25="","",IFERROR(MATCH(B25,$K25:O25,0),"NO"))</f>
        <v/>
      </c>
      <c r="D25" s="641">
        <v>1</v>
      </c>
      <c r="E25" s="16" t="str">
        <f ca="1">IF(INDEX($K25:$O25,,MATCH($D25,$K$12:$O$12,0))=0,"No Result",INDEX($K25:$O25,,MATCH($D25,$K$12:$O$12,0)))</f>
        <v>eGain Corporation</v>
      </c>
      <c r="F25" s="16" t="str">
        <f ca="1">IF(INDEX($Q25:$U25,,MATCH($D25,$Q$12:$U$12,0))=0,"",INDEX($Q25:$U25,,MATCH($D25,$Q$12:$U$12,0)))</f>
        <v>IQ27928</v>
      </c>
      <c r="G25" s="461">
        <f ca="1">IF(OR(_xll.ciqfunctions.udf.CIQ($F25,"IQ_COMPANY_TICKER")=0,_xll.ciqfunctions.udf.CIQ($F25,"IQ_COMPANY_TICKER")="(Invalid Identifier)"),"-",_xll.ciqfunctions.udf.CIQ($F25,"IQ_COMPANY_TICKER"))</f>
      </c>
      <c r="H25" s="647"/>
      <c r="I25" s="647"/>
      <c r="J25" s="16">
        <f ca="1">_xll.ciqfunctions.udf.CIQRANGEA($B25,"IQ_COMPANY_NAME_QUICK_MATCH",1,5,,,,,,,"NAME")</f>
      </c>
      <c r="K25" s="16" t="s">
        <v>703</v>
      </c>
      <c r="L25" s="16" t="s">
        <v>704</v>
      </c>
      <c r="M25" s="16" t="s">
        <v>705</v>
      </c>
      <c r="N25" s="16" t="s">
        <v>706</v>
      </c>
      <c r="O25" s="647" t="s">
        <v>707</v>
      </c>
      <c r="P25" s="647">
        <f ca="1">_xll.ciqfunctions.udf.CIQRANGEA($B25,"IQ_COMPANY_ID_QUICK_MATCH",1,5,,,,,,,"ID")</f>
      </c>
      <c r="Q25" s="647" t="s">
        <v>708</v>
      </c>
      <c r="R25" s="647" t="s">
        <v>709</v>
      </c>
      <c r="S25" s="647" t="s">
        <v>710</v>
      </c>
      <c r="T25" s="647" t="s">
        <v>711</v>
      </c>
      <c r="U25" s="647" t="s">
        <v>712</v>
      </c>
      <c r="V25" s="16"/>
      <c r="W25" s="16"/>
      <c r="X25" s="16"/>
      <c r="Y25" s="16"/>
      <c r="Z25" s="16"/>
      <c r="AA25" s="16"/>
      <c r="AB25" s="16"/>
      <c r="AC25" s="16"/>
    </row>
    <row r="26" ht="12.75" customHeight="1" spans="1:29" x14ac:dyDescent="0.25">
      <c r="A26" s="16"/>
      <c r="B26" s="641" t="s">
        <v>713</v>
      </c>
      <c r="C26" s="506" t="str">
        <f ca="1">IF(J26="","",IFERROR(MATCH(B26,$K26:O26,0),"NO"))</f>
        <v/>
      </c>
      <c r="D26" s="641">
        <v>1</v>
      </c>
      <c r="E26" s="16" t="str">
        <f ca="1">IF(INDEX($K26:$O26,,MATCH($D26,$K$12:$O$12,0))=0,"No Result",INDEX($K26:$O26,,MATCH($D26,$K$12:$O$12,0)))</f>
        <v>Harmonic Inc.</v>
      </c>
      <c r="F26" s="16" t="str">
        <f ca="1">IF(INDEX($Q26:$U26,,MATCH($D26,$Q$12:$U$12,0))=0,"",INDEX($Q26:$U26,,MATCH($D26,$Q$12:$U$12,0)))</f>
        <v>IQ29282</v>
      </c>
      <c r="G26" s="461">
        <f ca="1">IF(OR(_xll.ciqfunctions.udf.CIQ($F26,"IQ_COMPANY_TICKER")=0,_xll.ciqfunctions.udf.CIQ($F26,"IQ_COMPANY_TICKER")="(Invalid Identifier)"),"-",_xll.ciqfunctions.udf.CIQ($F26,"IQ_COMPANY_TICKER"))</f>
      </c>
      <c r="H26" s="647"/>
      <c r="I26" s="647"/>
      <c r="J26" s="16">
        <f ca="1">_xll.ciqfunctions.udf.CIQRANGEA($B26,"IQ_COMPANY_NAME_QUICK_MATCH",1,5,,,,,,,"NAME")</f>
      </c>
      <c r="K26" s="16" t="s">
        <v>714</v>
      </c>
      <c r="L26" s="16" t="s">
        <v>715</v>
      </c>
      <c r="M26" s="16" t="s">
        <v>716</v>
      </c>
      <c r="N26" s="16" t="s">
        <v>717</v>
      </c>
      <c r="O26" s="647" t="s">
        <v>718</v>
      </c>
      <c r="P26" s="647">
        <f ca="1">_xll.ciqfunctions.udf.CIQRANGEA($B26,"IQ_COMPANY_ID_QUICK_MATCH",1,5,,,,,,,"ID")</f>
      </c>
      <c r="Q26" s="647" t="s">
        <v>719</v>
      </c>
      <c r="R26" s="647" t="s">
        <v>720</v>
      </c>
      <c r="S26" s="647" t="s">
        <v>721</v>
      </c>
      <c r="T26" s="647" t="s">
        <v>722</v>
      </c>
      <c r="U26" s="647" t="s">
        <v>723</v>
      </c>
      <c r="V26" s="16"/>
      <c r="W26" s="16"/>
      <c r="X26" s="16"/>
      <c r="Y26" s="16"/>
      <c r="Z26" s="16"/>
      <c r="AA26" s="16"/>
      <c r="AB26" s="16"/>
      <c r="AC26" s="16"/>
    </row>
    <row r="27" ht="12.75" customHeight="1" spans="1:29" x14ac:dyDescent="0.25">
      <c r="A27" s="16"/>
      <c r="B27" s="641" t="s">
        <v>724</v>
      </c>
      <c r="C27" s="506" t="str">
        <f ca="1">IF(J27="","",IFERROR(MATCH(B27,$K27:O27,0),"NO"))</f>
        <v/>
      </c>
      <c r="D27" s="641">
        <v>1</v>
      </c>
      <c r="E27" s="16" t="str">
        <f ca="1">IF(INDEX($K27:$O27,,MATCH($D27,$K$12:$O$12,0))=0,"No Result",INDEX($K27:$O27,,MATCH($D27,$K$12:$O$12,0)))</f>
        <v>NetApp, Inc.</v>
      </c>
      <c r="F27" s="16" t="str">
        <f ca="1">IF(INDEX($Q27:$U27,,MATCH($D27,$Q$12:$U$12,0))=0,"",INDEX($Q27:$U27,,MATCH($D27,$Q$12:$U$12,0)))</f>
        <v>IQ32052</v>
      </c>
      <c r="G27" s="461">
        <f ca="1">IF(OR(_xll.ciqfunctions.udf.CIQ($F27,"IQ_COMPANY_TICKER")=0,_xll.ciqfunctions.udf.CIQ($F27,"IQ_COMPANY_TICKER")="(Invalid Identifier)"),"-",_xll.ciqfunctions.udf.CIQ($F27,"IQ_COMPANY_TICKER"))</f>
      </c>
      <c r="H27" s="647"/>
      <c r="I27" s="647"/>
      <c r="J27" s="16">
        <f ca="1">_xll.ciqfunctions.udf.CIQRANGEA($B27,"IQ_COMPANY_NAME_QUICK_MATCH",1,5,,,,,,,"NAME")</f>
      </c>
      <c r="K27" s="16" t="s">
        <v>725</v>
      </c>
      <c r="L27" s="16" t="s">
        <v>726</v>
      </c>
      <c r="M27" s="16" t="s">
        <v>727</v>
      </c>
      <c r="N27" s="16" t="s">
        <v>728</v>
      </c>
      <c r="O27" s="647" t="s">
        <v>729</v>
      </c>
      <c r="P27" s="647">
        <f ca="1">_xll.ciqfunctions.udf.CIQRANGEA($B27,"IQ_COMPANY_ID_QUICK_MATCH",1,5,,,,,,,"ID")</f>
      </c>
      <c r="Q27" s="647" t="s">
        <v>730</v>
      </c>
      <c r="R27" s="647" t="s">
        <v>731</v>
      </c>
      <c r="S27" s="647" t="s">
        <v>732</v>
      </c>
      <c r="T27" s="647" t="s">
        <v>733</v>
      </c>
      <c r="U27" s="647" t="s">
        <v>734</v>
      </c>
      <c r="V27" s="16"/>
      <c r="W27" s="16"/>
      <c r="X27" s="16"/>
      <c r="Y27" s="16"/>
      <c r="Z27" s="16"/>
      <c r="AA27" s="16"/>
      <c r="AB27" s="16"/>
      <c r="AC27" s="16"/>
    </row>
    <row r="28" ht="12.75" customHeight="1" spans="1:29" x14ac:dyDescent="0.25">
      <c r="A28" s="16"/>
      <c r="B28" s="641" t="s">
        <v>735</v>
      </c>
      <c r="C28" s="506" t="str">
        <f ca="1">IF(J28="","",IFERROR(MATCH(B28,$K28:O28,0),"NO"))</f>
        <v/>
      </c>
      <c r="D28" s="641">
        <v>1</v>
      </c>
      <c r="E28" s="16" t="str">
        <f ca="1">IF(INDEX($K28:$O28,,MATCH($D28,$K$12:$O$12,0))=0,"No Result",INDEX($K28:$O28,,MATCH($D28,$K$12:$O$12,0)))</f>
        <v>Inseego Corp.</v>
      </c>
      <c r="F28" s="16" t="str">
        <f ca="1">IF(INDEX($Q28:$U28,,MATCH($D28,$Q$12:$U$12,0))=0,"",INDEX($Q28:$U28,,MATCH($D28,$Q$12:$U$12,0)))</f>
        <v>IQ32261</v>
      </c>
      <c r="G28" s="461">
        <f ca="1">IF(OR(_xll.ciqfunctions.udf.CIQ($F28,"IQ_COMPANY_TICKER")=0,_xll.ciqfunctions.udf.CIQ($F28,"IQ_COMPANY_TICKER")="(Invalid Identifier)"),"-",_xll.ciqfunctions.udf.CIQ($F28,"IQ_COMPANY_TICKER"))</f>
      </c>
      <c r="H28" s="647"/>
      <c r="I28" s="647"/>
      <c r="J28" s="16">
        <f ca="1">_xll.ciqfunctions.udf.CIQRANGEA($B28,"IQ_COMPANY_NAME_QUICK_MATCH",1,5,,,,,,,"NAME")</f>
      </c>
      <c r="K28" s="16" t="s">
        <v>736</v>
      </c>
      <c r="L28" s="16" t="s">
        <v>737</v>
      </c>
      <c r="M28" s="16" t="s">
        <v>738</v>
      </c>
      <c r="N28" s="16" t="s">
        <v>739</v>
      </c>
      <c r="O28" s="647" t="s">
        <v>740</v>
      </c>
      <c r="P28" s="647">
        <f ca="1">_xll.ciqfunctions.udf.CIQRANGEA($B28,"IQ_COMPANY_ID_QUICK_MATCH",1,5,,,,,,,"ID")</f>
      </c>
      <c r="Q28" s="647" t="s">
        <v>741</v>
      </c>
      <c r="R28" s="647" t="s">
        <v>742</v>
      </c>
      <c r="S28" s="647" t="s">
        <v>743</v>
      </c>
      <c r="T28" s="647" t="s">
        <v>744</v>
      </c>
      <c r="U28" s="647" t="s">
        <v>745</v>
      </c>
      <c r="V28" s="16"/>
      <c r="W28" s="16"/>
      <c r="X28" s="16"/>
      <c r="Y28" s="16"/>
      <c r="Z28" s="16"/>
      <c r="AA28" s="16"/>
      <c r="AB28" s="16"/>
      <c r="AC28" s="16"/>
    </row>
    <row r="29" ht="12.75" customHeight="1" spans="1:29" x14ac:dyDescent="0.25">
      <c r="A29" s="16"/>
      <c r="B29" s="641" t="s">
        <v>746</v>
      </c>
      <c r="C29" s="506" t="str">
        <f ca="1">IF(J29="","",IFERROR(MATCH(B29,$K29:O29,0),"NO"))</f>
        <v/>
      </c>
      <c r="D29" s="641">
        <v>1</v>
      </c>
      <c r="E29" s="16" t="str">
        <f ca="1">IF(INDEX($K29:$O29,,MATCH($D29,$K$12:$O$12,0))=0,"No Result",INDEX($K29:$O29,,MATCH($D29,$K$12:$O$12,0)))</f>
        <v>Intouch Insight Ltd.</v>
      </c>
      <c r="F29" s="16" t="str">
        <f ca="1">IF(INDEX($Q29:$U29,,MATCH($D29,$Q$12:$U$12,0))=0,"",INDEX($Q29:$U29,,MATCH($D29,$Q$12:$U$12,0)))</f>
        <v>IQ3160034</v>
      </c>
      <c r="G29" s="461">
        <f ca="1">IF(OR(_xll.ciqfunctions.udf.CIQ($F29,"IQ_COMPANY_TICKER")=0,_xll.ciqfunctions.udf.CIQ($F29,"IQ_COMPANY_TICKER")="(Invalid Identifier)"),"-",_xll.ciqfunctions.udf.CIQ($F29,"IQ_COMPANY_TICKER"))</f>
      </c>
      <c r="H29" s="647"/>
      <c r="I29" s="647"/>
      <c r="J29" s="16">
        <f ca="1">_xll.ciqfunctions.udf.CIQRANGEA($B29,"IQ_COMPANY_NAME_QUICK_MATCH",1,5,,,,,,,"NAME")</f>
      </c>
      <c r="K29" s="16" t="s">
        <v>747</v>
      </c>
      <c r="L29" s="16" t="s">
        <v>748</v>
      </c>
      <c r="M29" s="16"/>
      <c r="N29" s="16"/>
      <c r="O29" s="647"/>
      <c r="P29" s="647">
        <f ca="1">_xll.ciqfunctions.udf.CIQRANGEA($B29,"IQ_COMPANY_ID_QUICK_MATCH",1,5,,,,,,,"ID")</f>
      </c>
      <c r="Q29" s="647" t="s">
        <v>749</v>
      </c>
      <c r="R29" s="647" t="s">
        <v>750</v>
      </c>
      <c r="S29" s="647"/>
      <c r="T29" s="647"/>
      <c r="U29" s="647"/>
      <c r="V29" s="16"/>
      <c r="W29" s="16"/>
      <c r="X29" s="16"/>
      <c r="Y29" s="16"/>
      <c r="Z29" s="16"/>
      <c r="AA29" s="16"/>
      <c r="AB29" s="16"/>
      <c r="AC29" s="16"/>
    </row>
    <row r="30" ht="12.75" customHeight="1" spans="1:29" x14ac:dyDescent="0.25">
      <c r="A30" s="16"/>
      <c r="B30" s="641" t="s">
        <v>751</v>
      </c>
      <c r="C30" s="506" t="str">
        <f ca="1">IF(J30="","",IFERROR(MATCH(B30,$K30:O30,0),"NO"))</f>
        <v/>
      </c>
      <c r="D30" s="641">
        <v>1</v>
      </c>
      <c r="E30" s="16" t="str">
        <f ca="1">IF(INDEX($K30:$O30,,MATCH($D30,$K$12:$O$12,0))=0,"No Result",INDEX($K30:$O30,,MATCH($D30,$K$12:$O$12,0)))</f>
        <v>Energy Plug Technologies Corp.</v>
      </c>
      <c r="F30" s="16" t="str">
        <f ca="1">IF(INDEX($Q30:$U30,,MATCH($D30,$Q$12:$U$12,0))=0,"",INDEX($Q30:$U30,,MATCH($D30,$Q$12:$U$12,0)))</f>
        <v>IQ282167789</v>
      </c>
      <c r="G30" s="461">
        <f ca="1">IF(OR(_xll.ciqfunctions.udf.CIQ($F30,"IQ_COMPANY_TICKER")=0,_xll.ciqfunctions.udf.CIQ($F30,"IQ_COMPANY_TICKER")="(Invalid Identifier)"),"-",_xll.ciqfunctions.udf.CIQ($F30,"IQ_COMPANY_TICKER"))</f>
      </c>
      <c r="H30" s="647"/>
      <c r="I30" s="647"/>
      <c r="J30" s="16">
        <f ca="1">_xll.ciqfunctions.udf.CIQRANGEA($B30,"IQ_COMPANY_NAME_QUICK_MATCH",1,5,,,,,,,"NAME")</f>
      </c>
      <c r="K30" s="16" t="s">
        <v>752</v>
      </c>
      <c r="L30" s="16"/>
      <c r="M30" s="16"/>
      <c r="N30" s="16"/>
      <c r="O30" s="647"/>
      <c r="P30" s="647">
        <f ca="1">_xll.ciqfunctions.udf.CIQRANGEA($B30,"IQ_COMPANY_ID_QUICK_MATCH",1,5,,,,,,,"ID")</f>
      </c>
      <c r="Q30" s="647" t="s">
        <v>753</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 ca="1">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754</v>
      </c>
      <c r="D4" s="19"/>
      <c r="E4" s="19"/>
      <c r="F4" s="19"/>
      <c r="G4" s="20"/>
      <c r="H4" s="16"/>
      <c r="I4" s="16"/>
      <c r="J4" s="18" t="s">
        <v>755</v>
      </c>
      <c r="K4" s="19"/>
      <c r="L4" s="19"/>
      <c r="M4" s="63" t="s">
        <v>756</v>
      </c>
      <c r="N4" s="63" t="s">
        <v>757</v>
      </c>
      <c r="O4" s="64" t="s">
        <v>758</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759</v>
      </c>
      <c r="D6" s="16"/>
      <c r="E6" s="16"/>
      <c r="F6" s="16"/>
      <c r="G6" s="656">
        <v>0.0349</v>
      </c>
      <c r="H6" s="16"/>
      <c r="I6" s="16"/>
      <c r="J6" s="16" t="s">
        <v>760</v>
      </c>
      <c r="K6" s="16"/>
      <c r="L6" s="16"/>
      <c r="M6" s="657">
        <f ca="1">Model!V139+Model!V140</f>
        <v>23311</v>
      </c>
      <c r="N6" s="552">
        <f ca="1">M6/$M$9</f>
        <v>0.12388314648205556</v>
      </c>
      <c r="O6" s="552">
        <f ca="1">Cost_of_Debt</f>
        <v>0.01277020530796194</v>
      </c>
      <c r="P6" s="16"/>
      <c r="Q6" s="16"/>
      <c r="R6" s="132"/>
      <c r="S6" s="16"/>
      <c r="T6" s="16"/>
      <c r="U6" s="16"/>
      <c r="V6" s="16"/>
      <c r="W6" s="16"/>
      <c r="X6" s="16"/>
      <c r="Y6" s="16"/>
      <c r="Z6" s="16"/>
    </row>
    <row r="7" ht="13.5" customHeight="1" spans="1:26" x14ac:dyDescent="0.25">
      <c r="A7" s="17"/>
      <c r="B7" s="16"/>
      <c r="C7" s="16" t="s">
        <v>761</v>
      </c>
      <c r="D7" s="16"/>
      <c r="E7" s="16"/>
      <c r="F7" s="16"/>
      <c r="G7" s="656">
        <v>0.049</v>
      </c>
      <c r="H7" s="16"/>
      <c r="I7" s="16"/>
      <c r="J7" s="16" t="s">
        <v>762</v>
      </c>
      <c r="K7" s="16"/>
      <c r="L7" s="16"/>
      <c r="M7" s="549">
        <f ca="1">Diluted_Shares*Share_Price</f>
        <v>164858.26</v>
      </c>
      <c r="N7" s="658">
        <f ca="1">1-Weight_of_Debt-Weight_of_Preferred</f>
        <v>0.8761168535179444</v>
      </c>
      <c r="O7" s="552">
        <f ca="1">Cost_of_Equity</f>
        <v>0.09991271</v>
      </c>
      <c r="P7" s="16"/>
      <c r="Q7" s="16"/>
      <c r="R7" s="16"/>
      <c r="S7" s="16"/>
      <c r="T7" s="16"/>
      <c r="U7" s="16"/>
      <c r="V7" s="16"/>
      <c r="W7" s="16"/>
      <c r="X7" s="16"/>
      <c r="Y7" s="16"/>
      <c r="Z7" s="16"/>
    </row>
    <row r="8" ht="13.5" customHeight="1" spans="1:26" x14ac:dyDescent="0.25">
      <c r="A8" s="17"/>
      <c r="B8" s="16"/>
      <c r="C8" s="16" t="s">
        <v>763</v>
      </c>
      <c r="D8" s="16"/>
      <c r="E8" s="16"/>
      <c r="F8" s="16"/>
      <c r="G8" s="656">
        <v>0.0169</v>
      </c>
      <c r="H8" s="16"/>
      <c r="I8" s="16"/>
      <c r="J8" s="16" t="s">
        <v>764</v>
      </c>
      <c r="K8" s="16"/>
      <c r="L8" s="16"/>
      <c r="M8" s="659">
        <v>0</v>
      </c>
      <c r="N8" s="552">
        <f ca="1">M8/$M$9</f>
        <v>1e-12</v>
      </c>
      <c r="O8" s="552">
        <f ca="1">Cost_of_Preferred</f>
        <v>0</v>
      </c>
      <c r="P8" s="16"/>
      <c r="Q8" s="16"/>
      <c r="R8" s="16"/>
      <c r="S8" s="16"/>
      <c r="T8" s="16"/>
      <c r="U8" s="16"/>
      <c r="V8" s="16"/>
      <c r="W8" s="16"/>
      <c r="X8" s="16"/>
      <c r="Y8" s="16"/>
      <c r="Z8" s="16"/>
    </row>
    <row r="9" ht="13.5" customHeight="1" spans="1:26" x14ac:dyDescent="0.25">
      <c r="A9" s="17"/>
      <c r="B9" s="16"/>
      <c r="C9" s="16" t="s">
        <v>765</v>
      </c>
      <c r="D9" s="16"/>
      <c r="E9" s="16"/>
      <c r="F9" s="16"/>
      <c r="G9" s="153">
        <f ca="1">Tax_Rate</f>
        <v>0.2443665498247371</v>
      </c>
      <c r="H9" s="16"/>
      <c r="I9" s="16"/>
      <c r="J9" s="132" t="s">
        <v>766</v>
      </c>
      <c r="K9" s="132"/>
      <c r="L9" s="132"/>
      <c r="M9" s="660">
        <f t="shared" ref="M9:N9" si="0" ca="1">SUM(M6:M8)</f>
        <v>188169.26</v>
      </c>
      <c r="N9" s="661">
        <f ca="1">SUM(N6:N8)</f>
        <v>1</v>
      </c>
      <c r="O9" s="661">
        <f ca="1">SUMPRODUCT(N6:N8,O6:O8)</f>
        <v>0.08911722232642302</v>
      </c>
      <c r="P9" s="16"/>
      <c r="Q9" s="16"/>
      <c r="R9" s="16"/>
      <c r="S9" s="16"/>
      <c r="T9" s="16"/>
      <c r="U9" s="16"/>
      <c r="V9" s="16"/>
      <c r="W9" s="16"/>
      <c r="X9" s="16"/>
      <c r="Y9" s="16"/>
      <c r="Z9" s="16"/>
    </row>
    <row r="10" ht="13.5" customHeight="1" spans="1:26" x14ac:dyDescent="0.25">
      <c r="A10" s="17"/>
      <c r="B10" s="16"/>
      <c r="C10" s="16" t="s">
        <v>767</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768</v>
      </c>
      <c r="D13" s="19"/>
      <c r="E13" s="19"/>
      <c r="F13" s="19"/>
      <c r="G13" s="20"/>
      <c r="H13" s="16"/>
      <c r="I13" s="16"/>
      <c r="J13" s="663" t="s">
        <v>769</v>
      </c>
      <c r="K13" s="664"/>
      <c r="L13" s="664"/>
      <c r="M13" s="664"/>
      <c r="N13" s="664"/>
      <c r="O13" s="665">
        <f ca="1">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763</v>
      </c>
      <c r="D15" s="16"/>
      <c r="E15" s="16"/>
      <c r="F15" s="16"/>
      <c r="G15" s="656">
        <f ca="1">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770</v>
      </c>
      <c r="D16" s="16"/>
      <c r="E16" s="16"/>
      <c r="F16" s="16"/>
      <c r="G16" s="153">
        <f ca="1">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771</v>
      </c>
      <c r="D17" s="132"/>
      <c r="E17" s="132"/>
      <c r="F17" s="132"/>
      <c r="G17" s="666">
        <f ca="1">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772</v>
      </c>
      <c r="D20" s="19"/>
      <c r="E20" s="19"/>
      <c r="F20" s="19"/>
      <c r="G20" s="20"/>
      <c r="H20" s="16"/>
      <c r="I20" s="16"/>
      <c r="J20" s="18" t="s">
        <v>773</v>
      </c>
      <c r="K20" s="19"/>
      <c r="L20" s="19"/>
      <c r="M20" s="19"/>
      <c r="N20" s="19"/>
      <c r="O20" s="19"/>
      <c r="P20" s="20"/>
      <c r="Q20" s="667">
        <f ca="1">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 ca="1">C6</f>
        <v>Risk-Free Rate:</v>
      </c>
      <c r="D22" s="16"/>
      <c r="E22" s="16"/>
      <c r="F22" s="16"/>
      <c r="G22" s="656">
        <f ca="1">Risk_Free_Rate</f>
        <v>0.0349</v>
      </c>
      <c r="H22" s="16"/>
      <c r="I22" s="16"/>
      <c r="J22" s="590"/>
      <c r="K22" s="592"/>
      <c r="L22" s="592" t="s">
        <v>774</v>
      </c>
      <c r="M22" s="668"/>
      <c r="N22" s="668"/>
      <c r="O22" s="668"/>
      <c r="P22" s="668"/>
      <c r="Q22" s="16"/>
      <c r="R22" s="16"/>
      <c r="S22" s="16"/>
      <c r="T22" s="16"/>
      <c r="U22" s="16"/>
      <c r="V22" s="16"/>
      <c r="W22" s="16"/>
      <c r="X22" s="16"/>
      <c r="Y22" s="16"/>
      <c r="Z22" s="16"/>
    </row>
    <row r="23" ht="14.25" customHeight="1" spans="1:26" x14ac:dyDescent="0.25">
      <c r="A23" s="17"/>
      <c r="B23" s="16"/>
      <c r="C23" s="16" t="str">
        <f ca="1">C7</f>
        <v>Equity Risk Premium (ERP):</v>
      </c>
      <c r="D23" s="16"/>
      <c r="E23" s="16"/>
      <c r="F23" s="16"/>
      <c r="G23" s="656">
        <f ca="1">ERP</f>
        <v>0.049</v>
      </c>
      <c r="H23" s="16"/>
      <c r="I23" s="16"/>
      <c r="J23" s="16"/>
      <c r="K23" s="669">
        <f ca="1">Discount_Rate</f>
        <v>0.08911722232642302</v>
      </c>
      <c r="L23" s="670">
        <f t="shared" ref="L23:M23" si="2" ca="1">M23-$M$34</f>
        <v>0.006899999999999997</v>
      </c>
      <c r="M23" s="670">
        <f ca="1">N23-$M$34</f>
        <v>0.011899999999999997</v>
      </c>
      <c r="N23" s="671">
        <v>0.0169</v>
      </c>
      <c r="O23" s="670">
        <f t="shared" ref="O23:P23" si="3" ca="1">N23+$M$34</f>
        <v>0.0219</v>
      </c>
      <c r="P23" s="670">
        <f ca="1">O23+$M$34</f>
        <v>0.0269</v>
      </c>
      <c r="Q23" s="16"/>
      <c r="R23" s="16"/>
      <c r="S23" s="16"/>
      <c r="T23" s="16"/>
      <c r="U23" s="16"/>
      <c r="V23" s="16"/>
      <c r="W23" s="16"/>
      <c r="X23" s="16"/>
      <c r="Y23" s="16"/>
      <c r="Z23" s="16"/>
    </row>
    <row r="24" ht="14.25" customHeight="1" spans="1:26" x14ac:dyDescent="0.25">
      <c r="A24" s="17"/>
      <c r="B24" s="16"/>
      <c r="C24" s="131" t="s">
        <v>775</v>
      </c>
      <c r="D24" s="131"/>
      <c r="E24" s="131"/>
      <c r="F24" s="131"/>
      <c r="G24" s="672">
        <f ca="1">IF(J44="Comps Relevered Beta",G47,G49)</f>
        <v>1.32679</v>
      </c>
      <c r="H24" s="16"/>
      <c r="I24" s="16"/>
      <c r="J24" s="673" t="s">
        <v>776</v>
      </c>
      <c r="K24" s="674">
        <f t="shared" ref="K24:K25" si="4" ca="1">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772</v>
      </c>
      <c r="D25" s="16"/>
      <c r="E25" s="16"/>
      <c r="F25" s="16"/>
      <c r="G25" s="656">
        <f ca="1">G22+G24*G23</f>
        <v>0.09991271</v>
      </c>
      <c r="H25" s="16"/>
      <c r="I25" s="16"/>
      <c r="J25" s="678"/>
      <c r="K25" s="674">
        <f ca="1">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 ca="1">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 ca="1">Company_Name&amp;" - Peer Group Unlevered Beta:"</f>
        <v>Lowe's Companies, Inc. - Peer Group Unlevered Beta:</v>
      </c>
      <c r="D28" s="19"/>
      <c r="E28" s="19"/>
      <c r="F28" s="19"/>
      <c r="G28" s="20"/>
      <c r="H28" s="16"/>
      <c r="I28" s="16"/>
      <c r="J28" s="683"/>
      <c r="K28" s="674">
        <f ca="1">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777</v>
      </c>
      <c r="E30" s="84" t="s">
        <v>778</v>
      </c>
      <c r="F30" s="84" t="s">
        <v>779</v>
      </c>
      <c r="G30" s="84" t="s">
        <v>780</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517</v>
      </c>
      <c r="D31" s="210" t="s">
        <v>529</v>
      </c>
      <c r="E31" s="210" t="s">
        <v>534</v>
      </c>
      <c r="F31" s="210" t="s">
        <v>781</v>
      </c>
      <c r="G31" s="210" t="s">
        <v>529</v>
      </c>
      <c r="H31" s="16"/>
      <c r="I31" s="16"/>
      <c r="J31" s="92" t="s">
        <v>782</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f ca="1">Comparables!D12</f>
        <v>1e-12</v>
      </c>
      <c r="D33" s="689">
        <f ca="1">Comparables!H30</f>
        <v>1.20277</v>
      </c>
      <c r="E33" s="690">
        <f ca="1">Comparables!O30</f>
        <v>1.871439</v>
      </c>
      <c r="F33" s="691">
        <f ca="1">Comparables!G30</f>
        <v>0.144281</v>
      </c>
      <c r="G33" s="692">
        <f t="shared" ref="G33:G37" si="6" ca="1">IF(ISERROR(D33/(1+(1-F33)*E33)),"NA",(D33/(1+(1-F33)*E33)))</f>
        <v>0.4623502808757615</v>
      </c>
      <c r="H33" s="16"/>
      <c r="I33" s="16"/>
      <c r="J33" s="16" t="s">
        <v>783</v>
      </c>
      <c r="K33" s="16"/>
      <c r="L33" s="16"/>
      <c r="M33" s="693">
        <f ca="1">G8</f>
        <v>0.0169</v>
      </c>
      <c r="N33" s="667">
        <f ca="1">M33-N23</f>
        <v>1e-12</v>
      </c>
      <c r="O33" s="16"/>
      <c r="P33" s="16"/>
      <c r="Q33" s="16"/>
      <c r="R33" s="16"/>
      <c r="S33" s="16"/>
      <c r="T33" s="16"/>
      <c r="U33" s="16"/>
      <c r="V33" s="16"/>
      <c r="W33" s="16"/>
      <c r="X33" s="16"/>
      <c r="Y33" s="16"/>
      <c r="Z33" s="16"/>
    </row>
    <row r="34" ht="13.5" customHeight="1" spans="1:26" x14ac:dyDescent="0.25">
      <c r="A34" s="17"/>
      <c r="B34" s="16"/>
      <c r="C34" s="461">
        <f ca="1">Comparables!D13</f>
        <v>1e-12</v>
      </c>
      <c r="D34" s="689">
        <f ca="1">Comparables!H31</f>
        <v>1.29172</v>
      </c>
      <c r="E34" s="690">
        <f ca="1">Comparables!O31</f>
        <v>0.08712199999999999</v>
      </c>
      <c r="F34" s="691">
        <f ca="1">Comparables!G31</f>
        <v>0.12157899999999999</v>
      </c>
      <c r="G34" s="692">
        <f ca="1">IF(ISERROR(D34/(1+(1-F34)*E34)),"NA",(D34/(1+(1-F34)*E34)))</f>
        <v>1.1998924755868288</v>
      </c>
      <c r="H34" s="16"/>
      <c r="I34" s="16"/>
      <c r="J34" s="16" t="s">
        <v>784</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f ca="1">Comparables!D14</f>
        <v>1e-12</v>
      </c>
      <c r="D35" s="689">
        <f ca="1">Comparables!H32</f>
        <v>0.77608</v>
      </c>
      <c r="E35" s="690">
        <f ca="1">Comparables!O32</f>
        <v>0.579471</v>
      </c>
      <c r="F35" s="691">
        <f ca="1">Comparables!G32</f>
        <v>0.138266</v>
      </c>
      <c r="G35" s="692">
        <f ca="1">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f ca="1">Comparables!D15</f>
        <v>1e-12</v>
      </c>
      <c r="D36" s="689">
        <f ca="1">Comparables!H33</f>
        <v>1.27315</v>
      </c>
      <c r="E36" s="690">
        <f ca="1">Comparables!O33</f>
        <v>0.859896</v>
      </c>
      <c r="F36" s="691">
        <f ca="1">Comparables!G33</f>
        <v>0.138266</v>
      </c>
      <c r="G36" s="692">
        <f ca="1">IF(ISERROR(D36/(1+(1-F36)*E36)),"NA",(D36/(1+(1-F36)*E36)))</f>
        <v>0.731274448926537</v>
      </c>
      <c r="H36" s="16"/>
      <c r="I36" s="16"/>
      <c r="J36" s="16" t="s">
        <v>785</v>
      </c>
      <c r="K36" s="16"/>
      <c r="L36" s="16"/>
      <c r="M36" s="695">
        <f ca="1">Weight_of_Debt</f>
        <v>0.12388314648205556</v>
      </c>
      <c r="N36" s="667">
        <f ca="1">M36-K26</f>
        <v>-0.0023463606494161238</v>
      </c>
      <c r="O36" s="16"/>
      <c r="P36" s="16"/>
      <c r="Q36" s="16"/>
      <c r="R36" s="16"/>
      <c r="S36" s="16"/>
      <c r="T36" s="16"/>
      <c r="U36" s="16"/>
      <c r="V36" s="16"/>
      <c r="W36" s="16"/>
      <c r="X36" s="16"/>
      <c r="Y36" s="16"/>
      <c r="Z36" s="16"/>
    </row>
    <row r="37" ht="13.5" customHeight="1" spans="1:26" x14ac:dyDescent="0.25">
      <c r="A37" s="17"/>
      <c r="B37" s="16"/>
      <c r="C37" s="461">
        <f ca="1">Comparables!D16</f>
        <v>1e-12</v>
      </c>
      <c r="D37" s="689">
        <f ca="1">Comparables!H34</f>
        <v>0.99925</v>
      </c>
      <c r="E37" s="690">
        <f ca="1">Comparables!O34</f>
        <v>0.125242</v>
      </c>
      <c r="F37" s="691">
        <f ca="1">Comparables!G34</f>
        <v>0.16249300000000003</v>
      </c>
      <c r="G37" s="692">
        <f ca="1">IF(ISERROR(D37/(1+(1-F37)*E37)),"NA",(D37/(1+(1-F37)*E37)))</f>
        <v>0.9043878113303271</v>
      </c>
      <c r="H37" s="16"/>
      <c r="I37" s="16"/>
      <c r="J37" s="16" t="s">
        <v>786</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787</v>
      </c>
      <c r="D39" s="692">
        <f t="shared" ref="D39:G39" si="7" ca="1">AVERAGE(D32:D38)</f>
        <v>1.1085939999999999</v>
      </c>
      <c r="E39" s="548">
        <f ca="1">AVERAGE(E32:E38)</f>
        <v>0.704634</v>
      </c>
      <c r="F39" s="552">
        <f ca="1">AVERAGE(F32:F38)</f>
        <v>0.140977</v>
      </c>
      <c r="G39" s="692">
        <f ca="1">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788</v>
      </c>
      <c r="D40" s="692">
        <f t="shared" ref="D40:G40" si="8" ca="1">MEDIAN(D32:D38)</f>
        <v>1.20277</v>
      </c>
      <c r="E40" s="548">
        <f ca="1">MEDIAN(E32:E38)</f>
        <v>0.579471</v>
      </c>
      <c r="F40" s="552">
        <f ca="1">MEDIAN(F32:F38)</f>
        <v>0.138266</v>
      </c>
      <c r="G40" s="692">
        <f ca="1">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 ca="1">Company_Name&amp;" - Relevered Beta"</f>
        <v>Lowe's Companies, Inc. - Relevered Beta</v>
      </c>
      <c r="D43" s="19"/>
      <c r="E43" s="19"/>
      <c r="F43" s="19"/>
      <c r="G43" s="20"/>
      <c r="H43" s="16"/>
      <c r="I43" s="16"/>
      <c r="J43" s="104" t="s">
        <v>789</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790</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791</v>
      </c>
      <c r="E45" s="84" t="s">
        <v>792</v>
      </c>
      <c r="F45" s="84" t="s">
        <v>779</v>
      </c>
      <c r="G45" s="84" t="s">
        <v>793</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529</v>
      </c>
      <c r="E46" s="84" t="s">
        <v>534</v>
      </c>
      <c r="F46" s="84" t="s">
        <v>781</v>
      </c>
      <c r="G46" s="84" t="s">
        <v>529</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794</v>
      </c>
      <c r="D47" s="701">
        <f ca="1">G39</f>
        <v>0.7631032057730429</v>
      </c>
      <c r="E47" s="702">
        <f ca="1">Comparables!O28</f>
        <v>18.240083</v>
      </c>
      <c r="F47" s="703">
        <f ca="1">Tax_Rate</f>
        <v>0.2443665498247371</v>
      </c>
      <c r="G47" s="704">
        <f ca="1">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 ca="1">Company_Name&amp;" Levered Beta"</f>
        <v>Lowe's Companies, Inc. Levered Beta</v>
      </c>
      <c r="D49" s="705"/>
      <c r="E49" s="706"/>
      <c r="F49" s="706"/>
      <c r="G49" s="707">
        <f ca="1">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 ca="1">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 ca="1">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795</v>
      </c>
      <c r="W4" s="709" t="str">
        <f ca="1">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796</v>
      </c>
      <c r="E6" s="109" t="s">
        <v>797</v>
      </c>
      <c r="F6" s="710" t="s">
        <v>798</v>
      </c>
      <c r="G6" s="711" t="s">
        <v>799</v>
      </c>
      <c r="H6" s="16"/>
      <c r="I6" s="16"/>
      <c r="J6" s="16"/>
      <c r="K6" s="16"/>
      <c r="L6" s="712" t="s">
        <v>800</v>
      </c>
      <c r="M6" s="713"/>
      <c r="N6" s="713"/>
      <c r="O6" s="713"/>
      <c r="P6" s="713"/>
      <c r="Q6" s="713"/>
      <c r="R6" s="181"/>
      <c r="S6" s="16"/>
      <c r="T6" s="16"/>
      <c r="U6" s="16"/>
      <c r="V6" s="16"/>
      <c r="W6" s="16"/>
      <c r="X6" s="16"/>
      <c r="Y6" s="16"/>
      <c r="Z6" s="16"/>
      <c r="AA6" s="16"/>
      <c r="AB6" s="16"/>
    </row>
    <row r="7" ht="14.25" customHeight="1" spans="1:28" x14ac:dyDescent="0.25">
      <c r="A7" s="16"/>
      <c r="B7" s="16"/>
      <c r="C7" s="714">
        <f ca="1">Diluted_Shares</f>
        <v>707</v>
      </c>
      <c r="D7" s="715">
        <f ca="1">Share_Price</f>
        <v>233.18</v>
      </c>
      <c r="E7" s="716">
        <f ca="1">C7*D7</f>
        <v>164858.26</v>
      </c>
      <c r="F7" s="716">
        <f ca="1">Model!V140-Model!V120</f>
        <v>17056</v>
      </c>
      <c r="G7" s="716">
        <f ca="1">SUM(E7:F7)</f>
        <v>181914.26</v>
      </c>
      <c r="H7" s="16"/>
      <c r="I7" s="16"/>
      <c r="J7" s="16"/>
      <c r="K7" s="16"/>
      <c r="L7" s="700"/>
      <c r="M7" s="109" t="s">
        <v>801</v>
      </c>
      <c r="N7" s="109"/>
      <c r="O7" s="109"/>
      <c r="P7" s="109"/>
      <c r="Q7" s="109" t="s">
        <v>802</v>
      </c>
      <c r="R7" s="45" t="s">
        <v>803</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804</v>
      </c>
      <c r="N8" s="16"/>
      <c r="O8" s="16"/>
      <c r="P8" s="16"/>
      <c r="Q8" s="717"/>
      <c r="R8" s="207"/>
      <c r="S8" s="16"/>
      <c r="T8" s="16"/>
      <c r="U8" s="16"/>
      <c r="V8" s="16"/>
      <c r="W8" s="16"/>
      <c r="X8" s="16"/>
      <c r="Y8" s="16"/>
      <c r="Z8" s="16"/>
      <c r="AA8" s="16"/>
      <c r="AB8" s="16"/>
    </row>
    <row r="9" ht="14.25" customHeight="1" spans="1:28" x14ac:dyDescent="0.25">
      <c r="A9" s="16"/>
      <c r="B9" s="718" t="str">
        <f ca="1">C9</f>
        <v>Primary Peer Group</v>
      </c>
      <c r="C9" s="712" t="str">
        <f ca="1">'Multiples Data'!L4</f>
        <v>Primary Peer Group</v>
      </c>
      <c r="D9" s="713"/>
      <c r="E9" s="713"/>
      <c r="F9" s="713"/>
      <c r="G9" s="713"/>
      <c r="H9" s="713"/>
      <c r="I9" s="713"/>
      <c r="J9" s="713"/>
      <c r="K9" s="16"/>
      <c r="L9" s="719">
        <v>0.5</v>
      </c>
      <c r="M9" s="120" t="s">
        <v>148</v>
      </c>
      <c r="N9" s="16"/>
      <c r="O9" s="16"/>
      <c r="P9" s="16"/>
      <c r="Q9" s="717">
        <f ca="1">$AB$76</f>
        <v>-58.94387974895125</v>
      </c>
      <c r="R9" s="207">
        <f ca="1">Q9/Share_Price-1</f>
      </c>
      <c r="S9" s="16"/>
      <c r="T9" s="16"/>
      <c r="U9" s="16"/>
      <c r="V9" s="16"/>
      <c r="W9" s="16"/>
      <c r="X9" s="16"/>
      <c r="Y9" s="16"/>
      <c r="Z9" s="16"/>
      <c r="AA9" s="16"/>
      <c r="AB9" s="16"/>
    </row>
    <row r="10" ht="14.25" customHeight="1" spans="1:28" x14ac:dyDescent="0.25">
      <c r="A10" s="16"/>
      <c r="B10" s="718" t="str">
        <f ca="1">C14</f>
        <v>Defense Peer Group</v>
      </c>
      <c r="C10" s="374"/>
      <c r="D10" s="720" t="str">
        <f ca="1">Ticker</f>
        <v>LOW</v>
      </c>
      <c r="E10" s="720" t="s">
        <v>152</v>
      </c>
      <c r="F10" s="721" t="str">
        <f ca="1">'Multiples Data'!M$6</f>
        <v>The Home Depot, Inc.</v>
      </c>
      <c r="G10" s="721" t="str">
        <f ca="1">'Multiples Data'!N$6</f>
        <v>Apple</v>
      </c>
      <c r="H10" s="721" t="str">
        <f ca="1">'Multiples Data'!O$6</f>
        <v>Microsoft</v>
      </c>
      <c r="I10" s="721" t="str">
        <f ca="1">'Multiples Data'!P$6</f>
        <v>Broadcom</v>
      </c>
      <c r="J10" s="721" t="str">
        <f ca="1">'Multiples Data'!Q$6</f>
        <v>Disney</v>
      </c>
      <c r="K10" s="16"/>
      <c r="L10" s="719">
        <v>0.5</v>
      </c>
      <c r="M10" s="120" t="s">
        <v>805</v>
      </c>
      <c r="N10" s="16"/>
      <c r="O10" s="16"/>
      <c r="P10" s="16"/>
      <c r="Q10" s="717">
        <f ca="1">$R$76</f>
        <v>-58.94387974895125</v>
      </c>
      <c r="R10" s="207">
        <f ca="1">Q10/Share_Price-1</f>
      </c>
      <c r="S10" s="16"/>
      <c r="T10" s="16"/>
      <c r="U10" s="16"/>
      <c r="V10" s="16"/>
      <c r="W10" s="16"/>
      <c r="X10" s="16"/>
      <c r="Y10" s="16"/>
      <c r="Z10" s="16"/>
      <c r="AA10" s="16"/>
      <c r="AB10" s="16"/>
    </row>
    <row r="11" ht="14.25" customHeight="1" spans="1:28" x14ac:dyDescent="0.25">
      <c r="A11" s="16"/>
      <c r="B11" s="718" t="str">
        <f ca="1">C19</f>
        <v>Cap. Goods Peer Group</v>
      </c>
      <c r="C11" s="84" t="s">
        <v>138</v>
      </c>
      <c r="D11" s="722">
        <f ca="1">IF($D$24="LTM",'Multiples Data'!L$86,IF($D$24="NTM",'Multiples Data'!R$86,"N/A"))</f>
        <v>18.6398</v>
      </c>
      <c r="E11" s="723">
        <f t="shared" ref="E11:E12" si="0" ca="1">AVERAGE(F11:J11)</f>
        <v>22.233219999999996</v>
      </c>
      <c r="F11" s="724">
        <f ca="1">IF($D$24="LTM",'Multiples Data'!M$86,IF($D$24="NTM",'Multiples Data'!S$86,"N/A"))</f>
        <v>22.4473</v>
      </c>
      <c r="G11" s="724">
        <f ca="1">IF($D$24="LTM",'Multiples Data'!N$86,IF($D$24="NTM",'Multiples Data'!T$86,"N/A"))</f>
        <v>22.1797</v>
      </c>
      <c r="H11" s="724">
        <f ca="1">IF($D$24="LTM",'Multiples Data'!O$86,IF($D$24="NTM",'Multiples Data'!U$86,"N/A"))</f>
        <v>22.1797</v>
      </c>
      <c r="I11" s="724">
        <f ca="1">IF($D$24="LTM",'Multiples Data'!P$86,IF($D$24="NTM",'Multiples Data'!V$86,"N/A"))</f>
        <v>22.1797</v>
      </c>
      <c r="J11" s="724">
        <f ca="1">IF($D$24="LTM",'Multiples Data'!Q$86,IF($D$24="NTM",'Multiples Data'!W$86,"N/A"))</f>
        <v>22.1797</v>
      </c>
      <c r="K11" s="16"/>
      <c r="L11" s="16"/>
      <c r="M11" s="263" t="s">
        <v>806</v>
      </c>
      <c r="N11" s="16"/>
      <c r="O11" s="16"/>
      <c r="P11" s="16"/>
      <c r="Q11" s="717"/>
      <c r="R11" s="207"/>
      <c r="S11" s="16"/>
      <c r="T11" s="16"/>
      <c r="U11" s="16"/>
      <c r="V11" s="16"/>
      <c r="W11" s="16"/>
      <c r="X11" s="16"/>
      <c r="Y11" s="16"/>
      <c r="Z11" s="16"/>
      <c r="AA11" s="16"/>
      <c r="AB11" s="16"/>
    </row>
    <row r="12" ht="14.25" customHeight="1" spans="1:28" x14ac:dyDescent="0.25">
      <c r="A12" s="16"/>
      <c r="B12" s="718" t="str">
        <f ca="1">Company_Name</f>
        <v>Lowe's Companies, Inc.</v>
      </c>
      <c r="C12" s="84" t="s">
        <v>140</v>
      </c>
      <c r="D12" s="725">
        <f ca="1">IF($D$24="LTM",'Multiples Data'!X$86,IF($D$24="NTM",'Multiples Data'!AD$86,"N/A"))</f>
        <v>12.4849</v>
      </c>
      <c r="E12" s="726">
        <f ca="1">AVERAGE(F12:J12)</f>
        <v>15.517159999999999</v>
      </c>
      <c r="F12" s="724">
        <f ca="1">IF($D$24="LTM",'Multiples Data'!Y$86,IF($D$24="NTM",'Multiples Data'!AE$86,"N/A"))</f>
        <v>15.5814</v>
      </c>
      <c r="G12" s="724">
        <f ca="1">IF($D$24="LTM",'Multiples Data'!Z$86,IF($D$24="NTM",'Multiples Data'!AF$86,"N/A"))</f>
        <v>15.5011</v>
      </c>
      <c r="H12" s="724">
        <f ca="1">IF($D$24="LTM",'Multiples Data'!AA$86,IF($D$24="NTM",'Multiples Data'!AG$86,"N/A"))</f>
        <v>15.5011</v>
      </c>
      <c r="I12" s="724">
        <f ca="1">IF($D$24="LTM",'Multiples Data'!AB$86,IF($D$24="NTM",'Multiples Data'!AH$86,"N/A"))</f>
        <v>15.5011</v>
      </c>
      <c r="J12" s="724">
        <f ca="1">IF($D$24="LTM",'Multiples Data'!AC$86,IF($D$24="NTM",'Multiples Data'!AI$86,"N/A"))</f>
        <v>15.5011</v>
      </c>
      <c r="K12" s="16"/>
      <c r="L12" s="719">
        <v>0</v>
      </c>
      <c r="M12" s="120" t="str">
        <f ca="1">$G$144&amp;" P/E"</f>
        <v>NTM P/E</v>
      </c>
      <c r="N12" s="16"/>
      <c r="O12" s="16"/>
      <c r="P12" s="16"/>
      <c r="Q12" s="717">
        <f ca="1">$F$126</f>
        <v>1e-12</v>
      </c>
      <c r="R12" s="207">
        <f ca="1">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 ca="1">$G$144&amp;" P/E Spread to Comps"</f>
        <v>NTM P/E Spread to Comps</v>
      </c>
      <c r="N13" s="16"/>
      <c r="O13" s="16"/>
      <c r="P13" s="16"/>
      <c r="Q13" s="717">
        <f ca="1">$J$126</f>
        <v>1e-12</v>
      </c>
      <c r="R13" s="207">
        <f ca="1">Q13/Share_Price-1</f>
      </c>
      <c r="S13" s="16"/>
      <c r="T13" s="16"/>
      <c r="U13" s="16"/>
      <c r="V13" s="16"/>
      <c r="W13" s="16"/>
      <c r="X13" s="16"/>
      <c r="Y13" s="16"/>
      <c r="Z13" s="16"/>
      <c r="AA13" s="16"/>
      <c r="AB13" s="16"/>
    </row>
    <row r="14" ht="14.25" customHeight="1" spans="1:28" x14ac:dyDescent="0.25">
      <c r="A14" s="16"/>
      <c r="B14" s="16"/>
      <c r="C14" s="712" t="str">
        <f ca="1">'Multiples Data'!AL4</f>
        <v>Defense Peer Group</v>
      </c>
      <c r="D14" s="713"/>
      <c r="E14" s="713"/>
      <c r="F14" s="713"/>
      <c r="G14" s="713"/>
      <c r="H14" s="713"/>
      <c r="I14" s="713"/>
      <c r="J14" s="181"/>
      <c r="K14" s="16"/>
      <c r="L14" s="719">
        <v>0</v>
      </c>
      <c r="M14" s="120" t="str">
        <f ca="1">$G$144&amp;" EV/EBITDA"</f>
        <v>NTM EV/EBITDA</v>
      </c>
      <c r="N14" s="16"/>
      <c r="O14" s="16"/>
      <c r="P14" s="16"/>
      <c r="Q14" s="717">
        <f ca="1">$N$137</f>
        <v>-24.124469589816126</v>
      </c>
      <c r="R14" s="207">
        <f ca="1">Q14/Share_Price-1</f>
      </c>
      <c r="S14" s="16"/>
      <c r="T14" s="16"/>
      <c r="U14" s="16"/>
      <c r="V14" s="16"/>
      <c r="W14" s="16"/>
      <c r="X14" s="16"/>
      <c r="Y14" s="16"/>
      <c r="Z14" s="16"/>
      <c r="AA14" s="16"/>
      <c r="AB14" s="16"/>
    </row>
    <row r="15" ht="14.25" customHeight="1" spans="1:28" x14ac:dyDescent="0.25">
      <c r="A15" s="16"/>
      <c r="B15" s="16"/>
      <c r="C15" s="374"/>
      <c r="D15" s="720" t="str">
        <f ca="1">Ticker</f>
        <v>LOW</v>
      </c>
      <c r="E15" s="720" t="s">
        <v>152</v>
      </c>
      <c r="F15" s="721" t="str">
        <f ca="1">'Multiples Data'!AM$6</f>
        <v>Raytheon</v>
      </c>
      <c r="G15" s="720" t="str">
        <f ca="1">'Multiples Data'!AN$6</f>
        <v>Boeing</v>
      </c>
      <c r="H15" s="720" t="str">
        <f ca="1">'Multiples Data'!AO$6</f>
        <v>Huntington Ingalls</v>
      </c>
      <c r="I15" s="720" t="str">
        <f ca="1">'Multiples Data'!AP$6</f>
        <v>Lockheed Martin</v>
      </c>
      <c r="J15" s="727" t="str">
        <f ca="1">'Multiples Data'!AQ$6</f>
        <v>Northrop Grumman</v>
      </c>
      <c r="K15" s="16"/>
      <c r="L15" s="719">
        <v>0</v>
      </c>
      <c r="M15" s="120" t="str">
        <f ca="1">$G$144&amp;" EV/EBITDA Spread to Comps"</f>
        <v>NTM EV/EBITDA Spread to Comps</v>
      </c>
      <c r="N15" s="16"/>
      <c r="O15" s="16"/>
      <c r="P15" s="16"/>
      <c r="Q15" s="717">
        <f ca="1">$R$137</f>
        <v>-24.124469589816126</v>
      </c>
      <c r="R15" s="207">
        <f ca="1">Q15/Share_Price-1</f>
      </c>
      <c r="S15" s="16"/>
      <c r="T15" s="16"/>
      <c r="U15" s="16"/>
      <c r="V15" s="16"/>
      <c r="W15" s="16"/>
      <c r="X15" s="16"/>
      <c r="Y15" s="16"/>
      <c r="Z15" s="16"/>
      <c r="AA15" s="16"/>
      <c r="AB15" s="16"/>
    </row>
    <row r="16" ht="14.25" customHeight="1" spans="1:28" x14ac:dyDescent="0.25">
      <c r="A16" s="16"/>
      <c r="B16" s="16"/>
      <c r="C16" s="84" t="s">
        <v>138</v>
      </c>
      <c r="D16" s="722">
        <f ca="1">D$11</f>
        <v>18.6398</v>
      </c>
      <c r="E16" s="723">
        <f t="shared" ref="E16:E17" si="1" ca="1">AVERAGE(F16:J16)</f>
        <v>16.20704618026362</v>
      </c>
      <c r="F16" s="724">
        <f ca="1">IF($D$24="LTM",'Multiples Data'!AM$86,IF($D$24="NTM",'Multiples Data'!AS$86,"N/A"))</f>
        <v>18.0372200865908</v>
      </c>
      <c r="G16" s="724">
        <f ca="1">IF($D$24="LTM",'Multiples Data'!AN$86,IF($D$24="NTM",'Multiples Data'!AT$86,"N/A"))</f>
        <v>18.548904045644</v>
      </c>
      <c r="H16" s="724">
        <f ca="1">IF($D$24="LTM",'Multiples Data'!AO$86,IF($D$24="NTM",'Multiples Data'!AU$86,"N/A"))</f>
        <v>17.3009847075473</v>
      </c>
      <c r="I16" s="724">
        <f ca="1">IF($D$24="LTM",'Multiples Data'!AP$86,IF($D$24="NTM",'Multiples Data'!AV$86,"N/A"))</f>
        <v>15.0214839738927</v>
      </c>
      <c r="J16" s="724">
        <f ca="1">IF($D$24="LTM",'Multiples Data'!AQ$86,IF($D$24="NTM",'Multiples Data'!AW$86,"N/A"))</f>
        <v>12.1266380876433</v>
      </c>
      <c r="K16" s="16"/>
      <c r="L16" s="16"/>
      <c r="M16" s="263" t="s">
        <v>807</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 ca="1">D$12</f>
        <v>12.4849</v>
      </c>
      <c r="E17" s="726">
        <f ca="1">AVERAGE(F17:J17)</f>
        <v>12.189450395723323</v>
      </c>
      <c r="F17" s="724">
        <f ca="1">IF($D$24="LTM",'Multiples Data'!AY$86,IF($D$24="NTM",'Multiples Data'!BE$86,"N/A"))</f>
        <v>12.7838345671624</v>
      </c>
      <c r="G17" s="724">
        <f ca="1">IF($D$24="LTM",'Multiples Data'!AZ$86,IF($D$24="NTM",'Multiples Data'!BF$86,"N/A"))</f>
        <v>15.5062457521629</v>
      </c>
      <c r="H17" s="724">
        <f ca="1">IF($D$24="LTM",'Multiples Data'!BA$86,IF($D$24="NTM",'Multiples Data'!BG$86,"N/A"))</f>
        <v>11.4931908863573</v>
      </c>
      <c r="I17" s="724">
        <f ca="1">IF($D$24="LTM",'Multiples Data'!BB$86,IF($D$24="NTM",'Multiples Data'!BH$86,"N/A"))</f>
        <v>12.2156576237082</v>
      </c>
      <c r="J17" s="724">
        <f ca="1">IF($D$24="LTM",'Multiples Data'!BC$86,IF($D$24="NTM",'Multiples Data'!BI$86,"N/A"))</f>
        <v>8.94832314922583</v>
      </c>
      <c r="K17" s="16"/>
      <c r="L17" s="719">
        <v>0</v>
      </c>
      <c r="M17" s="120" t="str">
        <f ca="1">$G$222&amp;" P/E"</f>
        <v>NTM P/E</v>
      </c>
      <c r="N17" s="16"/>
      <c r="O17" s="16"/>
      <c r="P17" s="16"/>
      <c r="Q17" s="717">
        <f ca="1">$F$204</f>
        <v>1e-12</v>
      </c>
      <c r="R17" s="207">
        <f ca="1">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 ca="1">$G$222&amp;" P/E Spread to Comps"</f>
        <v>NTM P/E Spread to Comps</v>
      </c>
      <c r="N18" s="16"/>
      <c r="O18" s="16"/>
      <c r="P18" s="16"/>
      <c r="Q18" s="717">
        <f ca="1">$J$204</f>
        <v>1e-12</v>
      </c>
      <c r="R18" s="207">
        <f ca="1">Q18/Share_Price-1</f>
      </c>
      <c r="S18" s="16"/>
      <c r="T18" s="16"/>
      <c r="U18" s="16"/>
      <c r="V18" s="16"/>
      <c r="W18" s="16"/>
      <c r="X18" s="16"/>
      <c r="Y18" s="16"/>
      <c r="Z18" s="16"/>
      <c r="AA18" s="16"/>
      <c r="AB18" s="16"/>
    </row>
    <row r="19" ht="14.25" customHeight="1" spans="1:28" x14ac:dyDescent="0.25">
      <c r="A19" s="16"/>
      <c r="B19" s="16"/>
      <c r="C19" s="712" t="str">
        <f ca="1">'Multiples Data'!BL4</f>
        <v>Cap. Goods Peer Group</v>
      </c>
      <c r="D19" s="713"/>
      <c r="E19" s="713"/>
      <c r="F19" s="713"/>
      <c r="G19" s="713"/>
      <c r="H19" s="713"/>
      <c r="I19" s="713"/>
      <c r="J19" s="181"/>
      <c r="K19" s="16"/>
      <c r="L19" s="719">
        <v>0</v>
      </c>
      <c r="M19" s="120" t="str">
        <f ca="1">$G$222&amp;" EV/EBITDA"</f>
        <v>NTM EV/EBITDA</v>
      </c>
      <c r="N19" s="16"/>
      <c r="O19" s="16"/>
      <c r="P19" s="16"/>
      <c r="Q19" s="717">
        <f ca="1">$N$215</f>
        <v>-24.124469589816126</v>
      </c>
      <c r="R19" s="207">
        <f ca="1">Q19/Share_Price-1</f>
      </c>
      <c r="S19" s="16"/>
      <c r="T19" s="16"/>
      <c r="U19" s="16"/>
      <c r="V19" s="16"/>
      <c r="W19" s="16"/>
      <c r="X19" s="16"/>
      <c r="Y19" s="16"/>
      <c r="Z19" s="16"/>
      <c r="AA19" s="16"/>
      <c r="AB19" s="16"/>
    </row>
    <row r="20" ht="14.25" customHeight="1" spans="1:28" x14ac:dyDescent="0.25">
      <c r="A20" s="16"/>
      <c r="B20" s="16"/>
      <c r="C20" s="374"/>
      <c r="D20" s="720" t="str">
        <f ca="1">Ticker</f>
        <v>LOW</v>
      </c>
      <c r="E20" s="720" t="s">
        <v>152</v>
      </c>
      <c r="F20" s="721" t="str">
        <f ca="1">'Multiples Data'!BM$6</f>
        <v>3M Company</v>
      </c>
      <c r="G20" s="720" t="str">
        <f ca="1">'Multiples Data'!BN$6</f>
        <v>General Electric</v>
      </c>
      <c r="H20" s="720" t="str">
        <f ca="1">'Multiples Data'!BO$6</f>
        <v>Honeywell</v>
      </c>
      <c r="I20" s="720" t="str">
        <f ca="1">'Multiples Data'!BP$6</f>
        <v>Roper Technologies</v>
      </c>
      <c r="J20" s="727" t="str">
        <f ca="1">'Multiples Data'!BQ$6</f>
        <v>Emerson Electric</v>
      </c>
      <c r="K20" s="16"/>
      <c r="L20" s="719">
        <v>0</v>
      </c>
      <c r="M20" s="120" t="str">
        <f ca="1">$G$222&amp;" EV/EBITDA Spread to Comps"</f>
        <v>NTM EV/EBITDA Spread to Comps</v>
      </c>
      <c r="N20" s="16"/>
      <c r="O20" s="16"/>
      <c r="P20" s="16"/>
      <c r="Q20" s="717">
        <f ca="1">$R$215</f>
        <v>-24.124469589816126</v>
      </c>
      <c r="R20" s="207">
        <f ca="1">Q20/Share_Price-1</f>
      </c>
      <c r="S20" s="16"/>
      <c r="T20" s="16"/>
      <c r="U20" s="16"/>
      <c r="V20" s="16"/>
      <c r="W20" s="16"/>
      <c r="X20" s="16"/>
      <c r="Y20" s="16"/>
      <c r="Z20" s="16"/>
      <c r="AA20" s="16"/>
      <c r="AB20" s="16"/>
    </row>
    <row r="21" ht="14.25" customHeight="1" spans="1:28" x14ac:dyDescent="0.25">
      <c r="A21" s="16"/>
      <c r="B21" s="16"/>
      <c r="C21" s="84" t="s">
        <v>138</v>
      </c>
      <c r="D21" s="722">
        <f ca="1">D$11</f>
        <v>18.6398</v>
      </c>
      <c r="E21" s="723">
        <f t="shared" ref="E21:E22" si="2" ca="1">AVERAGE(F21:J21)</f>
        <v>16.16874562323472</v>
      </c>
      <c r="F21" s="724">
        <f ca="1">IF($D$24="LTM",'Multiples Data'!BM$86,IF($D$24="NTM",'Multiples Data'!BS$86,"N/A"))</f>
        <v>11.0988919387388</v>
      </c>
      <c r="G21" s="724">
        <f ca="1">IF($D$24="LTM",'Multiples Data'!BN$86,IF($D$24="NTM",'Multiples Data'!BT$86,"N/A"))</f>
        <v>17.1678038497184</v>
      </c>
      <c r="H21" s="724">
        <f ca="1">IF($D$24="LTM",'Multiples Data'!BO$86,IF($D$24="NTM",'Multiples Data'!BU$86,"N/A"))</f>
        <v>15.3184158666614</v>
      </c>
      <c r="I21" s="724">
        <f ca="1">IF($D$24="LTM",'Multiples Data'!BP$86,IF($D$24="NTM",'Multiples Data'!BV$86,"N/A"))</f>
        <v>20.2337090247079</v>
      </c>
      <c r="J21" s="724">
        <f ca="1">IF($D$24="LTM",'Multiples Data'!BQ$86,IF($D$24="NTM",'Multiples Data'!BW$86,"N/A"))</f>
        <v>17.0249074363471</v>
      </c>
      <c r="K21" s="16"/>
      <c r="L21" s="16"/>
      <c r="M21" s="263" t="s">
        <v>808</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 ca="1">D$12</f>
        <v>12.4849</v>
      </c>
      <c r="E22" s="726">
        <f ca="1">AVERAGE(F22:J22)</f>
        <v>11.6208901847341</v>
      </c>
      <c r="F22" s="724">
        <f ca="1">IF($D$24="LTM",'Multiples Data'!BY$86,IF($D$24="NTM",'Multiples Data'!CE$86,"N/A"))</f>
        <v>6.6876218938895</v>
      </c>
      <c r="G22" s="724">
        <f ca="1">IF($D$24="LTM",'Multiples Data'!BZ$86,IF($D$24="NTM",'Multiples Data'!CF$86,"N/A"))</f>
        <v>13.0119608316293</v>
      </c>
      <c r="H22" s="724">
        <f ca="1">IF($D$24="LTM",'Multiples Data'!CA$86,IF($D$24="NTM",'Multiples Data'!CG$86,"N/A"))</f>
        <v>12.4521138558247</v>
      </c>
      <c r="I22" s="724">
        <f ca="1">IF($D$24="LTM",'Multiples Data'!CB$86,IF($D$24="NTM",'Multiples Data'!CH$86,"N/A"))</f>
        <v>14.1638045774507</v>
      </c>
      <c r="J22" s="724">
        <f ca="1">IF($D$24="LTM",'Multiples Data'!CC$86,IF($D$24="NTM",'Multiples Data'!CI$86,"N/A"))</f>
        <v>11.7889497648763</v>
      </c>
      <c r="K22" s="16"/>
      <c r="L22" s="719">
        <v>0</v>
      </c>
      <c r="M22" s="728" t="str">
        <f ca="1">D24&amp;" EV/EBITDA"</f>
        <v>NTM EV/EBITDA</v>
      </c>
      <c r="N22" s="131"/>
      <c r="O22" s="131"/>
      <c r="P22" s="131"/>
      <c r="Q22" s="729">
        <f ca="1">$R$284</f>
        <v>302.6306400799248</v>
      </c>
      <c r="R22" s="730">
        <f ca="1">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809</v>
      </c>
      <c r="N23" s="16"/>
      <c r="O23" s="16"/>
      <c r="P23" s="16"/>
      <c r="Q23" s="717">
        <f ca="1">AVERAGE(Q9:Q22)</f>
      </c>
      <c r="R23" s="207">
        <f ca="1">Q23/Share_Price-1</f>
      </c>
      <c r="S23" s="16"/>
      <c r="T23" s="16"/>
      <c r="U23" s="16"/>
      <c r="V23" s="16"/>
      <c r="W23" s="16"/>
      <c r="X23" s="16"/>
      <c r="Y23" s="16"/>
      <c r="Z23" s="16"/>
      <c r="AA23" s="16"/>
      <c r="AB23" s="16"/>
    </row>
    <row r="24" ht="14.25" customHeight="1" spans="1:28" x14ac:dyDescent="0.25">
      <c r="A24" s="16"/>
      <c r="B24" s="16"/>
      <c r="C24" s="16" t="s">
        <v>810</v>
      </c>
      <c r="D24" s="267" t="s">
        <v>811</v>
      </c>
      <c r="E24" s="16"/>
      <c r="F24" s="16"/>
      <c r="G24" s="16"/>
      <c r="H24" s="724"/>
      <c r="I24" s="724"/>
      <c r="J24" s="724"/>
      <c r="K24" s="16"/>
      <c r="L24" s="303"/>
      <c r="M24" s="16" t="s">
        <v>812</v>
      </c>
      <c r="N24" s="16"/>
      <c r="O24" s="731"/>
      <c r="P24" s="16"/>
      <c r="Q24" s="717">
        <f ca="1">SUMPRODUCT(L9:L22,Q9:Q22)</f>
      </c>
      <c r="R24" s="207">
        <f ca="1">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 ca="1">N26+1</f>
        <v>2</v>
      </c>
      <c r="P26" s="732">
        <f ca="1">O26+1</f>
        <v>3</v>
      </c>
      <c r="Q26" s="732">
        <f ca="1">P26+1</f>
        <v>4</v>
      </c>
      <c r="R26" s="732">
        <f ca="1">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 ca="1">LEN(J28)</f>
        <v>4</v>
      </c>
      <c r="K27" s="47">
        <f ca="1">LEN(K28)</f>
        <v>4</v>
      </c>
      <c r="L27" s="47">
        <f ca="1">LEN(L28)</f>
        <v>5</v>
      </c>
      <c r="M27" s="47">
        <f ca="1">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813</v>
      </c>
      <c r="D28" s="373"/>
      <c r="E28" s="373"/>
      <c r="F28" s="373"/>
      <c r="G28" s="733">
        <f t="shared" ref="G28:I28" si="5" ca="1">G29</f>
        <v>2023</v>
      </c>
      <c r="H28" s="733">
        <f ca="1">H29</f>
        <v>2024</v>
      </c>
      <c r="I28" s="733">
        <f ca="1">I29</f>
        <v>2025</v>
      </c>
      <c r="J28" s="734" t="str">
        <f ca="1">IF(Last_FQR="4Q","1Q"&amp;RIGHT(J29,2)&amp;"e","1Q"&amp;RIGHT(J29,2))</f>
        <v>1Q26</v>
      </c>
      <c r="K28" s="194" t="str">
        <f ca="1">IF(Last_FQR="4Q","2Q"&amp;RIGHT(K29,2)&amp;"e",IF(Last_FQR="1Q","2Q"&amp;RIGHT(K29,2)&amp;"e","2Q"&amp;RIGHT(K29,2)))</f>
        <v>2Q26</v>
      </c>
      <c r="L28" s="194" t="str">
        <f ca="1">IF(Last_FQR="4Q","3Q"&amp;RIGHT(L29,2)&amp;"e",IF(Last_FQR="1Q","3Q"&amp;RIGHT(L29,2)&amp;"e",IF(Last_FQR="2Q","3Q"&amp;RIGHT(L29,2)&amp;"e","3Q"&amp;RIGHT(L29,2))))</f>
        <v>3Q26e</v>
      </c>
      <c r="M28" s="735" t="str">
        <f ca="1">"4Q"&amp;RIGHT(M29,2)&amp;"e"</f>
        <v>4Q26e</v>
      </c>
      <c r="N28" s="194" t="str">
        <f t="shared" ref="N28:R28" si="6" ca="1">N29&amp;"e"</f>
        <v>2026e</v>
      </c>
      <c r="O28" s="194" t="str">
        <f ca="1">O29&amp;"e"</f>
        <v>2027e</v>
      </c>
      <c r="P28" s="194" t="str">
        <f ca="1">P29&amp;"e"</f>
        <v>2028e</v>
      </c>
      <c r="Q28" s="194" t="str">
        <f ca="1">Q29&amp;"e"</f>
        <v>2029e</v>
      </c>
      <c r="R28" s="352" t="str">
        <f ca="1">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 ca="1">H29-1</f>
        <v>2023</v>
      </c>
      <c r="H29" s="740">
        <f ca="1">I29-1</f>
        <v>2024</v>
      </c>
      <c r="I29" s="740">
        <f ca="1">YEAR(Last_FYE)</f>
        <v>2025</v>
      </c>
      <c r="J29" s="740">
        <f ca="1">I29+1</f>
        <v>2026</v>
      </c>
      <c r="K29" s="740">
        <f t="shared" ref="K29:N29" si="8" ca="1">J29</f>
        <v>2026</v>
      </c>
      <c r="L29" s="740">
        <f ca="1">K29</f>
        <v>2026</v>
      </c>
      <c r="M29" s="740">
        <f ca="1">L29</f>
        <v>2026</v>
      </c>
      <c r="N29" s="740">
        <f ca="1">M29</f>
        <v>2026</v>
      </c>
      <c r="O29" s="740">
        <f t="shared" ref="O29:R29" si="9" ca="1">N29+1</f>
        <v>2027</v>
      </c>
      <c r="P29" s="740">
        <f ca="1">O29+1</f>
        <v>2028</v>
      </c>
      <c r="Q29" s="740">
        <f ca="1">P29+1</f>
        <v>2029</v>
      </c>
      <c r="R29" s="741">
        <f ca="1">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 ca="1">Model!C28</f>
        <v>Revenue</v>
      </c>
      <c r="D31" s="16"/>
      <c r="E31" s="16"/>
      <c r="F31" s="16"/>
      <c r="G31" s="282">
        <f ca="1">Model!J28</f>
        <v>71309</v>
      </c>
      <c r="H31" s="282">
        <f ca="1">Model!O28</f>
        <v>72148</v>
      </c>
      <c r="I31" s="282">
        <f ca="1">Model!T28</f>
        <v>89597</v>
      </c>
      <c r="J31" s="745">
        <f ca="1">Model!U28</f>
        <v>24422</v>
      </c>
      <c r="K31" s="746">
        <f ca="1">Model!V28</f>
        <v>27570</v>
      </c>
      <c r="L31" s="746">
        <f ca="1">Model!W28</f>
        <v>22918</v>
      </c>
      <c r="M31" s="747">
        <f ca="1">Model!X28</f>
        <v>21772.1</v>
      </c>
      <c r="N31" s="282">
        <f ca="1">Model!Y28</f>
        <v>96682.1</v>
      </c>
      <c r="O31" s="282">
        <f ca="1">Model!AD28</f>
        <v>105236.82134671998</v>
      </c>
      <c r="P31" s="282">
        <f ca="1">Model!AE28</f>
        <v>107341.55777365438</v>
      </c>
      <c r="Q31" s="282">
        <f ca="1">Model!AF28</f>
        <v>109488.38892912747</v>
      </c>
      <c r="R31" s="282">
        <f ca="1">Model!AG28</f>
        <v>111678.15670771002</v>
      </c>
      <c r="S31" s="16"/>
      <c r="T31" s="16"/>
      <c r="U31" s="16"/>
      <c r="V31" s="16"/>
      <c r="W31" s="16"/>
      <c r="X31" s="16"/>
      <c r="Y31" s="16"/>
      <c r="Z31" s="16"/>
      <c r="AA31" s="16"/>
      <c r="AB31" s="16"/>
    </row>
    <row r="32" ht="13.5" customHeight="1" spans="1:28" x14ac:dyDescent="0.25">
      <c r="A32" s="16"/>
      <c r="B32" s="16"/>
      <c r="C32" s="139" t="str">
        <f ca="1">Model!C61</f>
        <v>EBITDA</v>
      </c>
      <c r="D32" s="16"/>
      <c r="E32" s="16"/>
      <c r="F32" s="16"/>
      <c r="G32" s="329">
        <f ca="1">Model!J61</f>
        <v>7341.59</v>
      </c>
      <c r="H32" s="329">
        <f ca="1">Model!O61</f>
        <v>7764.5</v>
      </c>
      <c r="I32" s="329">
        <f ca="1">Model!T61</f>
        <v>13111.87</v>
      </c>
      <c r="J32" s="748">
        <f ca="1">Model!U61</f>
        <v>3636</v>
      </c>
      <c r="K32" s="749">
        <f ca="1">Model!V61</f>
        <v>4619</v>
      </c>
      <c r="L32" s="749">
        <f ca="1">Model!W61</f>
        <v>3207</v>
      </c>
      <c r="M32" s="750">
        <f ca="1">Model!X61</f>
        <v>-1959.4890000000005</v>
      </c>
      <c r="N32" s="329">
        <f ca="1">Model!Y61</f>
        <v>-91903.489</v>
      </c>
      <c r="O32" s="329">
        <f ca="1">Model!AD61</f>
        <v>-9185.290011615205</v>
      </c>
      <c r="P32" s="329">
        <f ca="1">Model!AE61</f>
        <v>-8157.958390797736</v>
      </c>
      <c r="Q32" s="329">
        <f ca="1">Model!AF61</f>
        <v>-7773.6756139680565</v>
      </c>
      <c r="R32" s="329">
        <f ca="1">Model!AG61</f>
        <v>-7147.402029293433</v>
      </c>
      <c r="S32" s="16"/>
      <c r="T32" s="16"/>
      <c r="U32" s="16"/>
      <c r="V32" s="16"/>
      <c r="W32" s="16"/>
      <c r="X32" s="16"/>
      <c r="Y32" s="16"/>
      <c r="Z32" s="16"/>
      <c r="AA32" s="16"/>
      <c r="AB32" s="16"/>
    </row>
    <row r="33" ht="13.5" customHeight="1" spans="1:28" x14ac:dyDescent="0.25">
      <c r="A33" s="16"/>
      <c r="B33" s="16"/>
      <c r="C33" s="16" t="str">
        <f ca="1">Model!C59</f>
        <v>EBIT</v>
      </c>
      <c r="D33" s="16"/>
      <c r="E33" s="16"/>
      <c r="F33" s="16"/>
      <c r="G33" s="329">
        <f ca="1">Model!J36</f>
        <v>4018</v>
      </c>
      <c r="H33" s="329">
        <f ca="1">Model!O36</f>
        <v>6314</v>
      </c>
      <c r="I33" s="329">
        <f ca="1">Model!T36</f>
        <v>10892</v>
      </c>
      <c r="J33" s="748">
        <f ca="1">Model!U36</f>
        <v>3245</v>
      </c>
      <c r="K33" s="749">
        <f ca="1">Model!V36</f>
        <v>4210</v>
      </c>
      <c r="L33" s="749">
        <f ca="1">Model!W36</f>
        <v>2789</v>
      </c>
      <c r="M33" s="750">
        <f ca="1">Model!X36</f>
        <v>-2290.6765000000005</v>
      </c>
      <c r="N33" s="329">
        <f ca="1">Model!Y36</f>
        <v>7953.3234999999995</v>
      </c>
      <c r="O33" s="329">
        <f ca="1">Model!AD36</f>
        <v>-10540.153639645196</v>
      </c>
      <c r="P33" s="329">
        <f ca="1">Model!AE36</f>
        <v>-9578.113551031161</v>
      </c>
      <c r="Q33" s="329">
        <f ca="1">Model!AF36</f>
        <v>-9246.151445858737</v>
      </c>
      <c r="R33" s="329">
        <f ca="1">Model!AG36</f>
        <v>-8671.522881345929</v>
      </c>
      <c r="S33" s="16"/>
      <c r="T33" s="16"/>
      <c r="U33" s="16"/>
      <c r="V33" s="16"/>
      <c r="W33" s="16"/>
      <c r="X33" s="16"/>
      <c r="Y33" s="16"/>
      <c r="Z33" s="16"/>
      <c r="AA33" s="16"/>
      <c r="AB33" s="16"/>
    </row>
    <row r="34" ht="13.5" customHeight="1" spans="1:28" x14ac:dyDescent="0.25">
      <c r="A34" s="16"/>
      <c r="B34" s="16"/>
      <c r="C34" s="139" t="str">
        <f ca="1">Model!C44</f>
        <v>Income Tax Benefit (Expense)</v>
      </c>
      <c r="D34" s="16"/>
      <c r="E34" s="16"/>
      <c r="F34" s="16"/>
      <c r="G34" s="414">
        <f ca="1">Model!J44</f>
        <v>-1080</v>
      </c>
      <c r="H34" s="414">
        <f ca="1">Model!O44</f>
        <v>-1342</v>
      </c>
      <c r="I34" s="414">
        <f ca="1">Model!T44</f>
        <v>-1903</v>
      </c>
      <c r="J34" s="751">
        <f ca="1">Model!U44</f>
        <v>-713</v>
      </c>
      <c r="K34" s="752">
        <f ca="1">Model!V44</f>
        <v>-976</v>
      </c>
      <c r="L34" s="752">
        <f ca="1">Model!W44</f>
        <v>-670</v>
      </c>
      <c r="M34" s="753">
        <f ca="1">Model!X44</f>
        <v>602.076762</v>
      </c>
      <c r="N34" s="414">
        <f ca="1">Model!Y44</f>
        <v>-15877.923238</v>
      </c>
      <c r="O34" s="414">
        <f ca="1">Model!AD44</f>
        <v>2792.7618926826776</v>
      </c>
      <c r="P34" s="414">
        <f ca="1">Model!AE44</f>
        <v>2711.960731436142</v>
      </c>
      <c r="Q34" s="414">
        <f ca="1">Model!AF44</f>
        <v>2834.276351563247</v>
      </c>
      <c r="R34" s="414">
        <f ca="1">Model!AG44</f>
        <v>2923.596116983863</v>
      </c>
      <c r="S34" s="16"/>
      <c r="T34" s="16"/>
      <c r="U34" s="16"/>
      <c r="V34" s="16"/>
      <c r="W34" s="16"/>
      <c r="X34" s="16"/>
      <c r="Y34" s="16"/>
      <c r="Z34" s="16"/>
      <c r="AA34" s="16"/>
      <c r="AB34" s="16"/>
    </row>
    <row r="35" ht="13.5" customHeight="1" spans="1:28" x14ac:dyDescent="0.25">
      <c r="A35" s="16"/>
      <c r="B35" s="16"/>
      <c r="C35" s="16" t="s">
        <v>814</v>
      </c>
      <c r="D35" s="16"/>
      <c r="E35" s="16"/>
      <c r="F35" s="16"/>
      <c r="G35" s="282">
        <f t="shared" ref="G35:R35" si="10" ca="1">SUM(G33:G34)</f>
        <v>2938</v>
      </c>
      <c r="H35" s="282">
        <f ca="1">SUM(H33:H34)</f>
        <v>4972</v>
      </c>
      <c r="I35" s="282">
        <f ca="1">SUM(I33:I34)</f>
        <v>8989</v>
      </c>
      <c r="J35" s="745">
        <f ca="1">SUM(J33:J34)</f>
        <v>2532</v>
      </c>
      <c r="K35" s="746">
        <f ca="1">SUM(K33:K34)</f>
        <v>3234</v>
      </c>
      <c r="L35" s="746">
        <f ca="1">SUM(L33:L34)</f>
        <v>2119</v>
      </c>
      <c r="M35" s="747">
        <f ca="1">SUM(M33:M34)</f>
        <v>-1688.5997380000003</v>
      </c>
      <c r="N35" s="282">
        <f ca="1">SUM(N33:N34)</f>
        <v>-108939.599738</v>
      </c>
      <c r="O35" s="282">
        <f ca="1">SUM(O33:O34)</f>
        <v>-7747.391746962518</v>
      </c>
      <c r="P35" s="282">
        <f ca="1">SUM(P33:P34)</f>
        <v>-6866.1528195950195</v>
      </c>
      <c r="Q35" s="282">
        <f ca="1">SUM(Q33:Q34)</f>
        <v>-6411.87509429549</v>
      </c>
      <c r="R35" s="282">
        <f ca="1">SUM(R33:R34)</f>
        <v>-5747.926764362066</v>
      </c>
      <c r="S35" s="16"/>
      <c r="T35" s="16"/>
      <c r="U35" s="16"/>
      <c r="V35" s="16"/>
      <c r="W35" s="16"/>
      <c r="X35" s="16"/>
      <c r="Y35" s="16"/>
      <c r="Z35" s="16"/>
      <c r="AA35" s="16"/>
      <c r="AB35" s="16"/>
    </row>
    <row r="36" ht="13.5" customHeight="1" spans="1:28" x14ac:dyDescent="0.25">
      <c r="A36" s="16"/>
      <c r="B36" s="16"/>
      <c r="C36" s="303" t="s">
        <v>815</v>
      </c>
      <c r="D36" s="16"/>
      <c r="E36" s="16"/>
      <c r="F36" s="16"/>
      <c r="G36" s="282"/>
      <c r="H36" s="464">
        <f t="shared" ref="H36:I36" si="11" ca="1">H35/G35-1</f>
        <v>0.6923076923076923</v>
      </c>
      <c r="I36" s="464">
        <f ca="1">I35/H35-1</f>
        <v>0.8079243765084474</v>
      </c>
      <c r="J36" s="754"/>
      <c r="K36" s="755"/>
      <c r="L36" s="755"/>
      <c r="M36" s="756"/>
      <c r="N36" s="464">
        <f ca="1">N35/I35-1</f>
        <v>-0.6374167102518189</v>
      </c>
      <c r="O36" s="464">
        <f ca="1">O35/N35-1</f>
        <v>-0.928883603707054</v>
      </c>
      <c r="P36" s="464">
        <f ca="1">P35/O35-1</f>
        <v>-0.11374652994835344</v>
      </c>
      <c r="Q36" s="464">
        <f ca="1">Q35/P35-1</f>
        <v>-0.06616190132021027</v>
      </c>
      <c r="R36" s="464">
        <f ca="1">R35/Q35-1</f>
        <v>-0.10354979162400169</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 ca="1">Model!C76</f>
        <v>Depreciation &amp; Amortization</v>
      </c>
      <c r="D38" s="16"/>
      <c r="E38" s="16"/>
      <c r="F38" s="16"/>
      <c r="G38" s="329"/>
      <c r="H38" s="329"/>
      <c r="I38" s="329"/>
      <c r="J38" s="748">
        <f ca="1">-Model!U34</f>
        <v>391</v>
      </c>
      <c r="K38" s="749">
        <f ca="1">-Model!V34</f>
        <v>409</v>
      </c>
      <c r="L38" s="749">
        <f ca="1">-Model!W34</f>
        <v>425</v>
      </c>
      <c r="M38" s="750">
        <f ca="1">-Model!X34</f>
        <v>331.18750000000006</v>
      </c>
      <c r="N38" s="329">
        <f ca="1">-Model!Y34</f>
        <v>1556.1875</v>
      </c>
      <c r="O38" s="329">
        <f ca="1">-Model!AD34</f>
        <v>1354.863628029993</v>
      </c>
      <c r="P38" s="329">
        <f ca="1">-Model!AE34</f>
        <v>1420.1551602334257</v>
      </c>
      <c r="Q38" s="329">
        <f ca="1">-Model!AF34</f>
        <v>1472.475831890681</v>
      </c>
      <c r="R38" s="329">
        <f ca="1">-Model!AG34</f>
        <v>1524.1208520524956</v>
      </c>
      <c r="S38" s="16"/>
      <c r="T38" s="16"/>
      <c r="U38" s="16"/>
      <c r="V38" s="16"/>
      <c r="W38" s="16"/>
      <c r="X38" s="16"/>
      <c r="Y38" s="16"/>
      <c r="Z38" s="16"/>
      <c r="AA38" s="16"/>
      <c r="AB38" s="16"/>
    </row>
    <row r="39" ht="13.5" customHeight="1" spans="1:28" x14ac:dyDescent="0.25">
      <c r="A39" s="16"/>
      <c r="B39" s="16"/>
      <c r="C39" s="139" t="str">
        <f ca="1">Model!C77</f>
        <v>Stock-Based Compensation</v>
      </c>
      <c r="D39" s="16"/>
      <c r="E39" s="16"/>
      <c r="F39" s="16"/>
      <c r="G39" s="329"/>
      <c r="H39" s="329"/>
      <c r="I39" s="329"/>
      <c r="J39" s="748">
        <f ca="1">Model!U246</f>
        <v>54</v>
      </c>
      <c r="K39" s="749">
        <f ca="1">Model!V246</f>
        <v>61</v>
      </c>
      <c r="L39" s="749">
        <f ca="1">Model!W246</f>
        <v>54</v>
      </c>
      <c r="M39" s="750">
        <f ca="1">Model!X246</f>
        <v>51.3</v>
      </c>
      <c r="N39" s="329">
        <f ca="1">Model!Y246</f>
        <v>220.3</v>
      </c>
      <c r="O39" s="329">
        <f ca="1">Model!AD246</f>
        <v>247.96179216000002</v>
      </c>
      <c r="P39" s="329">
        <f ca="1">Model!AE246</f>
        <v>252.92102800319995</v>
      </c>
      <c r="Q39" s="329">
        <f ca="1">Model!AF246</f>
        <v>257.979448563264</v>
      </c>
      <c r="R39" s="329">
        <f ca="1">Model!AG246</f>
        <v>263.1390375345292</v>
      </c>
      <c r="S39" s="16"/>
      <c r="T39" s="16"/>
      <c r="U39" s="16"/>
      <c r="V39" s="16"/>
      <c r="W39" s="16"/>
      <c r="X39" s="16"/>
      <c r="Y39" s="16"/>
      <c r="Z39" s="16"/>
      <c r="AA39" s="16"/>
      <c r="AB39" s="16"/>
    </row>
    <row r="40" ht="13.5" customHeight="1" spans="1:28" x14ac:dyDescent="0.25">
      <c r="A40" s="16"/>
      <c r="B40" s="16"/>
      <c r="C40" s="139" t="str">
        <f ca="1">Model!C82</f>
        <v>Capital Expenditures</v>
      </c>
      <c r="D40" s="16"/>
      <c r="E40" s="16"/>
      <c r="F40" s="16"/>
      <c r="G40" s="329"/>
      <c r="H40" s="329"/>
      <c r="I40" s="329"/>
      <c r="J40" s="748">
        <f ca="1">-Model!U193</f>
        <v>-461</v>
      </c>
      <c r="K40" s="749">
        <f ca="1">-Model!V193</f>
        <v>-385</v>
      </c>
      <c r="L40" s="749">
        <f ca="1">-Model!W193</f>
        <v>-410</v>
      </c>
      <c r="M40" s="750">
        <f ca="1">-Model!X193</f>
        <v>-370.1257</v>
      </c>
      <c r="N40" s="329">
        <f ca="1">-Model!Y193</f>
        <v>-1626.1257</v>
      </c>
      <c r="O40" s="329">
        <f ca="1">-Model!AD193</f>
        <v>-2115.30265349424</v>
      </c>
      <c r="P40" s="329">
        <f ca="1">-Model!AE193</f>
        <v>-2146.8311554730876</v>
      </c>
      <c r="Q40" s="329">
        <f ca="1">-Model!AF193</f>
        <v>-2189.7677785825495</v>
      </c>
      <c r="R40" s="329">
        <f ca="1">-Model!AG193</f>
        <v>-2345.2412908619103</v>
      </c>
      <c r="S40" s="16"/>
      <c r="T40" s="16"/>
      <c r="U40" s="16"/>
      <c r="V40" s="16"/>
      <c r="W40" s="16"/>
      <c r="X40" s="16"/>
      <c r="Y40" s="16"/>
      <c r="Z40" s="16"/>
      <c r="AA40" s="16"/>
      <c r="AB40" s="16"/>
    </row>
    <row r="41" ht="13.5" customHeight="1" spans="1:28" x14ac:dyDescent="0.25">
      <c r="A41" s="16"/>
      <c r="B41" s="16"/>
      <c r="C41" s="139" t="str">
        <f ca="1">Drivers!C62</f>
        <v>Goodwill Impairment</v>
      </c>
      <c r="D41" s="16"/>
      <c r="E41" s="16"/>
      <c r="F41" s="16"/>
      <c r="G41" s="329"/>
      <c r="H41" s="329"/>
      <c r="I41" s="329"/>
      <c r="J41" s="748">
        <f ca="1">Model!U40</f>
        <v>1e-12</v>
      </c>
      <c r="K41" s="749">
        <f ca="1">Model!V40</f>
        <v>1e-12</v>
      </c>
      <c r="L41" s="749">
        <f ca="1">Model!W40</f>
        <v>1e-12</v>
      </c>
      <c r="M41" s="750">
        <f ca="1">Model!X40</f>
        <v>1e-12</v>
      </c>
      <c r="N41" s="329">
        <f ca="1">Model!Y40</f>
        <v>1e-12</v>
      </c>
      <c r="O41" s="329">
        <f ca="1">Model!AD40</f>
        <v>1e-12</v>
      </c>
      <c r="P41" s="329">
        <f ca="1">Model!AE40</f>
        <v>1e-12</v>
      </c>
      <c r="Q41" s="329">
        <f ca="1">Model!AF40</f>
        <v>1e-12</v>
      </c>
      <c r="R41" s="329">
        <f ca="1">Model!AG40</f>
        <v>1e-12</v>
      </c>
      <c r="S41" s="16"/>
      <c r="T41" s="16"/>
      <c r="U41" s="16"/>
      <c r="V41" s="16"/>
      <c r="W41" s="16"/>
      <c r="X41" s="16"/>
      <c r="Y41" s="16"/>
      <c r="Z41" s="16"/>
      <c r="AA41" s="16"/>
      <c r="AB41" s="16"/>
    </row>
    <row r="42" ht="13.5" customHeight="1" spans="1:28" x14ac:dyDescent="0.25">
      <c r="A42" s="16"/>
      <c r="B42" s="16"/>
      <c r="C42" s="139" t="str">
        <f ca="1">Model!C78</f>
        <v>(Increase)/Decrease in Working Capital</v>
      </c>
      <c r="D42" s="16"/>
      <c r="E42" s="16"/>
      <c r="F42" s="16"/>
      <c r="G42" s="329"/>
      <c r="H42" s="329"/>
      <c r="I42" s="329"/>
      <c r="J42" s="748">
        <f ca="1">Model!U110</f>
        <v>891</v>
      </c>
      <c r="K42" s="749">
        <f ca="1">Model!V110</f>
        <v>-893</v>
      </c>
      <c r="L42" s="749">
        <f ca="1">Model!W110</f>
        <v>-40</v>
      </c>
      <c r="M42" s="750">
        <f ca="1">Model!X110</f>
        <v>-1855.091793478261</v>
      </c>
      <c r="N42" s="329">
        <f ca="1">Model!Y110</f>
        <v>-1897.091793478261</v>
      </c>
      <c r="O42" s="329">
        <f ca="1">Model!AD110</f>
        <v>-851.2127845903033</v>
      </c>
      <c r="P42" s="329">
        <f ca="1">Model!AE110</f>
        <v>461.05132520968255</v>
      </c>
      <c r="Q42" s="329">
        <f ca="1">Model!AF110</f>
        <v>-142.92601939177257</v>
      </c>
      <c r="R42" s="329">
        <f ca="1">Model!AG110</f>
        <v>-136.42553228758334</v>
      </c>
      <c r="S42" s="16"/>
      <c r="T42" s="16"/>
      <c r="U42" s="16"/>
      <c r="V42" s="16"/>
      <c r="W42" s="16"/>
      <c r="X42" s="16"/>
      <c r="Y42" s="16"/>
      <c r="Z42" s="16"/>
      <c r="AA42" s="16"/>
      <c r="AB42" s="16"/>
    </row>
    <row r="43" ht="13.5" customHeight="1" spans="1:28" x14ac:dyDescent="0.25">
      <c r="A43" s="16"/>
      <c r="B43" s="16"/>
      <c r="C43" s="139" t="str">
        <f ca="1">Model!C79</f>
        <v>(Increase)/Decrease in LT Items</v>
      </c>
      <c r="D43" s="16"/>
      <c r="E43" s="16"/>
      <c r="F43" s="16"/>
      <c r="G43" s="329"/>
      <c r="H43" s="329"/>
      <c r="I43" s="329"/>
      <c r="J43" s="748">
        <f ca="1">Model!U79</f>
        <v>1e-12</v>
      </c>
      <c r="K43" s="749">
        <f ca="1">Model!V79</f>
        <v>1e-12</v>
      </c>
      <c r="L43" s="749">
        <f ca="1">Model!W79</f>
        <v>1e-12</v>
      </c>
      <c r="M43" s="750">
        <f ca="1">Model!X79</f>
        <v>-112.52000000000044</v>
      </c>
      <c r="N43" s="329">
        <f ca="1">Model!Y79</f>
        <v>-112.52000000000044</v>
      </c>
      <c r="O43" s="329">
        <f ca="1">Model!AD79</f>
        <v>-473.03859880320124</v>
      </c>
      <c r="P43" s="329">
        <f ca="1">Model!AE79</f>
        <v>-124.2311719760637</v>
      </c>
      <c r="Q43" s="329">
        <f ca="1">Model!AF79</f>
        <v>-126.71579541558549</v>
      </c>
      <c r="R43" s="329">
        <f ca="1">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816</v>
      </c>
      <c r="D45" s="100"/>
      <c r="E45" s="100"/>
      <c r="F45" s="100"/>
      <c r="G45" s="100"/>
      <c r="H45" s="100"/>
      <c r="I45" s="100"/>
      <c r="J45" s="757">
        <f t="shared" ref="J45:R45" si="12" ca="1">SUM(J35:J43)</f>
        <v>3407</v>
      </c>
      <c r="K45" s="758">
        <f ca="1">SUM(K35:K43)</f>
        <v>2426</v>
      </c>
      <c r="L45" s="758">
        <f ca="1">SUM(L35:L43)</f>
        <v>2148</v>
      </c>
      <c r="M45" s="759">
        <f ca="1">SUM(M35:M43)</f>
        <v>-3643.8497314782617</v>
      </c>
      <c r="N45" s="389">
        <f ca="1">SUM(N35:N43)</f>
        <v>-65813.48714818852</v>
      </c>
      <c r="O45" s="389">
        <f ca="1">SUM(O35:O43)</f>
        <v>-9585.049247263976</v>
      </c>
      <c r="P45" s="389">
        <f ca="1">SUM(P35:P43)</f>
        <v>-7003.20138012781</v>
      </c>
      <c r="Q45" s="389">
        <f ca="1">SUM(Q35:Q43)</f>
        <v>-7140.895569132773</v>
      </c>
      <c r="R45" s="407">
        <f ca="1">SUM(R35:R43)</f>
        <v>-6571.687359040055</v>
      </c>
      <c r="S45" s="16"/>
      <c r="T45" s="16"/>
      <c r="U45" s="16"/>
      <c r="V45" s="16"/>
      <c r="W45" s="16"/>
      <c r="X45" s="16"/>
      <c r="Y45" s="16"/>
      <c r="Z45" s="16"/>
      <c r="AA45" s="16"/>
      <c r="AB45" s="16"/>
    </row>
    <row r="46" ht="13.5" customHeight="1" spans="1:28" x14ac:dyDescent="0.25">
      <c r="A46" s="16"/>
      <c r="B46" s="16"/>
      <c r="C46" s="303" t="s">
        <v>815</v>
      </c>
      <c r="D46" s="16"/>
      <c r="E46" s="16"/>
      <c r="F46" s="16"/>
      <c r="G46" s="16"/>
      <c r="H46" s="464"/>
      <c r="I46" s="464"/>
      <c r="J46" s="754"/>
      <c r="K46" s="755"/>
      <c r="L46" s="755"/>
      <c r="M46" s="756"/>
      <c r="N46" s="464"/>
      <c r="O46" s="464">
        <f ca="1">O45/N45-1</f>
        <v>-0.8543604105693129</v>
      </c>
      <c r="P46" s="464">
        <f ca="1">P45/O45-1</f>
        <v>-0.2693619824512792</v>
      </c>
      <c r="Q46" s="464">
        <f ca="1">Q45/P45-1</f>
        <v>0.019661606389855146</v>
      </c>
      <c r="R46" s="464">
        <f ca="1">R45/Q45-1</f>
        <v>-0.0797110396843187</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817</v>
      </c>
      <c r="D48" s="100"/>
      <c r="E48" s="100"/>
      <c r="F48" s="100"/>
      <c r="G48" s="100"/>
      <c r="H48" s="100"/>
      <c r="I48" s="100"/>
      <c r="J48" s="757">
        <f t="shared" ref="J48:M48" si="13" ca="1">IF(J27=4,0,J45)</f>
        <v>1e-12</v>
      </c>
      <c r="K48" s="758">
        <f ca="1">IF(K27=4,0,K45)</f>
        <v>1e-12</v>
      </c>
      <c r="L48" s="758">
        <f ca="1">IF(L27=4,0,L45)</f>
        <v>2148</v>
      </c>
      <c r="M48" s="759">
        <f ca="1">IF(M27=4,0,M45)</f>
        <v>-3643.8497314782617</v>
      </c>
      <c r="N48" s="389">
        <f ca="1">SUM(J48:M48)</f>
        <v>-1495.8497314782617</v>
      </c>
      <c r="O48" s="389">
        <f ca="1">SUM(O35:O43)</f>
        <v>-9585.049247263976</v>
      </c>
      <c r="P48" s="389">
        <f ca="1">SUM(P35:P43)</f>
        <v>-7003.20138012781</v>
      </c>
      <c r="Q48" s="389">
        <f ca="1">SUM(Q35:Q43)</f>
        <v>-7140.895569132773</v>
      </c>
      <c r="R48" s="407">
        <f ca="1">SUM(R35:R43)</f>
        <v>-6571.687359040055</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818</v>
      </c>
      <c r="D50" s="16"/>
      <c r="E50" s="16"/>
      <c r="F50" s="16"/>
      <c r="G50" s="16"/>
      <c r="H50" s="16"/>
      <c r="I50" s="16"/>
      <c r="J50" s="742"/>
      <c r="K50" s="743"/>
      <c r="L50" s="743"/>
      <c r="M50" s="744"/>
      <c r="N50" s="760">
        <f ca="1">YEARFRAC(Current_Date,Next_FYE)</f>
        <v>1.3277777777777777</v>
      </c>
      <c r="O50" s="760">
        <f t="shared" ref="O50:R50" si="14" ca="1">N50+1</f>
        <v>2.3277777777777775</v>
      </c>
      <c r="P50" s="760">
        <f ca="1">O50+1</f>
        <v>3.3277777777777775</v>
      </c>
      <c r="Q50" s="760">
        <f ca="1">P50+1</f>
        <v>4.3277777777777775</v>
      </c>
      <c r="R50" s="760">
        <f ca="1">Q50+1</f>
        <v>5.3277777777777775</v>
      </c>
      <c r="S50" s="16"/>
      <c r="T50" s="16"/>
      <c r="U50" s="16"/>
      <c r="V50" s="16"/>
      <c r="W50" s="16"/>
      <c r="X50" s="16"/>
      <c r="Y50" s="16"/>
      <c r="Z50" s="16"/>
      <c r="AA50" s="16"/>
      <c r="AB50" s="16"/>
    </row>
    <row r="51" ht="13.5" customHeight="1" spans="1:28" x14ac:dyDescent="0.25">
      <c r="A51" s="16"/>
      <c r="B51" s="16"/>
      <c r="C51" s="303" t="s">
        <v>819</v>
      </c>
      <c r="D51" s="16"/>
      <c r="E51" s="16"/>
      <c r="F51" s="16"/>
      <c r="G51" s="16"/>
      <c r="H51" s="16"/>
      <c r="I51" s="16"/>
      <c r="J51" s="742"/>
      <c r="K51" s="743"/>
      <c r="L51" s="743"/>
      <c r="M51" s="744"/>
      <c r="N51" s="760">
        <f ca="1">N50/2</f>
        <v>0.6638888888888889</v>
      </c>
      <c r="O51" s="760">
        <f t="shared" ref="O51:R51" si="15" ca="1">O50-0.5</f>
        <v>1.8277777777777775</v>
      </c>
      <c r="P51" s="760">
        <f ca="1">P50-0.5</f>
        <v>2.8277777777777775</v>
      </c>
      <c r="Q51" s="760">
        <f ca="1">Q50-0.5</f>
        <v>3.8277777777777775</v>
      </c>
      <c r="R51" s="760">
        <f ca="1">R50-0.5</f>
        <v>4.8277777777777775</v>
      </c>
      <c r="S51" s="16"/>
      <c r="T51" s="16"/>
      <c r="U51" s="16"/>
      <c r="V51" s="16"/>
      <c r="W51" s="16"/>
      <c r="X51" s="16"/>
      <c r="Y51" s="16"/>
      <c r="Z51" s="16"/>
      <c r="AA51" s="16"/>
      <c r="AB51" s="16"/>
    </row>
    <row r="52" ht="13.5" customHeight="1" spans="1:28" x14ac:dyDescent="0.25">
      <c r="A52" s="16"/>
      <c r="B52" s="16"/>
      <c r="C52" s="303" t="s">
        <v>820</v>
      </c>
      <c r="D52" s="16"/>
      <c r="E52" s="16"/>
      <c r="F52" s="16"/>
      <c r="G52" s="16"/>
      <c r="H52" s="16"/>
      <c r="I52" s="16"/>
      <c r="J52" s="742"/>
      <c r="K52" s="743"/>
      <c r="L52" s="743"/>
      <c r="M52" s="744"/>
      <c r="N52" s="760">
        <f t="shared" ref="N52:R52" si="16" ca="1">IF($G$83="Yes",1/(1+$G$84)^N51,1/(1+$G$84)^N50)</f>
        <v>0.9449015643110897</v>
      </c>
      <c r="O52" s="760">
        <f ca="1">IF($G$83="Yes",1/(1+$G$84)^O51,1/(1+$G$84)^O50)</f>
        <v>0.855531142611532</v>
      </c>
      <c r="P52" s="760">
        <f ca="1">IF($G$83="Yes",1/(1+$G$84)^P51,1/(1+$G$84)^P50)</f>
        <v>0.78552714535545</v>
      </c>
      <c r="Q52" s="760">
        <f ca="1">IF($G$83="Yes",1/(1+$G$84)^Q51,1/(1+$G$84)^Q50)</f>
        <v>0.721251238390588</v>
      </c>
      <c r="R52" s="760">
        <f ca="1">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821</v>
      </c>
      <c r="D54" s="100"/>
      <c r="E54" s="100"/>
      <c r="F54" s="100"/>
      <c r="G54" s="100"/>
      <c r="H54" s="100"/>
      <c r="I54" s="100"/>
      <c r="J54" s="757"/>
      <c r="K54" s="758"/>
      <c r="L54" s="758"/>
      <c r="M54" s="759"/>
      <c r="N54" s="389">
        <f ca="1">N48*N52</f>
        <v>-1413.430751248133</v>
      </c>
      <c r="O54" s="389">
        <f ca="1">O48*O52</f>
        <v>-8200.308134499553</v>
      </c>
      <c r="P54" s="389">
        <f ca="1">P48*P52</f>
        <v>-5501.204788481146</v>
      </c>
      <c r="Q54" s="389">
        <f ca="1">Q48*Q52</f>
        <v>-5150.379772454875</v>
      </c>
      <c r="R54" s="407">
        <f ca="1">R48*R52</f>
        <v>-4351.9995358248225</v>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 ca="1">O54/N54-1</f>
        <v>4.801704913564569</v>
      </c>
      <c r="P55" s="464">
        <f ca="1">P54/O54-1</f>
        <v>-0.3291465761710828</v>
      </c>
      <c r="Q55" s="464">
        <f ca="1">Q54/P54-1</f>
        <v>-0.06377239705034365</v>
      </c>
      <c r="R55" s="464">
        <f ca="1">R54/Q54-1</f>
        <v>-0.15501385759938102</v>
      </c>
      <c r="S55" s="16"/>
      <c r="T55" s="16"/>
      <c r="U55" s="16"/>
      <c r="V55" s="16"/>
      <c r="W55" s="16"/>
      <c r="X55" s="16" t="s">
        <v>822</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823</v>
      </c>
      <c r="H57" s="22"/>
      <c r="I57" s="22"/>
      <c r="J57" s="22"/>
      <c r="K57" s="7"/>
      <c r="L57" s="16"/>
      <c r="M57" s="16"/>
      <c r="N57" s="92" t="s">
        <v>824</v>
      </c>
      <c r="O57" s="22"/>
      <c r="P57" s="22"/>
      <c r="Q57" s="22"/>
      <c r="R57" s="7"/>
      <c r="S57" s="16"/>
      <c r="T57" s="16"/>
      <c r="U57" s="16"/>
      <c r="V57" s="16"/>
      <c r="W57" s="16"/>
      <c r="X57" s="92" t="s">
        <v>823</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825</v>
      </c>
      <c r="H59" s="16"/>
      <c r="I59" s="16"/>
      <c r="J59" s="16"/>
      <c r="K59" s="761">
        <f ca="1">R32</f>
        <v>-7147.402029293433</v>
      </c>
      <c r="L59" s="16"/>
      <c r="M59" s="16"/>
      <c r="N59" s="188" t="s">
        <v>826</v>
      </c>
      <c r="O59" s="16"/>
      <c r="P59" s="16"/>
      <c r="Q59" s="16"/>
      <c r="R59" s="762">
        <f ca="1">R48</f>
        <v>-6571.687359040055</v>
      </c>
      <c r="S59" s="16"/>
      <c r="T59" s="16"/>
      <c r="U59" s="16"/>
      <c r="V59" s="16"/>
      <c r="W59" s="189"/>
      <c r="X59" s="16" t="s">
        <v>825</v>
      </c>
      <c r="Y59" s="16"/>
      <c r="Z59" s="16"/>
      <c r="AA59" s="16"/>
      <c r="AB59" s="761">
        <f ca="1">R32</f>
        <v>-7147.402029293433</v>
      </c>
    </row>
    <row r="60" ht="15" customHeight="1" spans="1:28" x14ac:dyDescent="0.25">
      <c r="A60" s="16"/>
      <c r="B60" s="16"/>
      <c r="C60" s="16"/>
      <c r="D60" s="16"/>
      <c r="E60" s="16"/>
      <c r="F60" s="189"/>
      <c r="G60" s="16" t="s">
        <v>827</v>
      </c>
      <c r="H60" s="16"/>
      <c r="I60" s="16"/>
      <c r="J60" s="16"/>
      <c r="K60" s="763">
        <f ca="1">IF(Case_Scenario="Bear",Valuation!J84,IF(Case_Scenario="Base",Valuation!J85,IF(Case_Scenario="Bull",Valuation!J86,"Error")))</f>
        <v>13</v>
      </c>
      <c r="L60" s="16"/>
      <c r="M60" s="16"/>
      <c r="N60" s="188" t="s">
        <v>828</v>
      </c>
      <c r="O60" s="16"/>
      <c r="P60" s="16"/>
      <c r="Q60" s="16"/>
      <c r="R60" s="764">
        <f ca="1">G86</f>
        <v>0.02</v>
      </c>
      <c r="S60" s="16"/>
      <c r="T60" s="16"/>
      <c r="U60" s="16"/>
      <c r="V60" s="16"/>
      <c r="W60" s="189"/>
      <c r="X60" s="16" t="s">
        <v>827</v>
      </c>
      <c r="Y60" s="16"/>
      <c r="Z60" s="16"/>
      <c r="AA60" s="16"/>
      <c r="AB60" s="763">
        <f ca="1">_xludf.IFS(Case_Scenario="Base",Valuation!J85,Case_Scenario="Bull",Valuation!J86,Case_Scenario="Bear",Valuation!J84)</f>
      </c>
    </row>
    <row r="61" ht="13.5" customHeight="1" spans="1:28" x14ac:dyDescent="0.25">
      <c r="A61" s="16"/>
      <c r="B61" s="16"/>
      <c r="C61" s="16"/>
      <c r="D61" s="16"/>
      <c r="E61" s="16"/>
      <c r="F61" s="189"/>
      <c r="G61" s="16" t="s">
        <v>829</v>
      </c>
      <c r="H61" s="16"/>
      <c r="I61" s="16"/>
      <c r="J61" s="16"/>
      <c r="K61" s="765">
        <f ca="1">K59*K60</f>
        <v>-92916.22638081462</v>
      </c>
      <c r="L61" s="16"/>
      <c r="M61" s="16"/>
      <c r="N61" s="188" t="s">
        <v>829</v>
      </c>
      <c r="O61" s="16"/>
      <c r="P61" s="16"/>
      <c r="Q61" s="16"/>
      <c r="R61" s="765">
        <f ca="1">(R59*(1+R60))/(Discount_Rate-R60)</f>
      </c>
      <c r="S61" s="16"/>
      <c r="T61" s="16"/>
      <c r="U61" s="16"/>
      <c r="V61" s="16"/>
      <c r="W61" s="189"/>
      <c r="X61" s="16" t="s">
        <v>829</v>
      </c>
      <c r="Y61" s="16"/>
      <c r="Z61" s="16"/>
      <c r="AA61" s="16"/>
      <c r="AB61" s="765">
        <f ca="1">AB59*AB60</f>
        <v>1e-12</v>
      </c>
    </row>
    <row r="62" ht="13.5" customHeight="1" spans="1:28" x14ac:dyDescent="0.25">
      <c r="A62" s="16"/>
      <c r="B62" s="16"/>
      <c r="C62" s="16"/>
      <c r="D62" s="16"/>
      <c r="E62" s="16"/>
      <c r="F62" s="189"/>
      <c r="G62" s="16" t="s">
        <v>830</v>
      </c>
      <c r="H62" s="16"/>
      <c r="I62" s="16"/>
      <c r="J62" s="16"/>
      <c r="K62" s="765">
        <f ca="1">K61*R52</f>
        <v>-61532.35112800118</v>
      </c>
      <c r="L62" s="16"/>
      <c r="M62" s="16"/>
      <c r="N62" s="188" t="s">
        <v>830</v>
      </c>
      <c r="O62" s="16"/>
      <c r="P62" s="16"/>
      <c r="Q62" s="16"/>
      <c r="R62" s="765">
        <f ca="1">R61*R52</f>
        <v>1e-12</v>
      </c>
      <c r="S62" s="16"/>
      <c r="T62" s="16"/>
      <c r="U62" s="16"/>
      <c r="V62" s="16"/>
      <c r="W62" s="189"/>
      <c r="X62" s="16" t="s">
        <v>830</v>
      </c>
      <c r="Y62" s="16"/>
      <c r="Z62" s="16"/>
      <c r="AA62" s="16"/>
      <c r="AB62" s="765">
        <f ca="1">AB61*R52</f>
        <v>1e-12</v>
      </c>
    </row>
    <row r="63" ht="13.5" customHeight="1" spans="1:28" x14ac:dyDescent="0.25">
      <c r="A63" s="16"/>
      <c r="B63" s="16"/>
      <c r="C63" s="16"/>
      <c r="D63" s="16"/>
      <c r="E63" s="16"/>
      <c r="F63" s="189"/>
      <c r="G63" s="16" t="s">
        <v>831</v>
      </c>
      <c r="H63" s="16"/>
      <c r="I63" s="16"/>
      <c r="J63" s="16"/>
      <c r="K63" s="765">
        <f ca="1">SUM(N54:R54)</f>
        <v>-24617.322982508533</v>
      </c>
      <c r="L63" s="16"/>
      <c r="M63" s="16"/>
      <c r="N63" s="188" t="s">
        <v>831</v>
      </c>
      <c r="O63" s="16"/>
      <c r="P63" s="16"/>
      <c r="Q63" s="16"/>
      <c r="R63" s="765">
        <f ca="1">SUM(N54:R54)</f>
        <v>-24617.322982508533</v>
      </c>
      <c r="S63" s="16"/>
      <c r="T63" s="16"/>
      <c r="U63" s="16"/>
      <c r="V63" s="16"/>
      <c r="W63" s="189"/>
      <c r="X63" s="16" t="s">
        <v>831</v>
      </c>
      <c r="Y63" s="16"/>
      <c r="Z63" s="16"/>
      <c r="AA63" s="16"/>
      <c r="AB63" s="765">
        <f ca="1">SUM(N54:R54)</f>
        <v>-24617.322982508533</v>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 ca="1">K62+K63</f>
        <v>-86149.67411050972</v>
      </c>
      <c r="L65" s="16"/>
      <c r="M65" s="16"/>
      <c r="N65" s="190" t="s">
        <v>13</v>
      </c>
      <c r="O65" s="132"/>
      <c r="P65" s="132"/>
      <c r="Q65" s="132"/>
      <c r="R65" s="766">
        <f ca="1">R62+R63</f>
        <v>-24617.322982508533</v>
      </c>
      <c r="S65" s="16"/>
      <c r="T65" s="16"/>
      <c r="U65" s="16"/>
      <c r="V65" s="16"/>
      <c r="W65" s="189"/>
      <c r="X65" s="132" t="s">
        <v>13</v>
      </c>
      <c r="Y65" s="132"/>
      <c r="Z65" s="132"/>
      <c r="AA65" s="132"/>
      <c r="AB65" s="766">
        <f ca="1">AB62+AB63</f>
        <v>-24617.322982508533</v>
      </c>
    </row>
    <row r="66" ht="13.5" customHeight="1" spans="1:28" x14ac:dyDescent="0.25">
      <c r="A66" s="16"/>
      <c r="B66" s="16"/>
      <c r="C66" s="16"/>
      <c r="D66" s="16"/>
      <c r="E66" s="16"/>
      <c r="F66" s="189"/>
      <c r="G66" s="16" t="s">
        <v>832</v>
      </c>
      <c r="H66" s="16"/>
      <c r="I66" s="16"/>
      <c r="J66" s="16"/>
      <c r="K66" s="767">
        <f ca="1">IF(Last_FQR="1Q",Model!$U$120,IF(Last_FQR="2Q",Model!$V$120,IF(Last_FQR="3Q",Model!$W$120,Model!$X$120)))</f>
        <v>6255</v>
      </c>
      <c r="L66" s="16"/>
      <c r="M66" s="16"/>
      <c r="N66" s="188" t="s">
        <v>832</v>
      </c>
      <c r="O66" s="16"/>
      <c r="P66" s="16"/>
      <c r="Q66" s="16"/>
      <c r="R66" s="765">
        <f t="shared" ref="R66:R71" si="17" ca="1">K66</f>
        <v>6255</v>
      </c>
      <c r="S66" s="16"/>
      <c r="T66" s="16"/>
      <c r="U66" s="16"/>
      <c r="V66" s="16"/>
      <c r="W66" s="189"/>
      <c r="X66" s="16" t="s">
        <v>832</v>
      </c>
      <c r="Y66" s="16"/>
      <c r="Z66" s="16"/>
      <c r="AA66" s="16"/>
      <c r="AB66" s="767">
        <f ca="1">Model!$V$120</f>
        <v>6255</v>
      </c>
    </row>
    <row r="67" ht="13.5" customHeight="1" spans="1:28" x14ac:dyDescent="0.25">
      <c r="A67" s="16"/>
      <c r="B67" s="16"/>
      <c r="C67" s="16"/>
      <c r="D67" s="16"/>
      <c r="E67" s="16"/>
      <c r="F67" s="189"/>
      <c r="G67" s="16" t="s">
        <v>833</v>
      </c>
      <c r="H67" s="16"/>
      <c r="I67" s="16"/>
      <c r="J67" s="16"/>
      <c r="K67" s="767">
        <f ca="1">WACC!$M$8</f>
        <v>1e-12</v>
      </c>
      <c r="L67" s="16"/>
      <c r="M67" s="16"/>
      <c r="N67" s="188" t="s">
        <v>833</v>
      </c>
      <c r="O67" s="16"/>
      <c r="P67" s="16"/>
      <c r="Q67" s="16"/>
      <c r="R67" s="765">
        <f ca="1">K67</f>
        <v>1e-12</v>
      </c>
      <c r="S67" s="16"/>
      <c r="T67" s="16"/>
      <c r="U67" s="16"/>
      <c r="V67" s="16"/>
      <c r="W67" s="189"/>
      <c r="X67" s="16" t="s">
        <v>833</v>
      </c>
      <c r="Y67" s="16"/>
      <c r="Z67" s="16"/>
      <c r="AA67" s="16"/>
      <c r="AB67" s="767">
        <f ca="1">WACC!$M$8</f>
        <v>1e-12</v>
      </c>
    </row>
    <row r="68" ht="13.5" customHeight="1" spans="1:28" x14ac:dyDescent="0.25">
      <c r="A68" s="16"/>
      <c r="B68" s="16"/>
      <c r="C68" s="16"/>
      <c r="D68" s="16"/>
      <c r="E68" s="16"/>
      <c r="F68" s="189"/>
      <c r="G68" s="16" t="s">
        <v>834</v>
      </c>
      <c r="H68" s="16"/>
      <c r="I68" s="16"/>
      <c r="J68" s="16"/>
      <c r="K68" s="767">
        <f ca="1">-IF(Last_FQR="1Q",Model!$U$139+Model!$U$140,IF(Last_FQR="2Q",Model!$V$139+Model!$V$140,IF(Last_FQR="3Q",Model!$W$139+Model!$W$140,Model!$X$139+Model!$X$140)))</f>
        <v>-23311</v>
      </c>
      <c r="L68" s="16"/>
      <c r="M68" s="16"/>
      <c r="N68" s="188" t="s">
        <v>834</v>
      </c>
      <c r="O68" s="16"/>
      <c r="P68" s="16"/>
      <c r="Q68" s="16"/>
      <c r="R68" s="765">
        <f ca="1">K68</f>
        <v>-23311</v>
      </c>
      <c r="S68" s="16"/>
      <c r="T68" s="16"/>
      <c r="U68" s="16"/>
      <c r="V68" s="16"/>
      <c r="W68" s="189"/>
      <c r="X68" s="16" t="s">
        <v>834</v>
      </c>
      <c r="Y68" s="16"/>
      <c r="Z68" s="16"/>
      <c r="AA68" s="16"/>
      <c r="AB68" s="767">
        <f ca="1">-(Model!$V$139+Model!$V$140)</f>
        <v>-23311</v>
      </c>
    </row>
    <row r="69" ht="13.5" customHeight="1" spans="1:28" x14ac:dyDescent="0.25">
      <c r="A69" s="16"/>
      <c r="B69" s="16"/>
      <c r="C69" s="16"/>
      <c r="D69" s="16"/>
      <c r="E69" s="16"/>
      <c r="F69" s="189"/>
      <c r="G69" s="16" t="s">
        <v>835</v>
      </c>
      <c r="H69" s="16"/>
      <c r="I69" s="16"/>
      <c r="J69" s="16"/>
      <c r="K69" s="768">
        <v>0</v>
      </c>
      <c r="L69" s="16"/>
      <c r="M69" s="16"/>
      <c r="N69" s="188" t="s">
        <v>835</v>
      </c>
      <c r="O69" s="16"/>
      <c r="P69" s="16"/>
      <c r="Q69" s="16"/>
      <c r="R69" s="765">
        <f ca="1">K69</f>
        <v>1e-12</v>
      </c>
      <c r="S69" s="16"/>
      <c r="T69" s="16"/>
      <c r="U69" s="16"/>
      <c r="V69" s="16"/>
      <c r="W69" s="189"/>
      <c r="X69" s="16" t="s">
        <v>835</v>
      </c>
      <c r="Y69" s="16"/>
      <c r="Z69" s="16"/>
      <c r="AA69" s="16"/>
      <c r="AB69" s="768">
        <v>0</v>
      </c>
    </row>
    <row r="70" ht="13.5" customHeight="1" spans="1:28" x14ac:dyDescent="0.25">
      <c r="A70" s="16"/>
      <c r="B70" s="16"/>
      <c r="C70" s="16"/>
      <c r="D70" s="16"/>
      <c r="E70" s="16"/>
      <c r="F70" s="189"/>
      <c r="G70" s="16" t="s">
        <v>836</v>
      </c>
      <c r="H70" s="16"/>
      <c r="I70" s="16"/>
      <c r="J70" s="16"/>
      <c r="K70" s="767">
        <f ca="1">-IF(Last_FQR="1Q",Model!$U$153,IF(Last_FQR="2Q",Model!$V$153,IF(Last_FQR="3Q",Model!$W$153,Model!$X$153)))</f>
        <v>0</v>
      </c>
      <c r="L70" s="16"/>
      <c r="M70" s="16"/>
      <c r="N70" s="188" t="s">
        <v>836</v>
      </c>
      <c r="O70" s="16"/>
      <c r="P70" s="16"/>
      <c r="Q70" s="16"/>
      <c r="R70" s="765">
        <f ca="1">K70</f>
        <v>1e-12</v>
      </c>
      <c r="S70" s="16"/>
      <c r="T70" s="16"/>
      <c r="U70" s="16"/>
      <c r="V70" s="16"/>
      <c r="W70" s="189"/>
      <c r="X70" s="16" t="s">
        <v>836</v>
      </c>
      <c r="Y70" s="16"/>
      <c r="Z70" s="16"/>
      <c r="AA70" s="16"/>
      <c r="AB70" s="767">
        <f ca="1">-Model!$V$153</f>
        <v>1e-12</v>
      </c>
    </row>
    <row r="71" ht="13.5" customHeight="1" spans="1:28" x14ac:dyDescent="0.25">
      <c r="A71" s="16"/>
      <c r="B71" s="16"/>
      <c r="C71" s="16"/>
      <c r="D71" s="16"/>
      <c r="E71" s="16"/>
      <c r="F71" s="189"/>
      <c r="G71" s="16" t="s">
        <v>837</v>
      </c>
      <c r="H71" s="16"/>
      <c r="I71" s="16"/>
      <c r="J71" s="16"/>
      <c r="K71" s="768">
        <v>0</v>
      </c>
      <c r="L71" s="16"/>
      <c r="M71" s="16"/>
      <c r="N71" s="188" t="s">
        <v>837</v>
      </c>
      <c r="O71" s="16"/>
      <c r="P71" s="16"/>
      <c r="Q71" s="16"/>
      <c r="R71" s="765">
        <f ca="1">K71</f>
        <v>1e-12</v>
      </c>
      <c r="S71" s="16"/>
      <c r="T71" s="16"/>
      <c r="U71" s="16"/>
      <c r="V71" s="16"/>
      <c r="W71" s="189"/>
      <c r="X71" s="16" t="s">
        <v>837</v>
      </c>
      <c r="Y71" s="16"/>
      <c r="Z71" s="16"/>
      <c r="AA71" s="16"/>
      <c r="AB71" s="768">
        <v>0</v>
      </c>
    </row>
    <row r="72" ht="13.5" customHeight="1" spans="1:28" x14ac:dyDescent="0.25">
      <c r="A72" s="16"/>
      <c r="B72" s="16"/>
      <c r="C72" s="16"/>
      <c r="D72" s="16"/>
      <c r="E72" s="16"/>
      <c r="F72" s="189"/>
      <c r="G72" s="132" t="s">
        <v>16</v>
      </c>
      <c r="H72" s="132"/>
      <c r="I72" s="132"/>
      <c r="J72" s="132"/>
      <c r="K72" s="766">
        <f ca="1">SUM(K65:K71)</f>
        <v>-103205.67411050972</v>
      </c>
      <c r="L72" s="16"/>
      <c r="M72" s="16"/>
      <c r="N72" s="190" t="s">
        <v>16</v>
      </c>
      <c r="O72" s="132"/>
      <c r="P72" s="132"/>
      <c r="Q72" s="132"/>
      <c r="R72" s="766">
        <f ca="1">SUM(R65:R71)</f>
        <v>-41673.32298250853</v>
      </c>
      <c r="S72" s="16"/>
      <c r="T72" s="16"/>
      <c r="U72" s="16"/>
      <c r="V72" s="16"/>
      <c r="W72" s="189"/>
      <c r="X72" s="132" t="s">
        <v>16</v>
      </c>
      <c r="Y72" s="132"/>
      <c r="Z72" s="132"/>
      <c r="AA72" s="132"/>
      <c r="AB72" s="766">
        <f ca="1">SUM(AB65:AB71)</f>
        <v>-41673.32298250853</v>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838</v>
      </c>
      <c r="H74" s="16"/>
      <c r="I74" s="16"/>
      <c r="J74" s="16"/>
      <c r="K74" s="769">
        <f ca="1">Diluted_Shares</f>
        <v>707</v>
      </c>
      <c r="L74" s="16"/>
      <c r="M74" s="16"/>
      <c r="N74" s="188" t="s">
        <v>838</v>
      </c>
      <c r="O74" s="16"/>
      <c r="P74" s="16"/>
      <c r="Q74" s="16"/>
      <c r="R74" s="770">
        <f ca="1">K74</f>
        <v>707</v>
      </c>
      <c r="S74" s="16"/>
      <c r="T74" s="16"/>
      <c r="U74" s="16"/>
      <c r="V74" s="16"/>
      <c r="W74" s="189"/>
      <c r="X74" s="16" t="s">
        <v>838</v>
      </c>
      <c r="Y74" s="16"/>
      <c r="Z74" s="16"/>
      <c r="AA74" s="16"/>
      <c r="AB74" s="769">
        <f ca="1">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 ca="1">K72/K74</f>
        <v>-145.97690821854275</v>
      </c>
      <c r="L76" s="16"/>
      <c r="M76" s="16"/>
      <c r="N76" s="190" t="s">
        <v>18</v>
      </c>
      <c r="O76" s="132"/>
      <c r="P76" s="132"/>
      <c r="Q76" s="132"/>
      <c r="R76" s="771">
        <f ca="1">R72/R74</f>
        <v>-58.94387974895125</v>
      </c>
      <c r="S76" s="16"/>
      <c r="T76" s="16"/>
      <c r="U76" s="16"/>
      <c r="V76" s="16"/>
      <c r="W76" s="189"/>
      <c r="X76" s="132" t="s">
        <v>18</v>
      </c>
      <c r="Y76" s="132"/>
      <c r="Z76" s="132"/>
      <c r="AA76" s="132"/>
      <c r="AB76" s="771">
        <f ca="1">AB72/AB74</f>
        <v>-58.94387974895125</v>
      </c>
    </row>
    <row r="77" ht="13.5" customHeight="1" spans="1:28" x14ac:dyDescent="0.25">
      <c r="A77" s="16"/>
      <c r="B77" s="16"/>
      <c r="C77" s="16"/>
      <c r="D77" s="16"/>
      <c r="E77" s="16"/>
      <c r="F77" s="16"/>
      <c r="G77" s="772" t="s">
        <v>15</v>
      </c>
      <c r="H77" s="131"/>
      <c r="I77" s="131"/>
      <c r="J77" s="131"/>
      <c r="K77" s="773">
        <f ca="1">K76/Share_Price-1</f>
      </c>
      <c r="L77" s="16"/>
      <c r="M77" s="16"/>
      <c r="N77" s="772" t="s">
        <v>15</v>
      </c>
      <c r="O77" s="131"/>
      <c r="P77" s="131"/>
      <c r="Q77" s="131"/>
      <c r="R77" s="773">
        <f ca="1">R76/Share_Price-1</f>
      </c>
      <c r="S77" s="16"/>
      <c r="T77" s="16"/>
      <c r="U77" s="16"/>
      <c r="V77" s="16"/>
      <c r="W77" s="16"/>
      <c r="X77" s="772" t="s">
        <v>15</v>
      </c>
      <c r="Y77" s="131"/>
      <c r="Z77" s="131"/>
      <c r="AA77" s="131"/>
      <c r="AB77" s="773">
        <f ca="1">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839</v>
      </c>
      <c r="H79" s="16"/>
      <c r="I79" s="16"/>
      <c r="J79" s="16"/>
      <c r="K79" s="774">
        <f ca="1">R61/K59</f>
        <v>1e-12</v>
      </c>
      <c r="L79" s="16"/>
      <c r="M79" s="16"/>
      <c r="N79" s="16" t="s">
        <v>840</v>
      </c>
      <c r="O79" s="16"/>
      <c r="P79" s="16"/>
      <c r="Q79" s="16"/>
      <c r="R79" s="775">
        <f ca="1">(K61*Discount_Rate-R59)/(R59+K61)</f>
      </c>
      <c r="S79" s="16"/>
      <c r="T79" s="16"/>
      <c r="U79" s="16"/>
      <c r="V79" s="16"/>
      <c r="W79" s="16"/>
      <c r="X79" s="16" t="s">
        <v>839</v>
      </c>
      <c r="Y79" s="16"/>
      <c r="Z79" s="16"/>
      <c r="AA79" s="16"/>
      <c r="AB79" s="774">
        <f ca="1">R61/AB59</f>
        <v>1e-12</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819</v>
      </c>
      <c r="D83" s="16"/>
      <c r="E83" s="16"/>
      <c r="F83" s="16"/>
      <c r="G83" s="42" t="s">
        <v>841</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842</v>
      </c>
      <c r="D84" s="16"/>
      <c r="E84" s="16"/>
      <c r="F84" s="16"/>
      <c r="G84" s="777">
        <f ca="1">Discount_Rate</f>
        <v>0.08911722232642302</v>
      </c>
      <c r="H84" s="16"/>
      <c r="I84" s="16" t="s">
        <v>843</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 ca="1">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805</v>
      </c>
      <c r="D86" s="16"/>
      <c r="E86" s="16"/>
      <c r="F86" s="16"/>
      <c r="G86" s="780">
        <v>0.02</v>
      </c>
      <c r="H86" s="16"/>
      <c r="I86" s="16" t="s">
        <v>844</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f ca="1">_xludf.IFS(Case_Scenario="Base",Valuation!J85,Case_Scenario="Bull",Valuation!J86,Case_Scenario="Bear",Valuation!J84)</f>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845</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846</v>
      </c>
      <c r="D92" s="16"/>
      <c r="E92" s="774">
        <f ca="1">J85</f>
        <v>13</v>
      </c>
      <c r="F92" s="667">
        <f ca="1">E92-H98</f>
        <v>1e-12</v>
      </c>
      <c r="G92" s="16"/>
      <c r="H92" s="16" t="s">
        <v>847</v>
      </c>
      <c r="I92" s="16"/>
      <c r="J92" s="781">
        <f ca="1">G86</f>
        <v>0.02</v>
      </c>
      <c r="K92" s="667">
        <f ca="1">J92-H106</f>
        <v>1e-12</v>
      </c>
      <c r="L92" s="16"/>
      <c r="M92" s="16" t="s">
        <v>848</v>
      </c>
      <c r="N92" s="16"/>
      <c r="O92" s="781">
        <f ca="1">G84</f>
        <v>0.08911722232642302</v>
      </c>
      <c r="P92" s="667">
        <f ca="1">O92-E101</f>
        <v>0.00024017932196848668</v>
      </c>
      <c r="Q92" s="16"/>
      <c r="R92" s="16"/>
      <c r="S92" s="16"/>
      <c r="T92" s="16"/>
      <c r="U92" s="16"/>
      <c r="V92" s="16"/>
      <c r="W92" s="16"/>
      <c r="X92" s="16"/>
      <c r="Y92" s="16"/>
      <c r="Z92" s="16"/>
      <c r="AA92" s="16"/>
      <c r="AB92" s="16"/>
    </row>
    <row r="93" ht="14.25" customHeight="1" spans="1:28" x14ac:dyDescent="0.25">
      <c r="A93" s="16"/>
      <c r="B93" s="16"/>
      <c r="C93" s="16" t="s">
        <v>849</v>
      </c>
      <c r="D93" s="16"/>
      <c r="E93" s="782">
        <v>1</v>
      </c>
      <c r="F93" s="16"/>
      <c r="G93" s="16"/>
      <c r="H93" s="16" t="s">
        <v>850</v>
      </c>
      <c r="I93" s="16"/>
      <c r="J93" s="783">
        <v>0.005</v>
      </c>
      <c r="K93" s="16"/>
      <c r="L93" s="16"/>
      <c r="M93" s="16" t="s">
        <v>851</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852</v>
      </c>
      <c r="E95" s="22"/>
      <c r="F95" s="22"/>
      <c r="G95" s="22"/>
      <c r="H95" s="22"/>
      <c r="I95" s="22"/>
      <c r="J95" s="7"/>
      <c r="K95" s="784"/>
      <c r="L95" s="63" t="s">
        <v>853</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 ca="1">K76</f>
        <v>-145.97690821854275</v>
      </c>
      <c r="F98" s="786">
        <f t="shared" ref="F98:G98" si="18" ca="1">G98-$E$93</f>
        <v>11</v>
      </c>
      <c r="G98" s="786">
        <f ca="1">H98-$E$93</f>
        <v>12</v>
      </c>
      <c r="H98" s="787">
        <v>13</v>
      </c>
      <c r="I98" s="786">
        <f t="shared" ref="I98:J98" si="19" ca="1">H98+$E$93</f>
        <v>14</v>
      </c>
      <c r="J98" s="786">
        <f ca="1">I98+$E$93</f>
        <v>15</v>
      </c>
      <c r="K98" s="16"/>
      <c r="L98" s="16"/>
      <c r="M98" s="788">
        <f ca="1">$H$73</f>
        <v>1e-12</v>
      </c>
      <c r="N98" s="786">
        <f t="shared" ref="N98:R98" si="20" ca="1">F98</f>
        <v>11</v>
      </c>
      <c r="O98" s="786">
        <f ca="1">G98</f>
        <v>12</v>
      </c>
      <c r="P98" s="786">
        <f ca="1">H98</f>
        <v>13</v>
      </c>
      <c r="Q98" s="786">
        <f ca="1">I98</f>
        <v>14</v>
      </c>
      <c r="R98" s="786">
        <f ca="1">J98</f>
        <v>15</v>
      </c>
      <c r="S98" s="16"/>
      <c r="T98" s="16"/>
      <c r="U98" s="16"/>
      <c r="V98" s="16"/>
      <c r="W98" s="16"/>
      <c r="X98" s="16"/>
      <c r="Y98" s="16"/>
      <c r="Z98" s="16"/>
      <c r="AA98" s="16"/>
      <c r="AB98" s="16"/>
    </row>
    <row r="99" ht="14.25" customHeight="1" spans="1:28" x14ac:dyDescent="0.25">
      <c r="A99" s="16"/>
      <c r="B99" s="16"/>
      <c r="C99" s="16"/>
      <c r="D99" s="673" t="s">
        <v>47</v>
      </c>
      <c r="E99" s="789">
        <f t="shared" ref="E99:E100" si="21" ca="1">E100-$O$93</f>
        <v>0.07887704300445453</v>
      </c>
      <c r="F99" s="790">
        <v>236.33583068885625</v>
      </c>
      <c r="G99" s="791">
        <v>255.2234023405651</v>
      </c>
      <c r="H99" s="791">
        <v>274.110973992274</v>
      </c>
      <c r="I99" s="791">
        <v>292.9985456439829</v>
      </c>
      <c r="J99" s="792">
        <v>311.8861172956918</v>
      </c>
      <c r="K99" s="16"/>
      <c r="L99" s="673" t="s">
        <v>47</v>
      </c>
      <c r="M99" s="789">
        <f t="shared" ref="M99:M103" si="22" ca="1">E99</f>
        <v>0.07887704300445453</v>
      </c>
      <c r="N99" s="793">
        <f t="shared" ref="N99:R103" si="23" ca="1">F99/Share_Price-1</f>
        <v>0.013533882360649452</v>
      </c>
      <c r="O99" s="661">
        <f ca="1">G99/Share_Price-1</f>
        <v>0.09453384655873176</v>
      </c>
      <c r="P99" s="661">
        <f ca="1">H99/Share_Price-1</f>
        <v>0.1755338107568145</v>
      </c>
      <c r="Q99" s="661">
        <f ca="1">I99/Share_Price-1</f>
        <v>0.25653377495489704</v>
      </c>
      <c r="R99" s="794">
        <f ca="1">J99/Share_Price-1</f>
        <v>0.3375337391529796</v>
      </c>
      <c r="S99" s="16"/>
      <c r="T99" s="16"/>
      <c r="U99" s="16"/>
      <c r="V99" s="16"/>
      <c r="W99" s="16"/>
      <c r="X99" s="16"/>
      <c r="Y99" s="16"/>
      <c r="Z99" s="16"/>
      <c r="AA99" s="16"/>
      <c r="AB99" s="16"/>
    </row>
    <row r="100" ht="14.25" customHeight="1" spans="1:28" x14ac:dyDescent="0.25">
      <c r="A100" s="16"/>
      <c r="B100" s="16"/>
      <c r="C100" s="16"/>
      <c r="D100" s="678"/>
      <c r="E100" s="789">
        <f ca="1">E101-$O$93</f>
        <v>0.08387704300445453</v>
      </c>
      <c r="F100" s="795">
        <v>232.22019290427394</v>
      </c>
      <c r="G100" s="796">
        <v>250.7826183405888</v>
      </c>
      <c r="H100" s="796">
        <v>269.34504377690365</v>
      </c>
      <c r="I100" s="796">
        <v>287.9074692132185</v>
      </c>
      <c r="J100" s="797">
        <v>306.46989464953344</v>
      </c>
      <c r="K100" s="16"/>
      <c r="L100" s="678"/>
      <c r="M100" s="789">
        <f ca="1">E100</f>
        <v>0.08387704300445453</v>
      </c>
      <c r="N100" s="798">
        <f ca="1">F100/Share_Price-1</f>
        <v>-0.004116163889381852</v>
      </c>
      <c r="O100" s="552">
        <f ca="1">G100/Share_Price-1</f>
        <v>0.07548940020837458</v>
      </c>
      <c r="P100" s="552">
        <f ca="1">H100/Share_Price-1</f>
        <v>0.155094964306131</v>
      </c>
      <c r="Q100" s="552">
        <f ca="1">I100/Share_Price-1</f>
        <v>0.23470052840388766</v>
      </c>
      <c r="R100" s="674">
        <f ca="1">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 ca="1">E101</f>
        <v>0.08887704300445454</v>
      </c>
      <c r="N101" s="798">
        <f ca="1">F101/Share_Price-1</f>
        <v>-0.02139362490836383</v>
      </c>
      <c r="O101" s="552">
        <f ca="1">G101/Share_Price-1</f>
        <v>0.056847796293074904</v>
      </c>
      <c r="P101" s="552">
        <f ca="1">H101/Share_Price-1</f>
        <v>0.1350892174945133</v>
      </c>
      <c r="Q101" s="552">
        <f ca="1">I101/Share_Price-1</f>
        <v>0.21333063869595192</v>
      </c>
      <c r="R101" s="674">
        <f ca="1">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 ca="1">E101+$O$93</f>
        <v>0.09387704300445454</v>
      </c>
      <c r="F102" s="795">
        <v>224.2473151724749</v>
      </c>
      <c r="G102" s="796">
        <v>242.1804298569011</v>
      </c>
      <c r="H102" s="796">
        <v>260.11354454132726</v>
      </c>
      <c r="I102" s="796">
        <v>278.04665922575344</v>
      </c>
      <c r="J102" s="797">
        <v>295.97977391017963</v>
      </c>
      <c r="K102" s="16"/>
      <c r="L102" s="678"/>
      <c r="M102" s="789">
        <f ca="1">E102</f>
        <v>0.09387704300445454</v>
      </c>
      <c r="N102" s="798">
        <f ca="1">F102/Share_Price-1</f>
        <v>-0.03830810887522551</v>
      </c>
      <c r="O102" s="552">
        <f ca="1">G102/Share_Price-1</f>
        <v>0.03859863563299215</v>
      </c>
      <c r="P102" s="552">
        <f ca="1">H102/Share_Price-1</f>
        <v>0.11550538014120959</v>
      </c>
      <c r="Q102" s="552">
        <f ca="1">I102/Share_Price-1</f>
        <v>0.19241212464942725</v>
      </c>
      <c r="R102" s="674">
        <f ca="1">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 ca="1">E102+$O$93</f>
        <v>0.09887704300445455</v>
      </c>
      <c r="F103" s="801">
        <v>220.38566223253238</v>
      </c>
      <c r="G103" s="802">
        <v>238.0142491233211</v>
      </c>
      <c r="H103" s="802">
        <v>255.64283601410978</v>
      </c>
      <c r="I103" s="802">
        <v>273.2714229048985</v>
      </c>
      <c r="J103" s="803">
        <v>290.90000979568714</v>
      </c>
      <c r="K103" s="16"/>
      <c r="L103" s="683"/>
      <c r="M103" s="789">
        <f ca="1">E103</f>
        <v>0.09887704300445455</v>
      </c>
      <c r="N103" s="804">
        <f ca="1">F103/Share_Price-1</f>
        <v>-0.054868932873606724</v>
      </c>
      <c r="O103" s="670">
        <f ca="1">G103/Share_Price-1</f>
        <v>0.020731834305348196</v>
      </c>
      <c r="P103" s="670">
        <f ca="1">H103/Share_Price-1</f>
        <v>0.0963326014843029</v>
      </c>
      <c r="Q103" s="670">
        <f ca="1">I103/Share_Price-1</f>
        <v>0.1719333686632578</v>
      </c>
      <c r="R103" s="805">
        <f ca="1">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854</v>
      </c>
      <c r="G105" s="668"/>
      <c r="H105" s="668"/>
      <c r="I105" s="668"/>
      <c r="J105" s="668"/>
      <c r="K105" s="16"/>
      <c r="L105" s="590"/>
      <c r="M105" s="592"/>
      <c r="N105" s="592" t="s">
        <v>854</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 ca="1">$R$76</f>
        <v>-58.94387974895125</v>
      </c>
      <c r="F106" s="670">
        <f t="shared" ref="F106:G106" si="25" ca="1">G106-$J$93</f>
        <v>0.009999999999999998</v>
      </c>
      <c r="G106" s="670">
        <f ca="1">H106-$J$93</f>
        <v>0.015</v>
      </c>
      <c r="H106" s="806">
        <v>0.02</v>
      </c>
      <c r="I106" s="670">
        <f t="shared" ref="I106:J106" si="26" ca="1">H106+$J$93</f>
        <v>0.025</v>
      </c>
      <c r="J106" s="670">
        <f ca="1">I106+$J$93</f>
        <v>0.030000000000000002</v>
      </c>
      <c r="K106" s="16"/>
      <c r="L106" s="16"/>
      <c r="M106" s="788">
        <f ca="1">$O$73</f>
        <v>1e-12</v>
      </c>
      <c r="N106" s="670">
        <f t="shared" ref="N106:R106" si="27" ca="1">F106</f>
        <v>0.009999999999999998</v>
      </c>
      <c r="O106" s="670">
        <f ca="1">G106</f>
        <v>0.015</v>
      </c>
      <c r="P106" s="670">
        <f ca="1">H106</f>
        <v>0.02</v>
      </c>
      <c r="Q106" s="670">
        <f ca="1">I106</f>
        <v>0.025</v>
      </c>
      <c r="R106" s="670">
        <f ca="1">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 ca="1">E99</f>
        <v>0.07887704300445453</v>
      </c>
      <c r="F107" s="790">
        <v>186.95744698844035</v>
      </c>
      <c r="G107" s="791">
        <v>198.5140915183207</v>
      </c>
      <c r="H107" s="800">
        <v>211.74860199972466</v>
      </c>
      <c r="I107" s="791">
        <v>227.05498523210753</v>
      </c>
      <c r="J107" s="792">
        <v>244.96108856782928</v>
      </c>
      <c r="K107" s="16"/>
      <c r="L107" s="673" t="s">
        <v>47</v>
      </c>
      <c r="M107" s="789">
        <f t="shared" ref="M107:M111" si="29" ca="1">E107</f>
        <v>0.07887704300445453</v>
      </c>
      <c r="N107" s="793">
        <f t="shared" ref="N107:R111" si="30" ca="1">F107/Share_Price-1</f>
        <v>-0.19822691916785162</v>
      </c>
      <c r="O107" s="661">
        <f ca="1">G107/Share_Price-1</f>
        <v>-0.14866587392434727</v>
      </c>
      <c r="P107" s="661">
        <f ca="1">H107/Share_Price-1</f>
        <v>-0.09190924607717366</v>
      </c>
      <c r="Q107" s="661">
        <f ca="1">I107/Share_Price-1</f>
        <v>-0.026267324675754655</v>
      </c>
      <c r="R107" s="794">
        <f ca="1">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 ca="1">E100</f>
        <v>0.08387704300445453</v>
      </c>
      <c r="F108" s="795">
        <v>183.6918493719922</v>
      </c>
      <c r="G108" s="796">
        <v>195.04954830416227</v>
      </c>
      <c r="H108" s="796">
        <v>208.0562290213714</v>
      </c>
      <c r="I108" s="796">
        <v>223.09911556550063</v>
      </c>
      <c r="J108" s="797">
        <v>240.69696848981826</v>
      </c>
      <c r="K108" s="16"/>
      <c r="L108" s="678"/>
      <c r="M108" s="789">
        <f ca="1">E108</f>
        <v>0.08387704300445453</v>
      </c>
      <c r="N108" s="798">
        <f ca="1">F108/Share_Price-1</f>
        <v>-0.2122315405609736</v>
      </c>
      <c r="O108" s="552">
        <f ca="1">G108/Share_Price-1</f>
        <v>-0.16352367997185746</v>
      </c>
      <c r="P108" s="552">
        <f ca="1">H108/Share_Price-1</f>
        <v>-0.10774410746474228</v>
      </c>
      <c r="Q108" s="552">
        <f ca="1">I108/Share_Price-1</f>
        <v>-0.04323220016510587</v>
      </c>
      <c r="R108" s="674">
        <f ca="1">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 ca="1">E109</f>
        <v>0.08887704300445454</v>
      </c>
      <c r="N109" s="798">
        <f ca="1">F109/Share_Price-1</f>
        <v>-0.22594267910088295</v>
      </c>
      <c r="O109" s="552">
        <f ca="1">G109/Share_Price-1</f>
        <v>-0.17806948984122173</v>
      </c>
      <c r="P109" s="552">
        <f ca="1">H109/Share_Price-1</f>
        <v>-0.12324577146889781</v>
      </c>
      <c r="Q109" s="552">
        <f ca="1">I109/Share_Price-1</f>
        <v>-0.05983935800085671</v>
      </c>
      <c r="R109" s="674">
        <f ca="1">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 ca="1">E102</f>
        <v>0.09387704300445454</v>
      </c>
      <c r="F110" s="795">
        <v>177.36419890109127</v>
      </c>
      <c r="G110" s="796">
        <v>188.33684459335734</v>
      </c>
      <c r="H110" s="796">
        <v>200.90256763238992</v>
      </c>
      <c r="I110" s="796">
        <v>215.43546423613432</v>
      </c>
      <c r="J110" s="797">
        <v>232.43670773064315</v>
      </c>
      <c r="K110" s="16"/>
      <c r="L110" s="678"/>
      <c r="M110" s="789">
        <f ca="1">E110</f>
        <v>0.09387704300445454</v>
      </c>
      <c r="N110" s="798">
        <f ca="1">F110/Share_Price-1</f>
        <v>-0.23936787502748402</v>
      </c>
      <c r="O110" s="552">
        <f ca="1">G110/Share_Price-1</f>
        <v>-0.1923113277581382</v>
      </c>
      <c r="P110" s="552">
        <f ca="1">H110/Share_Price-1</f>
        <v>-0.1384228165692173</v>
      </c>
      <c r="Q110" s="552">
        <f ca="1">I110/Share_Price-1</f>
        <v>-0.07609801768533186</v>
      </c>
      <c r="R110" s="674">
        <f ca="1">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 ca="1">E103</f>
        <v>0.09887704300445455</v>
      </c>
      <c r="F111" s="801">
        <v>174.2986827286993</v>
      </c>
      <c r="G111" s="802">
        <v>185.0849985144303</v>
      </c>
      <c r="H111" s="802">
        <v>197.43733910541226</v>
      </c>
      <c r="I111" s="802">
        <v>211.7234480754534</v>
      </c>
      <c r="J111" s="803">
        <v>228.4359881706039</v>
      </c>
      <c r="K111" s="16"/>
      <c r="L111" s="683"/>
      <c r="M111" s="789">
        <f ca="1">E111</f>
        <v>0.09887704300445455</v>
      </c>
      <c r="N111" s="804">
        <f ca="1">F111/Share_Price-1</f>
        <v>-0.2525144406522888</v>
      </c>
      <c r="O111" s="670">
        <f ca="1">G111/Share_Price-1</f>
        <v>-0.20625697523616815</v>
      </c>
      <c r="P111" s="670">
        <f ca="1">H111/Share_Price-1</f>
        <v>-0.15328356160300083</v>
      </c>
      <c r="Q111" s="670">
        <f ca="1">I111/Share_Price-1</f>
        <v>-0.09201711949801272</v>
      </c>
      <c r="R111" s="805">
        <f ca="1">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855</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856</v>
      </c>
      <c r="E116" s="22"/>
      <c r="F116" s="7"/>
      <c r="G116" s="16"/>
      <c r="H116" s="92" t="s">
        <v>857</v>
      </c>
      <c r="I116" s="22"/>
      <c r="J116" s="7"/>
      <c r="K116" s="16"/>
      <c r="L116" s="92" t="s">
        <v>140</v>
      </c>
      <c r="M116" s="22"/>
      <c r="N116" s="7"/>
      <c r="O116" s="189"/>
      <c r="P116" s="92" t="s">
        <v>858</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859</v>
      </c>
      <c r="E118" s="16"/>
      <c r="F118" s="808">
        <f ca="1">$D$11</f>
        <v>18.6398</v>
      </c>
      <c r="G118" s="16"/>
      <c r="H118" s="188" t="s">
        <v>860</v>
      </c>
      <c r="I118" s="16"/>
      <c r="J118" s="808">
        <f ca="1">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859</v>
      </c>
      <c r="M118" s="16"/>
      <c r="N118" s="808">
        <f ca="1">$D$12</f>
        <v>12.4849</v>
      </c>
      <c r="O118" s="189"/>
      <c r="P118" s="188" t="s">
        <v>860</v>
      </c>
      <c r="Q118" s="16"/>
      <c r="R118" s="808">
        <f ca="1">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861</v>
      </c>
      <c r="E119" s="16"/>
      <c r="F119" s="808">
        <f ca="1">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862</v>
      </c>
      <c r="I119" s="16"/>
      <c r="J119" s="808">
        <f ca="1">IF(G143="1 Year",J144,IF(G143="2 Year",J145,IF(G143="3 Year",J146,IF(G143="5 Year",J147,"N/A"))))</f>
        <v>21.62764142857142</v>
      </c>
      <c r="K119" s="16"/>
      <c r="L119" s="188" t="s">
        <v>861</v>
      </c>
      <c r="M119" s="16"/>
      <c r="N119" s="808">
        <f ca="1">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862</v>
      </c>
      <c r="Q119" s="16"/>
      <c r="R119" s="808">
        <f ca="1">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863</v>
      </c>
      <c r="E120" s="303"/>
      <c r="F120" s="809">
        <f ca="1">F118/F119-1</f>
        <v>-0.0063380139569576555</v>
      </c>
      <c r="G120" s="16"/>
      <c r="H120" s="307" t="s">
        <v>864</v>
      </c>
      <c r="I120" s="303"/>
      <c r="J120" s="810">
        <f ca="1">J118/J119-1</f>
        <v>-0.13265193899684824</v>
      </c>
      <c r="K120" s="16"/>
      <c r="L120" s="307" t="s">
        <v>863</v>
      </c>
      <c r="M120" s="303"/>
      <c r="N120" s="809">
        <f ca="1">N118/N119-1</f>
        <v>0.003621426303372033</v>
      </c>
      <c r="O120" s="189"/>
      <c r="P120" s="188" t="s">
        <v>864</v>
      </c>
      <c r="Q120" s="16"/>
      <c r="R120" s="810">
        <f ca="1">R118/R119-1</f>
        <v>-0.1613903829732074</v>
      </c>
      <c r="S120" s="16"/>
      <c r="T120" s="16"/>
      <c r="U120" s="16"/>
      <c r="V120" s="16"/>
      <c r="W120" s="16"/>
      <c r="X120" s="16"/>
      <c r="Y120" s="16"/>
      <c r="Z120" s="16"/>
      <c r="AA120" s="16"/>
      <c r="AB120" s="16"/>
    </row>
    <row r="121" ht="13.5" customHeight="1" spans="1:28" x14ac:dyDescent="0.25">
      <c r="A121" s="16"/>
      <c r="B121" s="16"/>
      <c r="C121" s="16"/>
      <c r="D121" s="307" t="s">
        <v>865</v>
      </c>
      <c r="E121" s="303"/>
      <c r="F121" s="811">
        <v>0</v>
      </c>
      <c r="G121" s="16"/>
      <c r="H121" s="188" t="s">
        <v>866</v>
      </c>
      <c r="I121" s="16"/>
      <c r="J121" s="808">
        <f ca="1">IF($G$145=$K$220,$E$11,IF($G$145=$M$220,$E$16,IF($G$145=$O$220,$E$21,"N/A")))</f>
        <v>22.233219999999996</v>
      </c>
      <c r="K121" s="16"/>
      <c r="L121" s="307" t="s">
        <v>865</v>
      </c>
      <c r="M121" s="303"/>
      <c r="N121" s="811">
        <v>0</v>
      </c>
      <c r="O121" s="189"/>
      <c r="P121" s="188" t="s">
        <v>866</v>
      </c>
      <c r="Q121" s="16"/>
      <c r="R121" s="808">
        <f ca="1">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867</v>
      </c>
      <c r="E123" s="16"/>
      <c r="F123" s="808">
        <f ca="1">F119*(1+F121)</f>
        <v>18.758692857142854</v>
      </c>
      <c r="G123" s="16"/>
      <c r="H123" s="188" t="s">
        <v>867</v>
      </c>
      <c r="I123" s="16"/>
      <c r="J123" s="808">
        <f ca="1">J121*(1+J120)</f>
        <v>19.28394025685649</v>
      </c>
      <c r="K123" s="16"/>
      <c r="L123" s="188" t="s">
        <v>867</v>
      </c>
      <c r="M123" s="16"/>
      <c r="N123" s="808">
        <f ca="1">N119*(1+N121)</f>
        <v>12.439849999999998</v>
      </c>
      <c r="O123" s="189"/>
      <c r="P123" s="188" t="s">
        <v>867</v>
      </c>
      <c r="Q123" s="16"/>
      <c r="R123" s="808">
        <f ca="1">R121*(1+R120)</f>
        <v>13.012839604943464</v>
      </c>
      <c r="S123" s="16"/>
      <c r="T123" s="16"/>
      <c r="U123" s="16"/>
      <c r="V123" s="16"/>
      <c r="W123" s="16"/>
      <c r="X123" s="16"/>
      <c r="Y123" s="16"/>
      <c r="Z123" s="16"/>
      <c r="AA123" s="16"/>
      <c r="AB123" s="16"/>
    </row>
    <row r="124" ht="13.5" customHeight="1" spans="1:28" x14ac:dyDescent="0.25">
      <c r="A124" s="16"/>
      <c r="B124" s="16"/>
      <c r="C124" s="16"/>
      <c r="D124" s="188" t="s">
        <v>868</v>
      </c>
      <c r="E124" s="16"/>
      <c r="F124" s="812">
        <f ca="1">NTM_EPS</f>
      </c>
      <c r="G124" s="16"/>
      <c r="H124" s="188" t="s">
        <v>868</v>
      </c>
      <c r="I124" s="16"/>
      <c r="J124" s="812">
        <f ca="1">F124</f>
        <v>1e-12</v>
      </c>
      <c r="K124" s="16"/>
      <c r="L124" s="813" t="s">
        <v>869</v>
      </c>
      <c r="M124" s="16"/>
      <c r="N124" s="814">
        <f ca="1">NTM_EBITDA</f>
      </c>
      <c r="O124" s="189"/>
      <c r="P124" s="188" t="s">
        <v>869</v>
      </c>
      <c r="Q124" s="16"/>
      <c r="R124" s="814">
        <f ca="1">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870</v>
      </c>
      <c r="M125" s="16"/>
      <c r="N125" s="814">
        <f ca="1">N123*N124</f>
        <v>1e-12</v>
      </c>
      <c r="O125" s="189"/>
      <c r="P125" s="188" t="s">
        <v>870</v>
      </c>
      <c r="Q125" s="16"/>
      <c r="R125" s="814">
        <f ca="1">R123*R124</f>
        <v>1e-12</v>
      </c>
      <c r="S125" s="16"/>
      <c r="T125" s="16"/>
      <c r="U125" s="16"/>
      <c r="V125" s="16"/>
      <c r="W125" s="16"/>
      <c r="X125" s="16"/>
      <c r="Y125" s="16"/>
      <c r="Z125" s="16"/>
      <c r="AA125" s="16"/>
      <c r="AB125" s="16"/>
    </row>
    <row r="126" ht="13.5" customHeight="1" spans="1:28" x14ac:dyDescent="0.25">
      <c r="A126" s="16"/>
      <c r="B126" s="16"/>
      <c r="C126" s="16"/>
      <c r="D126" s="188" t="s">
        <v>871</v>
      </c>
      <c r="E126" s="16"/>
      <c r="F126" s="814">
        <f ca="1">F123*F124</f>
        <v>1e-12</v>
      </c>
      <c r="G126" s="16"/>
      <c r="H126" s="188" t="s">
        <v>871</v>
      </c>
      <c r="I126" s="16"/>
      <c r="J126" s="814">
        <f ca="1">J123*J124</f>
        <v>1e-12</v>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872</v>
      </c>
      <c r="E127" s="131"/>
      <c r="F127" s="773">
        <f ca="1">F126/Share_Price-1</f>
      </c>
      <c r="G127" s="16"/>
      <c r="H127" s="311" t="s">
        <v>872</v>
      </c>
      <c r="I127" s="131"/>
      <c r="J127" s="773">
        <f ca="1">J126/Share_Price-1</f>
      </c>
      <c r="K127" s="16"/>
      <c r="L127" s="188" t="s">
        <v>873</v>
      </c>
      <c r="M127" s="16"/>
      <c r="N127" s="816">
        <f t="shared" ref="N127:N132" si="32" ca="1">K66</f>
        <v>6255</v>
      </c>
      <c r="O127" s="189"/>
      <c r="P127" s="188" t="s">
        <v>873</v>
      </c>
      <c r="Q127" s="16"/>
      <c r="R127" s="765">
        <f t="shared" ref="R127:R132" si="33" ca="1">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874</v>
      </c>
      <c r="M128" s="16"/>
      <c r="N128" s="816">
        <f ca="1">K67</f>
        <v>1e-12</v>
      </c>
      <c r="O128" s="189"/>
      <c r="P128" s="188" t="s">
        <v>874</v>
      </c>
      <c r="Q128" s="16"/>
      <c r="R128" s="765">
        <f ca="1">N128</f>
        <v>1e-12</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875</v>
      </c>
      <c r="M129" s="16"/>
      <c r="N129" s="816">
        <f ca="1">K68</f>
        <v>-23311</v>
      </c>
      <c r="O129" s="189"/>
      <c r="P129" s="188" t="s">
        <v>875</v>
      </c>
      <c r="Q129" s="16"/>
      <c r="R129" s="765">
        <f ca="1">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876</v>
      </c>
      <c r="M130" s="16"/>
      <c r="N130" s="816">
        <f ca="1">K69</f>
        <v>1e-12</v>
      </c>
      <c r="O130" s="189"/>
      <c r="P130" s="188" t="s">
        <v>876</v>
      </c>
      <c r="Q130" s="16"/>
      <c r="R130" s="765">
        <f ca="1">N130</f>
        <v>1e-12</v>
      </c>
      <c r="S130" s="16"/>
      <c r="T130" s="16"/>
      <c r="U130" s="16"/>
      <c r="V130" s="16"/>
      <c r="W130" s="16"/>
      <c r="X130" s="16"/>
      <c r="Y130" s="16"/>
      <c r="Z130" s="16"/>
      <c r="AA130" s="16"/>
      <c r="AB130" s="16"/>
    </row>
    <row r="131" ht="13.5" customHeight="1" spans="1:28" x14ac:dyDescent="0.25">
      <c r="A131" s="16"/>
      <c r="B131" s="16"/>
      <c r="C131" s="16"/>
      <c r="D131" s="190" t="s">
        <v>868</v>
      </c>
      <c r="E131" s="132"/>
      <c r="F131" s="817">
        <f ca="1">IF(Last_FQR="3Q",SUM(Model!X56,Model!Z56:AB56),IF(Last_FQR="2Q",SUM(Model!W56:X56,Model!Z56:AA56),IF(Last_FQR="1Q",SUM(Model!V56:X56,Model!Z56),IF(Last_FQR="4Q",SUM(Model!U56:X56),"Error"))))</f>
      </c>
      <c r="G131" s="16"/>
      <c r="H131" s="16"/>
      <c r="I131" s="16"/>
      <c r="J131" s="16"/>
      <c r="K131" s="16"/>
      <c r="L131" s="188" t="s">
        <v>877</v>
      </c>
      <c r="M131" s="16"/>
      <c r="N131" s="816">
        <f ca="1">K70</f>
        <v>1e-12</v>
      </c>
      <c r="O131" s="189"/>
      <c r="P131" s="188" t="s">
        <v>877</v>
      </c>
      <c r="Q131" s="16"/>
      <c r="R131" s="765">
        <f ca="1">N131</f>
        <v>1e-12</v>
      </c>
      <c r="S131" s="16"/>
      <c r="T131" s="16"/>
      <c r="U131" s="16"/>
      <c r="V131" s="16"/>
      <c r="W131" s="16"/>
      <c r="X131" s="16"/>
      <c r="Y131" s="16"/>
      <c r="Z131" s="16"/>
      <c r="AA131" s="16"/>
      <c r="AB131" s="16"/>
    </row>
    <row r="132" ht="13.5" customHeight="1" spans="1:28" x14ac:dyDescent="0.25">
      <c r="A132" s="16"/>
      <c r="B132" s="16"/>
      <c r="C132" s="16"/>
      <c r="D132" s="192" t="s">
        <v>869</v>
      </c>
      <c r="E132" s="131"/>
      <c r="F132" s="818">
        <f ca="1">IF(Last_FQR="3Q",SUM(Model!X61,Model!Z61:AB61),IF(Last_FQR="2Q",SUM(Model!W61:X61,Model!Z61:AA61),IF(Last_FQR="1Q",SUM(Model!V61:X61,Model!Z61),IF(Last_FQR="4Q",SUM(Model!U61:X61),"Error"))))</f>
      </c>
      <c r="G132" s="16"/>
      <c r="H132" s="16"/>
      <c r="I132" s="16"/>
      <c r="J132" s="16"/>
      <c r="K132" s="16"/>
      <c r="L132" s="188" t="s">
        <v>878</v>
      </c>
      <c r="M132" s="131"/>
      <c r="N132" s="819">
        <f ca="1">K71</f>
        <v>1e-12</v>
      </c>
      <c r="O132" s="189"/>
      <c r="P132" s="192" t="s">
        <v>878</v>
      </c>
      <c r="Q132" s="131"/>
      <c r="R132" s="819">
        <f ca="1">N132</f>
        <v>1e-12</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879</v>
      </c>
      <c r="M134" s="16"/>
      <c r="N134" s="814">
        <f ca="1">SUM(N125:N132)</f>
        <v>-17056</v>
      </c>
      <c r="O134" s="189"/>
      <c r="P134" s="188" t="s">
        <v>879</v>
      </c>
      <c r="Q134" s="16"/>
      <c r="R134" s="814">
        <f ca="1">SUM(R125:R132)</f>
        <v>-17056</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 ca="1">Diluted_Shares</f>
        <v>707</v>
      </c>
      <c r="O135" s="189"/>
      <c r="P135" s="188" t="s">
        <v>414</v>
      </c>
      <c r="Q135" s="16"/>
      <c r="R135" s="814">
        <f ca="1">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871</v>
      </c>
      <c r="M137" s="16"/>
      <c r="N137" s="814">
        <f ca="1">N134/N135</f>
        <v>-24.124469589816126</v>
      </c>
      <c r="O137" s="189"/>
      <c r="P137" s="188" t="s">
        <v>871</v>
      </c>
      <c r="Q137" s="16"/>
      <c r="R137" s="814">
        <f ca="1">R134/R135</f>
        <v>-24.124469589816126</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872</v>
      </c>
      <c r="M138" s="131"/>
      <c r="N138" s="773">
        <f ca="1">N137/Share_Price-1</f>
      </c>
      <c r="O138" s="189"/>
      <c r="P138" s="311" t="s">
        <v>872</v>
      </c>
      <c r="Q138" s="131"/>
      <c r="R138" s="773">
        <f ca="1">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880</v>
      </c>
      <c r="D142" s="16"/>
      <c r="E142" s="16"/>
      <c r="F142" s="16"/>
      <c r="G142" s="42" t="s">
        <v>881</v>
      </c>
      <c r="H142" s="16"/>
      <c r="I142" s="16"/>
      <c r="J142" s="111" t="s">
        <v>882</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883</v>
      </c>
      <c r="D143" s="16"/>
      <c r="E143" s="16"/>
      <c r="F143" s="16"/>
      <c r="G143" s="42" t="s">
        <v>881</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810</v>
      </c>
      <c r="D144" s="16"/>
      <c r="E144" s="16"/>
      <c r="F144" s="16"/>
      <c r="G144" s="42" t="s">
        <v>811</v>
      </c>
      <c r="H144" s="47" t="b">
        <f ca="1">G144=$D$24</f>
        <v>1</v>
      </c>
      <c r="I144" s="84" t="s">
        <v>884</v>
      </c>
      <c r="J144" s="724">
        <f ca="1">IF($G$145=$C$9,IF($G$144="LTM",'Multiples Data'!E31,IF($G$144="NTM",'Multiples Data'!F31,"N/A")),IF($G$145=Valuation!$C$14,IF(Valuation!$G$144="LTM",'Multiples Data'!E53,IF(Valuation!$G$144="NTM",'Multiples Data'!F53,"N/A")),IF($G$145=Valuation!$C$19,IF(Valuation!$G$144="LTM",'Multiples Data'!E75,IF($G$144="NTM",'Multiples Data'!F75,"N/A")))))</f>
        <v>23.23926666666667</v>
      </c>
      <c r="K144" s="724">
        <f ca="1">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885</v>
      </c>
      <c r="D145" s="16"/>
      <c r="E145" s="16"/>
      <c r="F145" s="16"/>
      <c r="G145" s="42" t="s">
        <v>556</v>
      </c>
      <c r="H145" s="16"/>
      <c r="I145" s="84" t="s">
        <v>886</v>
      </c>
      <c r="J145" s="724">
        <f ca="1">IF($G$145=$C$9,IF($G$144="LTM",'Multiples Data'!E32,IF($G$144="NTM",'Multiples Data'!F32,"N/A")),IF($G$145=Valuation!$C$14,IF(Valuation!$G$144="LTM",'Multiples Data'!E54,IF(Valuation!$G$144="NTM",'Multiples Data'!F54,"N/A")),IF($G$145=Valuation!$C$19,IF(Valuation!$G$144="LTM",'Multiples Data'!E76,IF($G$144="NTM",'Multiples Data'!F76,"N/A")))))</f>
        <v>22.402899999999995</v>
      </c>
      <c r="K145" s="724">
        <f ca="1">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881</v>
      </c>
      <c r="J146" s="724">
        <f ca="1">IF($G$145=$C$9,IF($G$144="LTM",'Multiples Data'!E33,IF($G$144="NTM",'Multiples Data'!F33,"N/A")),IF($G$145=Valuation!$C$14,IF(Valuation!$G$144="LTM",'Multiples Data'!E55,IF(Valuation!$G$144="NTM",'Multiples Data'!F55,"N/A")),IF($G$145=Valuation!$C$19,IF(Valuation!$G$144="LTM",'Multiples Data'!E77,IF($G$144="NTM",'Multiples Data'!F77,"N/A")))))</f>
        <v>21.62764142857142</v>
      </c>
      <c r="K146" s="724">
        <f ca="1">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887</v>
      </c>
      <c r="J147" s="724">
        <f ca="1">IF($G$145=$C$9,IF($G$144="LTM",'Multiples Data'!E34,IF($G$144="NTM",'Multiples Data'!F34,"N/A")),IF($G$145=Valuation!$C$14,IF(Valuation!$G$144="LTM",'Multiples Data'!E56,IF(Valuation!$G$144="NTM",'Multiples Data'!F56,"N/A")),IF($G$145=Valuation!$C$19,IF(Valuation!$G$144="LTM",'Multiples Data'!E78,IF($G$144="NTM",'Multiples Data'!F78,"N/A")))))</f>
        <v>21.50007</v>
      </c>
      <c r="K147" s="724">
        <f ca="1">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845</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888</v>
      </c>
      <c r="D151" s="16"/>
      <c r="E151" s="774">
        <f ca="1">$F$123</f>
        <v>18.758692857142854</v>
      </c>
      <c r="F151" s="667">
        <f ca="1">E151-H161</f>
        <v>1e-12</v>
      </c>
      <c r="G151" s="16"/>
      <c r="H151" s="16" t="s">
        <v>889</v>
      </c>
      <c r="I151" s="16"/>
      <c r="J151" s="16"/>
      <c r="K151" s="774">
        <f ca="1">N123</f>
        <v>12.439849999999998</v>
      </c>
      <c r="L151" s="667">
        <f ca="1">K151-H177</f>
        <v>1e-12</v>
      </c>
      <c r="M151" s="16"/>
      <c r="N151" s="5" t="s">
        <v>868</v>
      </c>
      <c r="O151" s="16"/>
      <c r="P151" s="16"/>
      <c r="Q151" s="820">
        <f ca="1">F124</f>
        <v>1e-12</v>
      </c>
      <c r="R151" s="821">
        <f ca="1">Q151-E164</f>
        <v>-14.671278268928386</v>
      </c>
      <c r="S151" s="16"/>
      <c r="T151" s="16"/>
      <c r="U151" s="16"/>
      <c r="V151" s="16"/>
      <c r="W151" s="16"/>
      <c r="X151" s="16"/>
      <c r="Y151" s="16"/>
      <c r="Z151" s="16"/>
      <c r="AA151" s="16"/>
      <c r="AB151" s="16"/>
    </row>
    <row r="152" ht="14.25" customHeight="1" spans="1:28" x14ac:dyDescent="0.25">
      <c r="A152" s="16"/>
      <c r="B152" s="16"/>
      <c r="C152" s="16" t="s">
        <v>849</v>
      </c>
      <c r="D152" s="16"/>
      <c r="E152" s="782">
        <v>1</v>
      </c>
      <c r="F152" s="16"/>
      <c r="G152" s="16"/>
      <c r="H152" s="16" t="s">
        <v>849</v>
      </c>
      <c r="I152" s="16"/>
      <c r="J152" s="16"/>
      <c r="K152" s="782">
        <v>1</v>
      </c>
      <c r="L152" s="822"/>
      <c r="M152" s="16"/>
      <c r="N152" s="491" t="s">
        <v>890</v>
      </c>
      <c r="O152" s="16"/>
      <c r="P152" s="16"/>
      <c r="Q152" s="16"/>
      <c r="R152" s="821">
        <f ca="1">Q151-E172</f>
        <v>-14.671278268928386</v>
      </c>
      <c r="S152" s="16"/>
      <c r="T152" s="16"/>
      <c r="U152" s="16"/>
      <c r="V152" s="16"/>
      <c r="W152" s="16"/>
      <c r="X152" s="16"/>
      <c r="Y152" s="16"/>
      <c r="Z152" s="16"/>
      <c r="AA152" s="16"/>
      <c r="AB152" s="16"/>
    </row>
    <row r="153" ht="14.25" customHeight="1" spans="1:28" x14ac:dyDescent="0.25">
      <c r="A153" s="16"/>
      <c r="B153" s="16"/>
      <c r="C153" s="16" t="s">
        <v>891</v>
      </c>
      <c r="D153" s="16"/>
      <c r="E153" s="783">
        <v>0.1</v>
      </c>
      <c r="F153" s="16"/>
      <c r="G153" s="16"/>
      <c r="H153" s="16" t="s">
        <v>892</v>
      </c>
      <c r="I153" s="16"/>
      <c r="J153" s="16"/>
      <c r="K153" s="783">
        <v>0.1</v>
      </c>
      <c r="L153" s="822"/>
      <c r="M153" s="16"/>
      <c r="N153" s="5" t="s">
        <v>869</v>
      </c>
      <c r="O153" s="16"/>
      <c r="P153" s="16"/>
      <c r="Q153" s="823">
        <f ca="1">N124</f>
        <v>1e-12</v>
      </c>
      <c r="R153" s="821">
        <f ca="1">Q153-E180</f>
        <v>-15108.794109717941</v>
      </c>
      <c r="S153" s="16"/>
      <c r="T153" s="16"/>
      <c r="U153" s="16"/>
      <c r="V153" s="16"/>
      <c r="W153" s="16"/>
      <c r="X153" s="16"/>
      <c r="Y153" s="16"/>
      <c r="Z153" s="16"/>
      <c r="AA153" s="16"/>
      <c r="AB153" s="16"/>
    </row>
    <row r="154" ht="14.25" customHeight="1" spans="1:28" x14ac:dyDescent="0.25">
      <c r="A154" s="16"/>
      <c r="B154" s="16"/>
      <c r="C154" s="16" t="s">
        <v>893</v>
      </c>
      <c r="D154" s="16"/>
      <c r="E154" s="774">
        <f ca="1">$J$123</f>
        <v>19.28394025685649</v>
      </c>
      <c r="F154" s="667">
        <f ca="1">E154-H169</f>
        <v>1e-12</v>
      </c>
      <c r="G154" s="16"/>
      <c r="H154" s="16" t="s">
        <v>894</v>
      </c>
      <c r="I154" s="16"/>
      <c r="J154" s="16"/>
      <c r="K154" s="774">
        <f ca="1">R123</f>
        <v>13.012839604943464</v>
      </c>
      <c r="L154" s="667">
        <f ca="1">K154-H185</f>
        <v>1e-12</v>
      </c>
      <c r="M154" s="824"/>
      <c r="N154" s="491" t="s">
        <v>890</v>
      </c>
      <c r="O154" s="825"/>
      <c r="P154" s="16"/>
      <c r="Q154" s="16"/>
      <c r="R154" s="821">
        <f ca="1">Q153-E188</f>
        <v>-15108.794109717941</v>
      </c>
      <c r="S154" s="16"/>
      <c r="T154" s="16"/>
      <c r="U154" s="16"/>
      <c r="V154" s="16"/>
      <c r="W154" s="16"/>
      <c r="X154" s="16"/>
      <c r="Y154" s="16"/>
      <c r="Z154" s="16"/>
      <c r="AA154" s="16"/>
      <c r="AB154" s="16"/>
    </row>
    <row r="155" ht="14.25" customHeight="1" spans="1:28" x14ac:dyDescent="0.25">
      <c r="A155" s="16"/>
      <c r="B155" s="16"/>
      <c r="C155" s="16" t="s">
        <v>849</v>
      </c>
      <c r="D155" s="16"/>
      <c r="E155" s="782">
        <v>1</v>
      </c>
      <c r="F155" s="16"/>
      <c r="G155" s="16"/>
      <c r="H155" s="16" t="s">
        <v>849</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852</v>
      </c>
      <c r="E158" s="22"/>
      <c r="F158" s="22"/>
      <c r="G158" s="22"/>
      <c r="H158" s="22"/>
      <c r="I158" s="22"/>
      <c r="J158" s="7"/>
      <c r="K158" s="784"/>
      <c r="L158" s="63" t="s">
        <v>853</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 ca="1">G144&amp;" P/E"</f>
        <v>NTM P/E</v>
      </c>
      <c r="G160" s="668"/>
      <c r="H160" s="668"/>
      <c r="I160" s="668"/>
      <c r="J160" s="668"/>
      <c r="K160" s="16"/>
      <c r="L160" s="590"/>
      <c r="M160" s="592"/>
      <c r="N160" s="592" t="str">
        <f t="shared" ref="N160:N161" si="34" ca="1">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 ca="1">$F$126</f>
        <v>1e-12</v>
      </c>
      <c r="F161" s="786">
        <f t="shared" ref="F161:G161" si="35" ca="1">G161-$E$93</f>
        <v>16.758692857142854</v>
      </c>
      <c r="G161" s="786">
        <f ca="1">H161-$E$93</f>
        <v>17.758692857142854</v>
      </c>
      <c r="H161" s="787">
        <v>18.758692857142854</v>
      </c>
      <c r="I161" s="786">
        <f t="shared" ref="I161:J161" si="36" ca="1">H161+$E$93</f>
        <v>19.758692857142854</v>
      </c>
      <c r="J161" s="786">
        <f ca="1">I161+$E$93</f>
        <v>20.758692857142854</v>
      </c>
      <c r="K161" s="16"/>
      <c r="L161" s="16"/>
      <c r="M161" s="788">
        <f ca="1">$H$73</f>
        <v>1e-12</v>
      </c>
      <c r="N161" s="786">
        <f ca="1">F161</f>
        <v>16.758692857142854</v>
      </c>
      <c r="O161" s="786">
        <f t="shared" ref="O161:R161" si="37" ca="1">G161</f>
        <v>17.758692857142854</v>
      </c>
      <c r="P161" s="786">
        <f ca="1">H161</f>
        <v>18.758692857142854</v>
      </c>
      <c r="Q161" s="786">
        <f ca="1">I161</f>
        <v>19.758692857142854</v>
      </c>
      <c r="R161" s="786">
        <f ca="1">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 ca="1">$E$164*(1-(2*$E$153))</f>
        <v>11.73702261514271</v>
      </c>
      <c r="F162" s="790">
        <v>196.69715706451626</v>
      </c>
      <c r="G162" s="791">
        <v>208.434179679659</v>
      </c>
      <c r="H162" s="791">
        <v>220.1712022948017</v>
      </c>
      <c r="I162" s="791">
        <v>231.9082249099444</v>
      </c>
      <c r="J162" s="792">
        <v>243.64524752508711</v>
      </c>
      <c r="K162" s="16"/>
      <c r="L162" s="673" t="s">
        <v>397</v>
      </c>
      <c r="M162" s="826">
        <f t="shared" ref="M162:M166" si="38" ca="1">E162</f>
        <v>11.73702261514271</v>
      </c>
      <c r="N162" s="793">
        <f t="shared" ref="N162:R166" si="39" ca="1">F162/Share_Price-1</f>
        <v>-0.15645785631479436</v>
      </c>
      <c r="O162" s="661">
        <f ca="1">G162/Share_Price-1</f>
        <v>-0.10612325379681364</v>
      </c>
      <c r="P162" s="661">
        <f ca="1">H162/Share_Price-1</f>
        <v>-0.055788651278833146</v>
      </c>
      <c r="Q162" s="661">
        <f ca="1">I162/Share_Price-1</f>
        <v>-0.005454048760852537</v>
      </c>
      <c r="R162" s="794">
        <f ca="1">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 ca="1">$E$164*(1-$E$153)</f>
        <v>13.204150442035548</v>
      </c>
      <c r="F163" s="795">
        <v>221.28430169758082</v>
      </c>
      <c r="G163" s="796">
        <v>234.48845213961636</v>
      </c>
      <c r="H163" s="796">
        <v>247.6926025816519</v>
      </c>
      <c r="I163" s="796">
        <v>260.89675302368744</v>
      </c>
      <c r="J163" s="797">
        <v>274.100903465723</v>
      </c>
      <c r="K163" s="16"/>
      <c r="L163" s="678"/>
      <c r="M163" s="826">
        <f ca="1">E163</f>
        <v>13.204150442035548</v>
      </c>
      <c r="N163" s="798">
        <f ca="1">F163/Share_Price-1</f>
        <v>-0.05101508835414359</v>
      </c>
      <c r="O163" s="552">
        <f ca="1">G163/Share_Price-1</f>
        <v>0.005611339478584609</v>
      </c>
      <c r="P163" s="552">
        <f ca="1">H163/Share_Price-1</f>
        <v>0.062237767311312586</v>
      </c>
      <c r="Q163" s="552">
        <f ca="1">I163/Share_Price-1</f>
        <v>0.11886419514404079</v>
      </c>
      <c r="R163" s="674">
        <f ca="1">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 ca="1">E164</f>
        <v>14.671278268928386</v>
      </c>
      <c r="N164" s="798">
        <f ca="1">F164/Share_Price-1</f>
        <v>0.05442767960650707</v>
      </c>
      <c r="O164" s="552">
        <f ca="1">G164/Share_Price-1</f>
        <v>0.11734593275398275</v>
      </c>
      <c r="P164" s="552">
        <f ca="1">H164/Share_Price-1</f>
        <v>0.18026418590145865</v>
      </c>
      <c r="Q164" s="552">
        <f ca="1">I164/Share_Price-1</f>
        <v>0.2431824390489341</v>
      </c>
      <c r="R164" s="674">
        <f ca="1">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 ca="1">$E$164*(1+$E$153)</f>
        <v>16.138406095821225</v>
      </c>
      <c r="F165" s="795">
        <v>270.45859096370987</v>
      </c>
      <c r="G165" s="796">
        <v>286.5969970595311</v>
      </c>
      <c r="H165" s="796">
        <v>302.7354031553523</v>
      </c>
      <c r="I165" s="796">
        <v>318.87380925117355</v>
      </c>
      <c r="J165" s="797">
        <v>335.01221534699476</v>
      </c>
      <c r="K165" s="16"/>
      <c r="L165" s="678"/>
      <c r="M165" s="826">
        <f ca="1">E165</f>
        <v>16.138406095821225</v>
      </c>
      <c r="N165" s="798">
        <f ca="1">F165/Share_Price-1</f>
        <v>0.15987044756715774</v>
      </c>
      <c r="O165" s="552">
        <f ca="1">G165/Share_Price-1</f>
        <v>0.22908052602938112</v>
      </c>
      <c r="P165" s="552">
        <f ca="1">H165/Share_Price-1</f>
        <v>0.29829060449160427</v>
      </c>
      <c r="Q165" s="552">
        <f ca="1">I165/Share_Price-1</f>
        <v>0.36750068295382765</v>
      </c>
      <c r="R165" s="674">
        <f ca="1">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 ca="1">$E$164*(1+(2*$E$153))</f>
        <v>17.605533922714063</v>
      </c>
      <c r="F166" s="801">
        <v>295.04573559677436</v>
      </c>
      <c r="G166" s="802">
        <v>312.65126951948844</v>
      </c>
      <c r="H166" s="802">
        <v>330.2568034422025</v>
      </c>
      <c r="I166" s="802">
        <v>347.8623373649166</v>
      </c>
      <c r="J166" s="803">
        <v>365.46787128763066</v>
      </c>
      <c r="K166" s="16"/>
      <c r="L166" s="683"/>
      <c r="M166" s="826">
        <f ca="1">E166</f>
        <v>17.605533922714063</v>
      </c>
      <c r="N166" s="804">
        <f ca="1">F166/Share_Price-1</f>
        <v>0.2653132155278084</v>
      </c>
      <c r="O166" s="670">
        <f ca="1">G166/Share_Price-1</f>
        <v>0.34081511930477926</v>
      </c>
      <c r="P166" s="670">
        <f ca="1">H166/Share_Price-1</f>
        <v>0.4163170230817501</v>
      </c>
      <c r="Q166" s="670">
        <f ca="1">I166/Share_Price-1</f>
        <v>0.491818926858721</v>
      </c>
      <c r="R166" s="805">
        <f ca="1">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 ca="1">G144&amp;" P/E Spread to Comps"</f>
        <v>NTM P/E Spread to Comps</v>
      </c>
      <c r="G168" s="668"/>
      <c r="H168" s="668"/>
      <c r="I168" s="668"/>
      <c r="J168" s="668"/>
      <c r="K168" s="16"/>
      <c r="L168" s="590"/>
      <c r="M168" s="592"/>
      <c r="N168" s="592" t="str">
        <f t="shared" ref="N168:N169" si="40" ca="1">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 ca="1">$J$126</f>
        <v>1e-12</v>
      </c>
      <c r="F169" s="786">
        <f t="shared" ref="F169:G169" si="41" ca="1">G169-$E$93</f>
        <v>17.28394025685649</v>
      </c>
      <c r="G169" s="786">
        <f ca="1">H169-$E$93</f>
        <v>18.28394025685649</v>
      </c>
      <c r="H169" s="787">
        <v>19.28394025685649</v>
      </c>
      <c r="I169" s="786">
        <f t="shared" ref="I169:J169" si="42" ca="1">H169+$E$93</f>
        <v>20.28394025685649</v>
      </c>
      <c r="J169" s="786">
        <f ca="1">I169+$E$93</f>
        <v>21.28394025685649</v>
      </c>
      <c r="K169" s="16"/>
      <c r="L169" s="16"/>
      <c r="M169" s="785">
        <f ca="1">$H$73</f>
        <v>1e-12</v>
      </c>
      <c r="N169" s="786">
        <f ca="1">F169</f>
        <v>17.28394025685649</v>
      </c>
      <c r="O169" s="786">
        <f t="shared" ref="O169:R169" si="43" ca="1">G169</f>
        <v>18.28394025685649</v>
      </c>
      <c r="P169" s="786">
        <f ca="1">H169</f>
        <v>19.28394025685649</v>
      </c>
      <c r="Q169" s="786">
        <f ca="1">I169</f>
        <v>20.28394025685649</v>
      </c>
      <c r="R169" s="786">
        <f ca="1">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 ca="1">$E$172*(1-(2*$E$153))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 ca="1">E170</f>
        <v>11.73702261514271</v>
      </c>
      <c r="N170" s="793">
        <f t="shared" ref="N170:R174" si="45" ca="1">F170/Share_Price-1</f>
        <v>-0.13001973722660565</v>
      </c>
      <c r="O170" s="661">
        <f ca="1">G170/Share_Price-1</f>
        <v>-0.07968513470862493</v>
      </c>
      <c r="P170" s="661">
        <f ca="1">H170/Share_Price-1</f>
        <v>-0.02935053219064443</v>
      </c>
      <c r="Q170" s="661">
        <f ca="1">I170/Share_Price-1</f>
        <v>0.02098407032733607</v>
      </c>
      <c r="R170" s="794">
        <f ca="1">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 ca="1">$E$172*(1-$E$153)</f>
        <v>13.204150442035548</v>
      </c>
      <c r="F171" s="795">
        <v>228.21974738268761</v>
      </c>
      <c r="G171" s="796">
        <v>241.42389782472316</v>
      </c>
      <c r="H171" s="796">
        <v>254.62804826675873</v>
      </c>
      <c r="I171" s="796">
        <v>267.83219870879424</v>
      </c>
      <c r="J171" s="797">
        <v>281.03634915082984</v>
      </c>
      <c r="K171" s="16"/>
      <c r="L171" s="678"/>
      <c r="M171" s="826">
        <f ca="1">E171</f>
        <v>13.204150442035548</v>
      </c>
      <c r="N171" s="798">
        <f ca="1">F171/Share_Price-1</f>
        <v>-0.02127220437993138</v>
      </c>
      <c r="O171" s="552">
        <f ca="1">G171/Share_Price-1</f>
        <v>0.03535422345279682</v>
      </c>
      <c r="P171" s="552">
        <f ca="1">H171/Share_Price-1</f>
        <v>0.09198065128552502</v>
      </c>
      <c r="Q171" s="552">
        <f ca="1">I171/Share_Price-1</f>
        <v>0.148607079118253</v>
      </c>
      <c r="R171" s="674">
        <f ca="1">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 ca="1">E172</f>
        <v>14.671278268928386</v>
      </c>
      <c r="N172" s="798">
        <f ca="1">F172/Share_Price-1</f>
        <v>0.08747532846674289</v>
      </c>
      <c r="O172" s="552">
        <f ca="1">G172/Share_Price-1</f>
        <v>0.15039358161421856</v>
      </c>
      <c r="P172" s="552">
        <f ca="1">H172/Share_Price-1</f>
        <v>0.21331183476169446</v>
      </c>
      <c r="Q172" s="552">
        <f ca="1">I172/Share_Price-1</f>
        <v>0.2762300879091699</v>
      </c>
      <c r="R172" s="674">
        <f ca="1">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 ca="1">$E$172*(1+$E$153)</f>
        <v>16.138406095821225</v>
      </c>
      <c r="F173" s="795">
        <v>278.93524680106265</v>
      </c>
      <c r="G173" s="796">
        <v>295.07365289688386</v>
      </c>
      <c r="H173" s="796">
        <v>311.21205899270507</v>
      </c>
      <c r="I173" s="796">
        <v>327.3504650885263</v>
      </c>
      <c r="J173" s="797">
        <v>343.48887118434754</v>
      </c>
      <c r="K173" s="16"/>
      <c r="L173" s="678"/>
      <c r="M173" s="826">
        <f ca="1">E173</f>
        <v>16.138406095821225</v>
      </c>
      <c r="N173" s="798">
        <f ca="1">F173/Share_Price-1</f>
        <v>0.19622286131341737</v>
      </c>
      <c r="O173" s="552">
        <f ca="1">G173/Share_Price-1</f>
        <v>0.26543293977564053</v>
      </c>
      <c r="P173" s="552">
        <f ca="1">H173/Share_Price-1</f>
        <v>0.3346430182378637</v>
      </c>
      <c r="Q173" s="552">
        <f ca="1">I173/Share_Price-1</f>
        <v>0.40385309670008684</v>
      </c>
      <c r="R173" s="674">
        <f ca="1">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 ca="1">$E$172*(1+(2*$E$153))</f>
        <v>17.605533922714063</v>
      </c>
      <c r="F174" s="801">
        <v>304.29299651025013</v>
      </c>
      <c r="G174" s="802">
        <v>321.8985304329642</v>
      </c>
      <c r="H174" s="802">
        <v>339.5040643556783</v>
      </c>
      <c r="I174" s="802">
        <v>357.1095982783923</v>
      </c>
      <c r="J174" s="803">
        <v>374.71513220110637</v>
      </c>
      <c r="K174" s="16"/>
      <c r="L174" s="683"/>
      <c r="M174" s="826">
        <f ca="1">E174</f>
        <v>17.605533922714063</v>
      </c>
      <c r="N174" s="804">
        <f ca="1">F174/Share_Price-1</f>
        <v>0.3049703941600914</v>
      </c>
      <c r="O174" s="670">
        <f ca="1">G174/Share_Price-1</f>
        <v>0.3804722979370623</v>
      </c>
      <c r="P174" s="670">
        <f ca="1">H174/Share_Price-1</f>
        <v>0.45597420171403313</v>
      </c>
      <c r="Q174" s="670">
        <f ca="1">I174/Share_Price-1</f>
        <v>0.531476105491004</v>
      </c>
      <c r="R174" s="805">
        <f ca="1">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 ca="1">G144&amp;" EV/EBITDA"</f>
        <v>NTM EV/EBITDA</v>
      </c>
      <c r="G176" s="668"/>
      <c r="H176" s="668"/>
      <c r="I176" s="668"/>
      <c r="J176" s="668"/>
      <c r="K176" s="16"/>
      <c r="L176" s="590"/>
      <c r="M176" s="592"/>
      <c r="N176" s="592" t="str">
        <f t="shared" ref="N176:N177" si="46" ca="1">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 ca="1">$N$137</f>
        <v>-24.124469589816126</v>
      </c>
      <c r="F177" s="786">
        <f t="shared" ref="F177:G177" si="47" ca="1">G177-$E$93</f>
        <v>10.439849999999998</v>
      </c>
      <c r="G177" s="786">
        <f ca="1">H177-$E$93</f>
        <v>11.439849999999998</v>
      </c>
      <c r="H177" s="787">
        <v>12.439849999999998</v>
      </c>
      <c r="I177" s="786">
        <f t="shared" ref="I177:J177" si="48" ca="1">H177+$E$93</f>
        <v>13.439849999999998</v>
      </c>
      <c r="J177" s="786">
        <f ca="1">I177+$E$93</f>
        <v>14.439849999999998</v>
      </c>
      <c r="K177" s="16"/>
      <c r="L177" s="16"/>
      <c r="M177" s="785">
        <f ca="1">$H$73</f>
        <v>1e-12</v>
      </c>
      <c r="N177" s="786">
        <f ca="1">F177</f>
        <v>10.439849999999998</v>
      </c>
      <c r="O177" s="786">
        <f t="shared" ref="O177:R177" si="49" ca="1">G177</f>
        <v>11.439849999999998</v>
      </c>
      <c r="P177" s="786">
        <f ca="1">H177</f>
        <v>12.439849999999998</v>
      </c>
      <c r="Q177" s="786">
        <f ca="1">I177</f>
        <v>13.439849999999998</v>
      </c>
      <c r="R177" s="786">
        <f ca="1">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 ca="1">$E$180*(1-(2*$K$153))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 ca="1">E178</f>
        <v>12087.035287774353</v>
      </c>
      <c r="N178" s="793">
        <f t="shared" ref="N178:R182" si="51" ca="1">F178/Share_Price-1</f>
        <v>-0.3330040788835198</v>
      </c>
      <c r="O178" s="661">
        <f ca="1">G178/Share_Price-1</f>
        <v>-0.2580970799999367</v>
      </c>
      <c r="P178" s="661">
        <f ca="1">H178/Share_Price-1</f>
        <v>-0.1831900811163537</v>
      </c>
      <c r="Q178" s="661">
        <f ca="1">I178/Share_Price-1</f>
        <v>-0.10828308223277028</v>
      </c>
      <c r="R178" s="794">
        <f ca="1">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 ca="1">$E$180*(1-$K$153)</f>
        <v>13597.914698746146</v>
      </c>
      <c r="F179" s="795">
        <v>178.32397365275278</v>
      </c>
      <c r="G179" s="796">
        <v>197.97413940238593</v>
      </c>
      <c r="H179" s="796">
        <v>217.6243051520191</v>
      </c>
      <c r="I179" s="796">
        <v>237.27447090165225</v>
      </c>
      <c r="J179" s="797">
        <v>256.9246366512854</v>
      </c>
      <c r="K179" s="16"/>
      <c r="L179" s="678"/>
      <c r="M179" s="762">
        <f ca="1">E179</f>
        <v>13597.914698746146</v>
      </c>
      <c r="N179" s="798">
        <f ca="1">F179/Share_Price-1</f>
        <v>-0.23525184984667302</v>
      </c>
      <c r="O179" s="552">
        <f ca="1">G179/Share_Price-1</f>
        <v>-0.150981476102642</v>
      </c>
      <c r="P179" s="552">
        <f ca="1">H179/Share_Price-1</f>
        <v>-0.066711102358611</v>
      </c>
      <c r="Q179" s="552">
        <f ca="1">I179/Share_Price-1</f>
        <v>0.017559271385420017</v>
      </c>
      <c r="R179" s="674">
        <f ca="1">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 ca="1">E180</f>
        <v>15108.794109717941</v>
      </c>
      <c r="N180" s="798">
        <f ca="1">F180/Share_Price-1</f>
        <v>-0.13749962080982614</v>
      </c>
      <c r="O180" s="552">
        <f ca="1">G180/Share_Price-1</f>
        <v>-0.04386587220534721</v>
      </c>
      <c r="P180" s="552">
        <f ca="1">H180/Share_Price-1</f>
        <v>0.04976787639913183</v>
      </c>
      <c r="Q180" s="552">
        <f ca="1">I180/Share_Price-1</f>
        <v>0.14340162500361076</v>
      </c>
      <c r="R180" s="674">
        <f ca="1">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 ca="1">$E$180*(1+$K$153)</f>
        <v>16619.673520689736</v>
      </c>
      <c r="F181" s="795">
        <v>223.91170318637674</v>
      </c>
      <c r="G181" s="796">
        <v>247.92857243592837</v>
      </c>
      <c r="H181" s="796">
        <v>271.94544168548003</v>
      </c>
      <c r="I181" s="796">
        <v>295.96231093503167</v>
      </c>
      <c r="J181" s="797">
        <v>319.9791801845833</v>
      </c>
      <c r="K181" s="16"/>
      <c r="L181" s="678"/>
      <c r="M181" s="762">
        <f ca="1">E181</f>
        <v>16619.673520689736</v>
      </c>
      <c r="N181" s="798">
        <f ca="1">F181/Share_Price-1</f>
        <v>-0.039747391772979146</v>
      </c>
      <c r="O181" s="552">
        <f ca="1">G181/Share_Price-1</f>
        <v>0.06324973169194781</v>
      </c>
      <c r="P181" s="552">
        <f ca="1">H181/Share_Price-1</f>
        <v>0.16624685515687454</v>
      </c>
      <c r="Q181" s="552">
        <f ca="1">I181/Share_Price-1</f>
        <v>0.2692439786218015</v>
      </c>
      <c r="R181" s="674">
        <f ca="1">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 ca="1">$E$180*(1+(2*$K$153))</f>
        <v>18130.55293166153</v>
      </c>
      <c r="F182" s="801">
        <v>246.7055679531887</v>
      </c>
      <c r="G182" s="802">
        <v>272.90578895269954</v>
      </c>
      <c r="H182" s="802">
        <v>299.10600995221046</v>
      </c>
      <c r="I182" s="802">
        <v>325.3062309517213</v>
      </c>
      <c r="J182" s="803">
        <v>351.5064519512322</v>
      </c>
      <c r="K182" s="16"/>
      <c r="L182" s="683"/>
      <c r="M182" s="762">
        <f ca="1">E182</f>
        <v>18130.55293166153</v>
      </c>
      <c r="N182" s="804">
        <f ca="1">F182/Share_Price-1</f>
        <v>0.05800483726386774</v>
      </c>
      <c r="O182" s="670">
        <f ca="1">G182/Share_Price-1</f>
        <v>0.17036533558924227</v>
      </c>
      <c r="P182" s="670">
        <f ca="1">H182/Share_Price-1</f>
        <v>0.28272583391461725</v>
      </c>
      <c r="Q182" s="670">
        <f ca="1">I182/Share_Price-1</f>
        <v>0.3950863322399918</v>
      </c>
      <c r="R182" s="805">
        <f ca="1">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 ca="1">G144&amp;" EV/EBITDA Spread to Comps"</f>
        <v>NTM EV/EBITDA Spread to Comps</v>
      </c>
      <c r="G184" s="668"/>
      <c r="H184" s="668"/>
      <c r="I184" s="668"/>
      <c r="J184" s="668"/>
      <c r="K184" s="16"/>
      <c r="L184" s="590"/>
      <c r="M184" s="592"/>
      <c r="N184" s="592" t="str">
        <f t="shared" ref="N184:N185" si="52" ca="1">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 ca="1">$R$137</f>
        <v>-24.124469589816126</v>
      </c>
      <c r="F185" s="786">
        <f t="shared" ref="F185:G185" si="53" ca="1">G185-$E$93</f>
        <v>11.012839604943464</v>
      </c>
      <c r="G185" s="786">
        <f ca="1">H185-$E$93</f>
        <v>12.012839604943464</v>
      </c>
      <c r="H185" s="787">
        <v>13.012839604943464</v>
      </c>
      <c r="I185" s="786">
        <f t="shared" ref="I185:J185" si="54" ca="1">H185+$E$93</f>
        <v>14.012839604943464</v>
      </c>
      <c r="J185" s="786">
        <f ca="1">I185+$E$93</f>
        <v>15.012839604943464</v>
      </c>
      <c r="K185" s="16"/>
      <c r="L185" s="16"/>
      <c r="M185" s="785">
        <f ca="1">$H$73</f>
        <v>1e-12</v>
      </c>
      <c r="N185" s="786">
        <f ca="1">F185</f>
        <v>11.012839604943464</v>
      </c>
      <c r="O185" s="786">
        <f t="shared" ref="O185:R185" si="55" ca="1">G185</f>
        <v>12.012839604943464</v>
      </c>
      <c r="P185" s="786">
        <f ca="1">H185</f>
        <v>13.012839604943464</v>
      </c>
      <c r="Q185" s="786">
        <f ca="1">I185</f>
        <v>14.012839604943464</v>
      </c>
      <c r="R185" s="786">
        <f ca="1">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 ca="1">$E$188*(1-(2*$K$153))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 ca="1">E186</f>
        <v>12087.035287774353</v>
      </c>
      <c r="N186" s="793">
        <f t="shared" ref="N186:R190" si="57" ca="1">F186/Share_Price-1</f>
        <v>-0.29008314718571493</v>
      </c>
      <c r="O186" s="661">
        <f ca="1">G186/Share_Price-1</f>
        <v>-0.21517614830213183</v>
      </c>
      <c r="P186" s="661">
        <f ca="1">H186/Share_Price-1</f>
        <v>-0.14026914941854862</v>
      </c>
      <c r="Q186" s="661">
        <f ca="1">I186/Share_Price-1</f>
        <v>-0.06536215053496541</v>
      </c>
      <c r="R186" s="794">
        <f ca="1">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 ca="1">$E$188*(1-$K$153)</f>
        <v>13597.914698746146</v>
      </c>
      <c r="F187" s="795">
        <v>189.5833143627087</v>
      </c>
      <c r="G187" s="796">
        <v>209.23348011234188</v>
      </c>
      <c r="H187" s="796">
        <v>228.88364586197503</v>
      </c>
      <c r="I187" s="796">
        <v>248.53381161160817</v>
      </c>
      <c r="J187" s="797">
        <v>268.1839773612413</v>
      </c>
      <c r="K187" s="16"/>
      <c r="L187" s="678"/>
      <c r="M187" s="762">
        <f ca="1">E187</f>
        <v>13597.914698746146</v>
      </c>
      <c r="N187" s="798">
        <f ca="1">F187/Share_Price-1</f>
        <v>-0.18696580168664256</v>
      </c>
      <c r="O187" s="552">
        <f ca="1">G187/Share_Price-1</f>
        <v>-0.10269542794261144</v>
      </c>
      <c r="P187" s="552">
        <f ca="1">H187/Share_Price-1</f>
        <v>-0.018425054198580426</v>
      </c>
      <c r="Q187" s="552">
        <f ca="1">I187/Share_Price-1</f>
        <v>0.06584531954545048</v>
      </c>
      <c r="R187" s="674">
        <f ca="1">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 ca="1">E188</f>
        <v>15108.794109717941</v>
      </c>
      <c r="N188" s="798">
        <f ca="1">F188/Share_Price-1</f>
        <v>-0.08384845618756998</v>
      </c>
      <c r="O188" s="552">
        <f ca="1">G188/Share_Price-1</f>
        <v>0.009785292416909064</v>
      </c>
      <c r="P188" s="552">
        <f ca="1">H188/Share_Price-1</f>
        <v>0.10341904102138799</v>
      </c>
      <c r="Q188" s="552">
        <f ca="1">I188/Share_Price-1</f>
        <v>0.19705278962586692</v>
      </c>
      <c r="R188" s="674">
        <f ca="1">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 ca="1">$E$188*(1+$K$153)</f>
        <v>16619.673520689736</v>
      </c>
      <c r="F189" s="795">
        <v>237.6731196096562</v>
      </c>
      <c r="G189" s="796">
        <v>261.68998885920786</v>
      </c>
      <c r="H189" s="796">
        <v>285.7068581087595</v>
      </c>
      <c r="I189" s="796">
        <v>309.7237273583111</v>
      </c>
      <c r="J189" s="797">
        <v>333.74059660786276</v>
      </c>
      <c r="K189" s="16"/>
      <c r="L189" s="678"/>
      <c r="M189" s="762">
        <f ca="1">E189</f>
        <v>16619.673520689736</v>
      </c>
      <c r="N189" s="798">
        <f ca="1">F189/Share_Price-1</f>
        <v>0.019268889311502724</v>
      </c>
      <c r="O189" s="552">
        <f ca="1">G189/Share_Price-1</f>
        <v>0.12226601277642968</v>
      </c>
      <c r="P189" s="552">
        <f ca="1">H189/Share_Price-1</f>
        <v>0.2252631362413564</v>
      </c>
      <c r="Q189" s="552">
        <f ca="1">I189/Share_Price-1</f>
        <v>0.32826025970628314</v>
      </c>
      <c r="R189" s="674">
        <f ca="1">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 ca="1">$E$188*(1+(2*$K$153))</f>
        <v>18130.55293166153</v>
      </c>
      <c r="F190" s="801">
        <v>261.71802223312994</v>
      </c>
      <c r="G190" s="802">
        <v>287.9182432326408</v>
      </c>
      <c r="H190" s="802">
        <v>314.11846423215167</v>
      </c>
      <c r="I190" s="802">
        <v>340.3186852316625</v>
      </c>
      <c r="J190" s="803">
        <v>366.51890623117345</v>
      </c>
      <c r="K190" s="16"/>
      <c r="L190" s="683"/>
      <c r="M190" s="762">
        <f ca="1">E190</f>
        <v>18130.55293166153</v>
      </c>
      <c r="N190" s="804">
        <f ca="1">F190/Share_Price-1</f>
        <v>0.12238623481057531</v>
      </c>
      <c r="O190" s="670">
        <f ca="1">G190/Share_Price-1</f>
        <v>0.23474673313594985</v>
      </c>
      <c r="P190" s="670">
        <f ca="1">H190/Share_Price-1</f>
        <v>0.3471072314613246</v>
      </c>
      <c r="Q190" s="670">
        <f ca="1">I190/Share_Price-1</f>
        <v>0.45946772978669914</v>
      </c>
      <c r="R190" s="805">
        <f ca="1">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895</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856</v>
      </c>
      <c r="E194" s="22"/>
      <c r="F194" s="7"/>
      <c r="G194" s="16"/>
      <c r="H194" s="92" t="s">
        <v>857</v>
      </c>
      <c r="I194" s="22"/>
      <c r="J194" s="7"/>
      <c r="K194" s="16"/>
      <c r="L194" s="92" t="s">
        <v>140</v>
      </c>
      <c r="M194" s="22"/>
      <c r="N194" s="7"/>
      <c r="O194" s="16"/>
      <c r="P194" s="92" t="s">
        <v>858</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859</v>
      </c>
      <c r="E196" s="16"/>
      <c r="F196" s="808">
        <f ca="1">$D$11</f>
        <v>18.6398</v>
      </c>
      <c r="G196" s="16"/>
      <c r="H196" s="813" t="s">
        <v>896</v>
      </c>
      <c r="I196" s="16"/>
      <c r="J196" s="808">
        <f t="array" ref="J196" ca="1">INDEX(Company_Cyclical_Multiples_Data,MATCH(CONCATENATE($G$220," ",$G$221),'Multiples Data'!$C$14:$C$26,0),MATCH(CONCATENATE(Valuation!$G$222," P/E"),'Multiples Data'!$C$14:$H$14,0))</f>
        <v>16.548837499999998</v>
      </c>
      <c r="K196" s="16"/>
      <c r="L196" s="188" t="s">
        <v>859</v>
      </c>
      <c r="M196" s="16"/>
      <c r="N196" s="808">
        <f ca="1">$D$12</f>
        <v>12.4849</v>
      </c>
      <c r="O196" s="16"/>
      <c r="P196" s="813" t="s">
        <v>896</v>
      </c>
      <c r="Q196" s="16"/>
      <c r="R196" s="808">
        <f t="array" ref="R196" ca="1">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897</v>
      </c>
      <c r="E197" s="16"/>
      <c r="F197" s="808">
        <f t="array" ref="F197" ca="1">INDEX(Company_Cyclical_Multiples_Data,MATCH(CONCATENATE($G$220," ",$G$221),'Multiples Data'!$C$14:$C$26,0),MATCH(CONCATENATE(Valuation!$G$222," P/E"),'Multiples Data'!$C$14:$H$14,0))</f>
        <v>16.548837499999998</v>
      </c>
      <c r="G197" s="16"/>
      <c r="H197" s="813" t="s">
        <v>898</v>
      </c>
      <c r="I197" s="16"/>
      <c r="J197" s="808">
        <f t="array" ref="J197" ca="1">INDEX($J$220:$O$222,2,MATCH($G$223,$J$220:$O$220,0))</f>
        <v>17.335633750000007</v>
      </c>
      <c r="K197" s="16"/>
      <c r="L197" s="188" t="s">
        <v>897</v>
      </c>
      <c r="M197" s="16"/>
      <c r="N197" s="808">
        <f t="array" ref="N197" ca="1">INDEX(Company_Cyclical_Multiples_Data,MATCH(CONCATENATE($G$220," ",$G$221),'Multiples Data'!$C$14:$C$26,0),MATCH(CONCATENATE(Valuation!$G$222," EV/EBITDA"),'Multiples Data'!$C$14:$H$14,0))</f>
        <v>7.408287499999999</v>
      </c>
      <c r="O197" s="16"/>
      <c r="P197" s="813" t="s">
        <v>898</v>
      </c>
      <c r="Q197" s="16"/>
      <c r="R197" s="808">
        <f t="array" ref="R197" ca="1">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863</v>
      </c>
      <c r="E198" s="303"/>
      <c r="F198" s="809">
        <f ca="1">F196/F197-1</f>
        <v>0.12635102012452548</v>
      </c>
      <c r="G198" s="16"/>
      <c r="H198" s="307" t="s">
        <v>864</v>
      </c>
      <c r="I198" s="16"/>
      <c r="J198" s="810">
        <f ca="1">J196/J197-1</f>
        <v>-0.04538606787305999</v>
      </c>
      <c r="K198" s="16"/>
      <c r="L198" s="307" t="s">
        <v>863</v>
      </c>
      <c r="M198" s="303"/>
      <c r="N198" s="809">
        <f ca="1">N196/N197-1</f>
        <v>0.6852612698953706</v>
      </c>
      <c r="O198" s="16"/>
      <c r="P198" s="307" t="s">
        <v>864</v>
      </c>
      <c r="Q198" s="16"/>
      <c r="R198" s="809">
        <f ca="1">R196/R197-1</f>
        <v>-0.18441268129613697</v>
      </c>
      <c r="S198" s="188"/>
      <c r="T198" s="16"/>
      <c r="U198" s="16"/>
      <c r="V198" s="16"/>
      <c r="W198" s="16"/>
      <c r="X198" s="16"/>
      <c r="Y198" s="16"/>
      <c r="Z198" s="16"/>
      <c r="AA198" s="16"/>
      <c r="AB198" s="16"/>
    </row>
    <row r="199" ht="13.5" customHeight="1" spans="1:28" x14ac:dyDescent="0.25">
      <c r="A199" s="16"/>
      <c r="B199" s="16"/>
      <c r="C199" s="16"/>
      <c r="D199" s="307" t="s">
        <v>865</v>
      </c>
      <c r="E199" s="303"/>
      <c r="F199" s="811">
        <v>0</v>
      </c>
      <c r="G199" s="16"/>
      <c r="H199" s="188" t="s">
        <v>866</v>
      </c>
      <c r="I199" s="16"/>
      <c r="J199" s="808">
        <f ca="1">IF($G$223=$K$220,$E$11,IF($G$223=$M$220,$E$16,IF($G$223=$O$220,$E$21,"N/A")))</f>
        <v>22.233219999999996</v>
      </c>
      <c r="K199" s="16"/>
      <c r="L199" s="307" t="s">
        <v>865</v>
      </c>
      <c r="M199" s="303"/>
      <c r="N199" s="811">
        <v>0</v>
      </c>
      <c r="O199" s="16"/>
      <c r="P199" s="188" t="s">
        <v>866</v>
      </c>
      <c r="Q199" s="16"/>
      <c r="R199" s="808">
        <f ca="1">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867</v>
      </c>
      <c r="E201" s="16"/>
      <c r="F201" s="808">
        <f ca="1">F197*(1+F199)</f>
        <v>16.548837499999998</v>
      </c>
      <c r="G201" s="16"/>
      <c r="H201" s="188" t="s">
        <v>867</v>
      </c>
      <c r="I201" s="16"/>
      <c r="J201" s="808">
        <f ca="1">J199*(1+J198)</f>
        <v>21.224141568043322</v>
      </c>
      <c r="K201" s="16"/>
      <c r="L201" s="188" t="s">
        <v>867</v>
      </c>
      <c r="M201" s="16"/>
      <c r="N201" s="808">
        <f ca="1">N197*(1+N199)</f>
        <v>7.408287499999999</v>
      </c>
      <c r="O201" s="16"/>
      <c r="P201" s="188" t="s">
        <v>867</v>
      </c>
      <c r="Q201" s="16"/>
      <c r="R201" s="808">
        <f ca="1">R199*(1+R198)</f>
        <v>12.655598918298834</v>
      </c>
      <c r="S201" s="188"/>
      <c r="T201" s="16"/>
      <c r="U201" s="16"/>
      <c r="V201" s="16"/>
      <c r="W201" s="16"/>
      <c r="X201" s="16"/>
      <c r="Y201" s="16"/>
      <c r="Z201" s="16"/>
      <c r="AA201" s="16"/>
      <c r="AB201" s="16"/>
    </row>
    <row r="202" ht="13.5" customHeight="1" spans="1:28" x14ac:dyDescent="0.25">
      <c r="A202" s="16"/>
      <c r="B202" s="16"/>
      <c r="C202" s="16"/>
      <c r="D202" s="188" t="s">
        <v>868</v>
      </c>
      <c r="E202" s="16"/>
      <c r="F202" s="812">
        <f ca="1">SUM(NTM_EPS)</f>
      </c>
      <c r="G202" s="16"/>
      <c r="H202" s="188" t="s">
        <v>868</v>
      </c>
      <c r="I202" s="16"/>
      <c r="J202" s="812">
        <f ca="1">SUM(NTM_EPS)</f>
      </c>
      <c r="K202" s="16"/>
      <c r="L202" s="813" t="s">
        <v>869</v>
      </c>
      <c r="M202" s="16"/>
      <c r="N202" s="814">
        <f ca="1">SUM(NTM_EBITDA)</f>
      </c>
      <c r="O202" s="16"/>
      <c r="P202" s="188" t="s">
        <v>869</v>
      </c>
      <c r="Q202" s="16"/>
      <c r="R202" s="814">
        <f ca="1">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870</v>
      </c>
      <c r="M203" s="16"/>
      <c r="N203" s="814">
        <f ca="1">N201*N202</f>
        <v>1e-12</v>
      </c>
      <c r="O203" s="16"/>
      <c r="P203" s="188" t="s">
        <v>870</v>
      </c>
      <c r="Q203" s="16"/>
      <c r="R203" s="814">
        <f ca="1">R201*R202</f>
        <v>1e-12</v>
      </c>
      <c r="S203" s="188"/>
      <c r="T203" s="16"/>
      <c r="U203" s="16"/>
      <c r="V203" s="16"/>
      <c r="W203" s="16"/>
      <c r="X203" s="16"/>
      <c r="Y203" s="16"/>
      <c r="Z203" s="16"/>
      <c r="AA203" s="16"/>
      <c r="AB203" s="16"/>
    </row>
    <row r="204" ht="13.5" customHeight="1" spans="1:28" x14ac:dyDescent="0.25">
      <c r="A204" s="16"/>
      <c r="B204" s="16"/>
      <c r="C204" s="16"/>
      <c r="D204" s="188" t="s">
        <v>871</v>
      </c>
      <c r="E204" s="16"/>
      <c r="F204" s="812">
        <f ca="1">F201*F202</f>
        <v>1e-12</v>
      </c>
      <c r="G204" s="16"/>
      <c r="H204" s="188" t="s">
        <v>871</v>
      </c>
      <c r="I204" s="16"/>
      <c r="J204" s="812">
        <f ca="1">J201*J202</f>
        <v>1e-12</v>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872</v>
      </c>
      <c r="E205" s="131"/>
      <c r="F205" s="773">
        <f ca="1">F204/Share_Price-1</f>
      </c>
      <c r="G205" s="16"/>
      <c r="H205" s="311" t="s">
        <v>872</v>
      </c>
      <c r="I205" s="131"/>
      <c r="J205" s="773">
        <f ca="1">J204/Share_Price-1</f>
      </c>
      <c r="K205" s="16"/>
      <c r="L205" s="188" t="s">
        <v>873</v>
      </c>
      <c r="M205" s="16"/>
      <c r="N205" s="765">
        <f t="shared" ref="N205:N210" si="58" ca="1">N127</f>
        <v>6255</v>
      </c>
      <c r="O205" s="16"/>
      <c r="P205" s="188" t="s">
        <v>873</v>
      </c>
      <c r="Q205" s="16"/>
      <c r="R205" s="765">
        <f t="shared" ref="R205:R210" si="59" ca="1">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874</v>
      </c>
      <c r="M206" s="16"/>
      <c r="N206" s="765">
        <f ca="1">N128</f>
        <v>1e-12</v>
      </c>
      <c r="O206" s="16"/>
      <c r="P206" s="188" t="s">
        <v>874</v>
      </c>
      <c r="Q206" s="16"/>
      <c r="R206" s="765">
        <f ca="1">N206</f>
        <v>1e-12</v>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875</v>
      </c>
      <c r="M207" s="16"/>
      <c r="N207" s="765">
        <f ca="1">N129</f>
        <v>-23311</v>
      </c>
      <c r="O207" s="16"/>
      <c r="P207" s="188" t="s">
        <v>875</v>
      </c>
      <c r="Q207" s="16"/>
      <c r="R207" s="765">
        <f ca="1">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876</v>
      </c>
      <c r="M208" s="16"/>
      <c r="N208" s="765">
        <f ca="1">N130</f>
        <v>1e-12</v>
      </c>
      <c r="O208" s="16"/>
      <c r="P208" s="188" t="s">
        <v>876</v>
      </c>
      <c r="Q208" s="16"/>
      <c r="R208" s="765">
        <f ca="1">N208</f>
        <v>1e-12</v>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877</v>
      </c>
      <c r="M209" s="16"/>
      <c r="N209" s="765">
        <f ca="1">N131</f>
        <v>1e-12</v>
      </c>
      <c r="O209" s="16"/>
      <c r="P209" s="188" t="s">
        <v>877</v>
      </c>
      <c r="Q209" s="16"/>
      <c r="R209" s="765">
        <f ca="1">N209</f>
        <v>1e-12</v>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878</v>
      </c>
      <c r="M210" s="131"/>
      <c r="N210" s="819">
        <f ca="1">N132</f>
        <v>1e-12</v>
      </c>
      <c r="O210" s="16"/>
      <c r="P210" s="192" t="s">
        <v>878</v>
      </c>
      <c r="Q210" s="131"/>
      <c r="R210" s="819">
        <f ca="1">N210</f>
        <v>1e-12</v>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879</v>
      </c>
      <c r="M212" s="16"/>
      <c r="N212" s="814">
        <f ca="1">SUM(N203:N210)</f>
        <v>-17056</v>
      </c>
      <c r="O212" s="16"/>
      <c r="P212" s="188" t="s">
        <v>879</v>
      </c>
      <c r="Q212" s="16"/>
      <c r="R212" s="814">
        <f ca="1">SUM(R203:R210)</f>
        <v>-17056</v>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 ca="1">Diluted_Shares</f>
        <v>707</v>
      </c>
      <c r="O213" s="16"/>
      <c r="P213" s="188" t="s">
        <v>414</v>
      </c>
      <c r="Q213" s="16"/>
      <c r="R213" s="830">
        <f ca="1">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871</v>
      </c>
      <c r="M215" s="16"/>
      <c r="N215" s="814">
        <f ca="1">N212/N213</f>
        <v>-24.124469589816126</v>
      </c>
      <c r="O215" s="16"/>
      <c r="P215" s="188" t="s">
        <v>871</v>
      </c>
      <c r="Q215" s="16"/>
      <c r="R215" s="814">
        <f ca="1">R212/R213</f>
        <v>-24.124469589816126</v>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872</v>
      </c>
      <c r="M216" s="131"/>
      <c r="N216" s="773">
        <f ca="1">N215/Share_Price-1</f>
      </c>
      <c r="O216" s="16"/>
      <c r="P216" s="311" t="s">
        <v>872</v>
      </c>
      <c r="Q216" s="131"/>
      <c r="R216" s="773">
        <f ca="1">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899</v>
      </c>
      <c r="D220" s="16"/>
      <c r="E220" s="16"/>
      <c r="F220" s="16"/>
      <c r="G220" s="42" t="s">
        <v>900</v>
      </c>
      <c r="H220" s="47"/>
      <c r="I220" s="16"/>
      <c r="J220" s="16"/>
      <c r="K220" s="111" t="str">
        <f ca="1">$C$9</f>
        <v>Primary Peer Group</v>
      </c>
      <c r="L220" s="112"/>
      <c r="M220" s="111" t="str">
        <f ca="1">$C$14</f>
        <v>Defense Peer Group</v>
      </c>
      <c r="N220" s="112"/>
      <c r="O220" s="111" t="str">
        <f ca="1">$C$19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901</v>
      </c>
      <c r="D221" s="16"/>
      <c r="E221" s="16"/>
      <c r="F221" s="16"/>
      <c r="G221" s="42" t="s">
        <v>902</v>
      </c>
      <c r="H221" s="16"/>
      <c r="I221" s="16"/>
      <c r="J221" s="84" t="s">
        <v>138</v>
      </c>
      <c r="K221" s="724">
        <f t="array" ref="K221" ca="1">INDEX(Primary_Peer_Cyclical_Valuation_Data,MATCH(CONCATENATE(Cycle_Toggle," ",Cycle_Period_Toggle),'Multiples Data'!$C$36:$C$48,0),MATCH(CONCATENATE(Cyclical_LTM_NTM_Toggle," P/E"),'Multiples Data'!$C$36:$H$36,0))</f>
        <v>17.335633750000007</v>
      </c>
      <c r="L221" s="66"/>
      <c r="M221" s="724">
        <f t="array" ref="M221" ca="1">INDEX(PeerGroup2_Cyclical_Valuation_Data,MATCH(CONCATENATE(Cycle_Toggle," ",Cycle_Period_Toggle),'Multiples Data'!$C$58:$C$70,0),MATCH(CONCATENATE(Cyclical_LTM_NTM_Toggle," P/E"),'Multiples Data'!$C$58:$H$58,0))</f>
        <v>9.435799649405848</v>
      </c>
      <c r="N221" s="66"/>
      <c r="O221" s="724">
        <f t="array" ref="O221" ca="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903</v>
      </c>
      <c r="D222" s="16"/>
      <c r="E222" s="16"/>
      <c r="F222" s="16"/>
      <c r="G222" s="42" t="s">
        <v>811</v>
      </c>
      <c r="H222" s="47" t="b">
        <f ca="1">G222=$D$24</f>
        <v>1</v>
      </c>
      <c r="I222" s="16"/>
      <c r="J222" s="84" t="s">
        <v>140</v>
      </c>
      <c r="K222" s="724">
        <f t="array" ref="K222" ca="1">INDEX(Primary_Peer_Cyclical_Valuation_Data,MATCH(CONCATENATE(Cycle_Toggle," ",Cycle_Period_Toggle),'Multiples Data'!$C$36:$C$48,0),MATCH(CONCATENATE(Cyclical_LTM_NTM_Toggle," EV/EBITDA"),'Multiples Data'!$C$36:$H$36,0))</f>
        <v>9.083377500000001</v>
      </c>
      <c r="L222" s="66"/>
      <c r="M222" s="724">
        <f t="array" ref="M222" ca="1">INDEX(PeerGroup2_Cyclical_Valuation_Data,MATCH(CONCATENATE(Cycle_Toggle," ",Cycle_Period_Toggle),'Multiples Data'!$C$58:$C$70,0),MATCH(CONCATENATE(Cyclical_LTM_NTM_Toggle," EV/EBITDA"),'Multiples Data'!$C$58:$H$58,0))</f>
        <v>5.4314602700251715</v>
      </c>
      <c r="N222" s="66"/>
      <c r="O222" s="724">
        <f t="array" ref="O222" ca="1">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885</v>
      </c>
      <c r="D223" s="16"/>
      <c r="E223" s="16"/>
      <c r="F223" s="16"/>
      <c r="G223" s="42" t="s">
        <v>556</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845</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888</v>
      </c>
      <c r="D227" s="16"/>
      <c r="E227" s="774">
        <f ca="1">$F$201</f>
        <v>16.548837499999998</v>
      </c>
      <c r="F227" s="667">
        <f ca="1">E227-H237</f>
        <v>1e-12</v>
      </c>
      <c r="G227" s="16"/>
      <c r="H227" s="16" t="s">
        <v>889</v>
      </c>
      <c r="I227" s="16"/>
      <c r="J227" s="16"/>
      <c r="K227" s="774">
        <f ca="1">$N$201</f>
        <v>7.408287499999999</v>
      </c>
      <c r="L227" s="667">
        <f ca="1">K227-H253</f>
        <v>1e-12</v>
      </c>
      <c r="M227" s="16"/>
      <c r="N227" s="5" t="s">
        <v>868</v>
      </c>
      <c r="O227" s="16"/>
      <c r="P227" s="16"/>
      <c r="Q227" s="820">
        <f ca="1">F202</f>
        <v>1e-12</v>
      </c>
      <c r="R227" s="821">
        <f ca="1">Q227-E240</f>
        <v>-14.671278268928386</v>
      </c>
      <c r="S227" s="16"/>
      <c r="T227" s="16"/>
      <c r="U227" s="16"/>
      <c r="V227" s="16"/>
      <c r="W227" s="16"/>
      <c r="X227" s="16"/>
      <c r="Y227" s="16"/>
      <c r="Z227" s="16"/>
      <c r="AA227" s="16"/>
      <c r="AB227" s="16"/>
    </row>
    <row r="228" ht="13.5" customHeight="1" spans="1:28" x14ac:dyDescent="0.25">
      <c r="A228" s="16"/>
      <c r="B228" s="16"/>
      <c r="C228" s="16" t="s">
        <v>849</v>
      </c>
      <c r="D228" s="16"/>
      <c r="E228" s="782">
        <v>1</v>
      </c>
      <c r="F228" s="822"/>
      <c r="G228" s="16"/>
      <c r="H228" s="16" t="s">
        <v>849</v>
      </c>
      <c r="I228" s="16"/>
      <c r="J228" s="16"/>
      <c r="K228" s="782">
        <v>1</v>
      </c>
      <c r="L228" s="822"/>
      <c r="M228" s="16"/>
      <c r="N228" s="491" t="s">
        <v>890</v>
      </c>
      <c r="O228" s="16"/>
      <c r="P228" s="16"/>
      <c r="Q228" s="16"/>
      <c r="R228" s="821">
        <f ca="1">Q227-E248</f>
        <v>-14.671278268928386</v>
      </c>
      <c r="S228" s="16"/>
      <c r="T228" s="16"/>
      <c r="U228" s="16"/>
      <c r="V228" s="16"/>
      <c r="W228" s="16"/>
      <c r="X228" s="16"/>
      <c r="Y228" s="16"/>
      <c r="Z228" s="16"/>
      <c r="AA228" s="16"/>
      <c r="AB228" s="16"/>
    </row>
    <row r="229" ht="13.5" customHeight="1" spans="1:28" x14ac:dyDescent="0.25">
      <c r="A229" s="16"/>
      <c r="B229" s="16"/>
      <c r="C229" s="16" t="s">
        <v>891</v>
      </c>
      <c r="D229" s="16"/>
      <c r="E229" s="783">
        <v>0.1</v>
      </c>
      <c r="F229" s="822"/>
      <c r="G229" s="16"/>
      <c r="H229" s="16" t="s">
        <v>892</v>
      </c>
      <c r="I229" s="16"/>
      <c r="J229" s="16"/>
      <c r="K229" s="783">
        <v>0.1</v>
      </c>
      <c r="L229" s="822"/>
      <c r="M229" s="16"/>
      <c r="N229" s="5" t="s">
        <v>869</v>
      </c>
      <c r="O229" s="16"/>
      <c r="P229" s="16"/>
      <c r="Q229" s="823">
        <f ca="1">N202</f>
        <v>1e-12</v>
      </c>
      <c r="R229" s="821">
        <f ca="1">Q229-E256</f>
        <v>-15108.794109717941</v>
      </c>
      <c r="S229" s="16"/>
      <c r="T229" s="16"/>
      <c r="U229" s="16"/>
      <c r="V229" s="16"/>
      <c r="W229" s="16"/>
      <c r="X229" s="16"/>
      <c r="Y229" s="16"/>
      <c r="Z229" s="16"/>
      <c r="AA229" s="16"/>
      <c r="AB229" s="16"/>
    </row>
    <row r="230" ht="13.5" customHeight="1" spans="1:28" x14ac:dyDescent="0.25">
      <c r="A230" s="16"/>
      <c r="B230" s="16"/>
      <c r="C230" s="16" t="s">
        <v>893</v>
      </c>
      <c r="D230" s="16"/>
      <c r="E230" s="774">
        <f ca="1">$J$201</f>
        <v>21.224141568043322</v>
      </c>
      <c r="F230" s="667">
        <f ca="1">E230-H245</f>
        <v>1e-12</v>
      </c>
      <c r="G230" s="16"/>
      <c r="H230" s="16" t="s">
        <v>894</v>
      </c>
      <c r="I230" s="16"/>
      <c r="J230" s="16"/>
      <c r="K230" s="774">
        <f ca="1">$R$201</f>
        <v>12.655598918298834</v>
      </c>
      <c r="L230" s="667">
        <f ca="1">K230-H261</f>
        <v>1e-12</v>
      </c>
      <c r="M230" s="16"/>
      <c r="N230" s="491" t="s">
        <v>890</v>
      </c>
      <c r="O230" s="825"/>
      <c r="P230" s="16"/>
      <c r="Q230" s="16"/>
      <c r="R230" s="821">
        <f ca="1">Q229-E264</f>
        <v>-15108.794109717941</v>
      </c>
      <c r="S230" s="16"/>
      <c r="T230" s="16"/>
      <c r="U230" s="16"/>
      <c r="V230" s="16"/>
      <c r="W230" s="16"/>
      <c r="X230" s="16"/>
      <c r="Y230" s="16"/>
      <c r="Z230" s="16"/>
      <c r="AA230" s="16"/>
      <c r="AB230" s="16"/>
    </row>
    <row r="231" ht="13.5" customHeight="1" spans="1:28" x14ac:dyDescent="0.25">
      <c r="A231" s="16"/>
      <c r="B231" s="16"/>
      <c r="C231" s="16" t="s">
        <v>849</v>
      </c>
      <c r="D231" s="16"/>
      <c r="E231" s="782">
        <v>1</v>
      </c>
      <c r="F231" s="822"/>
      <c r="G231" s="16"/>
      <c r="H231" s="16" t="s">
        <v>849</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852</v>
      </c>
      <c r="E234" s="22"/>
      <c r="F234" s="22"/>
      <c r="G234" s="22"/>
      <c r="H234" s="22"/>
      <c r="I234" s="22"/>
      <c r="J234" s="7"/>
      <c r="K234" s="784"/>
      <c r="L234" s="63" t="s">
        <v>853</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 ca="1">$G$220&amp;" "&amp;$G$221&amp;" P/E"</f>
        <v>2009-2018 Early Cycle P/E</v>
      </c>
      <c r="G236" s="668"/>
      <c r="H236" s="668"/>
      <c r="I236" s="668"/>
      <c r="J236" s="668"/>
      <c r="K236" s="16"/>
      <c r="L236" s="590"/>
      <c r="M236" s="592"/>
      <c r="N236" s="592" t="str">
        <f t="shared" ref="N236:N237" si="60" ca="1">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 ca="1">$F$204</f>
        <v>1e-12</v>
      </c>
      <c r="F237" s="786">
        <f t="shared" ref="F237:G237" si="61" ca="1">G237-$E$93</f>
        <v>14.548837499999998</v>
      </c>
      <c r="G237" s="786">
        <f ca="1">H237-$E$93</f>
        <v>15.548837499999998</v>
      </c>
      <c r="H237" s="787">
        <v>16.548837499999998</v>
      </c>
      <c r="I237" s="786">
        <f t="shared" ref="I237:J237" si="62" ca="1">H237+$E$93</f>
        <v>17.548837499999998</v>
      </c>
      <c r="J237" s="786">
        <f ca="1">I237+$E$93</f>
        <v>18.548837499999998</v>
      </c>
      <c r="K237" s="16"/>
      <c r="L237" s="16"/>
      <c r="M237" s="788">
        <f ca="1">$H$73</f>
        <v>1e-12</v>
      </c>
      <c r="N237" s="786">
        <f ca="1">F237</f>
        <v>14.548837499999998</v>
      </c>
      <c r="O237" s="786">
        <f t="shared" ref="O237:R237" si="63" ca="1">G237</f>
        <v>15.548837499999998</v>
      </c>
      <c r="P237" s="786">
        <f ca="1">H237</f>
        <v>16.548837499999998</v>
      </c>
      <c r="Q237" s="786">
        <f ca="1">I237</f>
        <v>17.548837499999998</v>
      </c>
      <c r="R237" s="786">
        <f ca="1">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 ca="1">$E$164*(1-(2*$E$153))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 ca="1">E238</f>
        <v>11.73702261514271</v>
      </c>
      <c r="N238" s="793">
        <f t="shared" ref="N238:R242" si="65" ca="1">F238/Share_Price-1</f>
        <v>-0.26769004733880997</v>
      </c>
      <c r="O238" s="661">
        <f ca="1">G238/Share_Price-1</f>
        <v>-0.21735544482082936</v>
      </c>
      <c r="P238" s="661">
        <f ca="1">H238/Share_Price-1</f>
        <v>-0.16702084230284886</v>
      </c>
      <c r="Q238" s="661">
        <f ca="1">I238/Share_Price-1</f>
        <v>-0.11668623978486825</v>
      </c>
      <c r="R238" s="794">
        <f ca="1">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 ca="1">$E$164*(1-$E$153)</f>
        <v>13.204150442035548</v>
      </c>
      <c r="F239" s="795">
        <v>192.10503910672833</v>
      </c>
      <c r="G239" s="796">
        <v>205.30918954876387</v>
      </c>
      <c r="H239" s="796">
        <v>218.5133399907994</v>
      </c>
      <c r="I239" s="796">
        <v>231.71749043283498</v>
      </c>
      <c r="J239" s="797">
        <v>244.92164087487052</v>
      </c>
      <c r="K239" s="16"/>
      <c r="L239" s="678"/>
      <c r="M239" s="826">
        <f ca="1">E239</f>
        <v>13.204150442035548</v>
      </c>
      <c r="N239" s="798">
        <f ca="1">F239/Share_Price-1</f>
        <v>-0.17615130325616124</v>
      </c>
      <c r="O239" s="552">
        <f ca="1">G239/Share_Price-1</f>
        <v>-0.11952487542343315</v>
      </c>
      <c r="P239" s="552">
        <f ca="1">H239/Share_Price-1</f>
        <v>-0.06289844759070506</v>
      </c>
      <c r="Q239" s="552">
        <f ca="1">I239/Share_Price-1</f>
        <v>-0.0062720197579767545</v>
      </c>
      <c r="R239" s="674">
        <f ca="1">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 ca="1">E240</f>
        <v>14.671278268928386</v>
      </c>
      <c r="N240" s="798">
        <f ca="1">F240/Share_Price-1</f>
        <v>-0.08461255917351251</v>
      </c>
      <c r="O240" s="552">
        <f ca="1">G240/Share_Price-1</f>
        <v>-0.021694306026036725</v>
      </c>
      <c r="P240" s="552">
        <f ca="1">H240/Share_Price-1</f>
        <v>0.04122394712143884</v>
      </c>
      <c r="Q240" s="552">
        <f ca="1">I240/Share_Price-1</f>
        <v>0.10414220026891452</v>
      </c>
      <c r="R240" s="674">
        <f ca="1">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 ca="1">$E$164*(1+$E$153)</f>
        <v>16.138406095821225</v>
      </c>
      <c r="F241" s="795">
        <v>234.79504779711237</v>
      </c>
      <c r="G241" s="796">
        <v>250.9334538929336</v>
      </c>
      <c r="H241" s="796">
        <v>267.07185998875485</v>
      </c>
      <c r="I241" s="796">
        <v>283.21026608457606</v>
      </c>
      <c r="J241" s="797">
        <v>299.3486721803973</v>
      </c>
      <c r="K241" s="16"/>
      <c r="L241" s="678"/>
      <c r="M241" s="826">
        <f ca="1">E241</f>
        <v>16.138406095821225</v>
      </c>
      <c r="N241" s="798">
        <f ca="1">F241/Share_Price-1</f>
        <v>0.006926184909136213</v>
      </c>
      <c r="O241" s="552">
        <f ca="1">G241/Share_Price-1</f>
        <v>0.07613626337135959</v>
      </c>
      <c r="P241" s="552">
        <f ca="1">H241/Share_Price-1</f>
        <v>0.14534634183358275</v>
      </c>
      <c r="Q241" s="552">
        <f ca="1">I241/Share_Price-1</f>
        <v>0.21455642029580613</v>
      </c>
      <c r="R241" s="674">
        <f ca="1">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 ca="1">$E$164*(1+(2*$E$153))</f>
        <v>17.605533922714063</v>
      </c>
      <c r="F242" s="801">
        <v>256.1400521423044</v>
      </c>
      <c r="G242" s="802">
        <v>273.7455860650185</v>
      </c>
      <c r="H242" s="802">
        <v>291.35111998773255</v>
      </c>
      <c r="I242" s="802">
        <v>308.9566539104466</v>
      </c>
      <c r="J242" s="803">
        <v>326.5621878331607</v>
      </c>
      <c r="K242" s="16"/>
      <c r="L242" s="683"/>
      <c r="M242" s="826">
        <f ca="1">E242</f>
        <v>17.605533922714063</v>
      </c>
      <c r="N242" s="804">
        <f ca="1">F242/Share_Price-1</f>
        <v>0.09846492899178494</v>
      </c>
      <c r="O242" s="670">
        <f ca="1">G242/Share_Price-1</f>
        <v>0.1739668327687558</v>
      </c>
      <c r="P242" s="670">
        <f ca="1">H242/Share_Price-1</f>
        <v>0.24946873654572665</v>
      </c>
      <c r="Q242" s="670">
        <f ca="1">I242/Share_Price-1</f>
        <v>0.3249706403226975</v>
      </c>
      <c r="R242" s="805">
        <f ca="1">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 ca="1">$G$220&amp;" "&amp;$G$221&amp;" P/E Spread to Comps"</f>
        <v>2009-2018 Early Cycle P/E Spread to Comps</v>
      </c>
      <c r="G244" s="668"/>
      <c r="H244" s="668"/>
      <c r="I244" s="668"/>
      <c r="J244" s="668"/>
      <c r="K244" s="16"/>
      <c r="L244" s="590"/>
      <c r="M244" s="592"/>
      <c r="N244" s="592" t="str">
        <f t="shared" ref="N244:N245" si="66" ca="1">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 ca="1">$J$204</f>
        <v>1e-12</v>
      </c>
      <c r="F245" s="786">
        <f t="shared" ref="F245:G245" si="67" ca="1">G245-$E$93</f>
        <v>19.224141568043322</v>
      </c>
      <c r="G245" s="786">
        <f ca="1">H245-$E$93</f>
        <v>20.224141568043322</v>
      </c>
      <c r="H245" s="787">
        <v>21.224141568043322</v>
      </c>
      <c r="I245" s="786">
        <f t="shared" ref="I245:J245" si="68" ca="1">H245+$E$93</f>
        <v>22.224141568043322</v>
      </c>
      <c r="J245" s="786">
        <f ca="1">I245+$E$93</f>
        <v>23.224141568043322</v>
      </c>
      <c r="K245" s="16"/>
      <c r="L245" s="16"/>
      <c r="M245" s="785">
        <f ca="1">$H$73</f>
        <v>1e-12</v>
      </c>
      <c r="N245" s="786">
        <f ca="1">F245</f>
        <v>19.224141568043322</v>
      </c>
      <c r="O245" s="786">
        <f t="shared" ref="O245:R245" si="69" ca="1">G245</f>
        <v>20.224141568043322</v>
      </c>
      <c r="P245" s="786">
        <f ca="1">H245</f>
        <v>21.224141568043322</v>
      </c>
      <c r="Q245" s="786">
        <f ca="1">I245</f>
        <v>22.224141568043322</v>
      </c>
      <c r="R245" s="786">
        <f ca="1">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 ca="1">$E$172*(1-(2*$E$153))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 ca="1">E246</f>
        <v>11.73702261514271</v>
      </c>
      <c r="N246" s="793">
        <f t="shared" ref="N246:R250" si="71" ca="1">F246/Share_Price-1</f>
        <v>-0.03236047542315168</v>
      </c>
      <c r="O246" s="661">
        <f ca="1">G246/Share_Price-1</f>
        <v>0.017974127094828818</v>
      </c>
      <c r="P246" s="661">
        <f ca="1">H246/Share_Price-1</f>
        <v>0.06830872961280954</v>
      </c>
      <c r="Q246" s="661">
        <f ca="1">I246/Share_Price-1</f>
        <v>0.11864333213079004</v>
      </c>
      <c r="R246" s="794">
        <f ca="1">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 ca="1">$E$172*(1-$E$153)</f>
        <v>13.204150442035548</v>
      </c>
      <c r="F247" s="795">
        <v>253.8384573834332</v>
      </c>
      <c r="G247" s="796">
        <v>267.04260782546874</v>
      </c>
      <c r="H247" s="796">
        <v>280.2467582675043</v>
      </c>
      <c r="I247" s="796">
        <v>293.4509087095398</v>
      </c>
      <c r="J247" s="797">
        <v>306.65505915157536</v>
      </c>
      <c r="K247" s="16"/>
      <c r="L247" s="678"/>
      <c r="M247" s="826">
        <f ca="1">E247</f>
        <v>13.204150442035548</v>
      </c>
      <c r="N247" s="798">
        <f ca="1">F247/Share_Price-1</f>
        <v>0.0885944651489543</v>
      </c>
      <c r="O247" s="552">
        <f ca="1">G247/Share_Price-1</f>
        <v>0.1452208929816825</v>
      </c>
      <c r="P247" s="552">
        <f ca="1">H247/Share_Price-1</f>
        <v>0.2018473208144107</v>
      </c>
      <c r="Q247" s="552">
        <f ca="1">I247/Share_Price-1</f>
        <v>0.2584737486471387</v>
      </c>
      <c r="R247" s="674">
        <f ca="1">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 ca="1">E248</f>
        <v>14.671278268928386</v>
      </c>
      <c r="N248" s="798">
        <f ca="1">F248/Share_Price-1</f>
        <v>0.2095494057210605</v>
      </c>
      <c r="O248" s="552">
        <f ca="1">G248/Share_Price-1</f>
        <v>0.27246765886853597</v>
      </c>
      <c r="P248" s="552">
        <f ca="1">H248/Share_Price-1</f>
        <v>0.33538591201601187</v>
      </c>
      <c r="Q248" s="552">
        <f ca="1">I248/Share_Price-1</f>
        <v>0.39830416516348754</v>
      </c>
      <c r="R248" s="674">
        <f ca="1">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 ca="1">$E$172*(1+$E$153)</f>
        <v>16.138406095821225</v>
      </c>
      <c r="F249" s="795">
        <v>310.24700346864057</v>
      </c>
      <c r="G249" s="796">
        <v>326.3854095644618</v>
      </c>
      <c r="H249" s="796">
        <v>342.523815660283</v>
      </c>
      <c r="I249" s="796">
        <v>358.6622217561042</v>
      </c>
      <c r="J249" s="797">
        <v>374.80062785192547</v>
      </c>
      <c r="K249" s="16"/>
      <c r="L249" s="678"/>
      <c r="M249" s="826">
        <f ca="1">E249</f>
        <v>16.138406095821225</v>
      </c>
      <c r="N249" s="798">
        <f ca="1">F249/Share_Price-1</f>
        <v>0.3305043462931665</v>
      </c>
      <c r="O249" s="552">
        <f ca="1">G249/Share_Price-1</f>
        <v>0.39971442475538965</v>
      </c>
      <c r="P249" s="552">
        <f ca="1">H249/Share_Price-1</f>
        <v>0.46892450321761303</v>
      </c>
      <c r="Q249" s="552">
        <f ca="1">I249/Share_Price-1</f>
        <v>0.5381345816798362</v>
      </c>
      <c r="R249" s="674">
        <f ca="1">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 ca="1">$E$172*(1+(2*$E$153))</f>
        <v>17.605533922714063</v>
      </c>
      <c r="F250" s="801">
        <v>338.4512765112442</v>
      </c>
      <c r="G250" s="802">
        <v>356.0568104339583</v>
      </c>
      <c r="H250" s="802">
        <v>373.66234435667235</v>
      </c>
      <c r="I250" s="802">
        <v>391.2678782793864</v>
      </c>
      <c r="J250" s="803">
        <v>408.8734122021005</v>
      </c>
      <c r="K250" s="16"/>
      <c r="L250" s="683"/>
      <c r="M250" s="826">
        <f ca="1">E250</f>
        <v>17.605533922714063</v>
      </c>
      <c r="N250" s="804">
        <f ca="1">F250/Share_Price-1</f>
        <v>0.45145928686527226</v>
      </c>
      <c r="O250" s="670">
        <f ca="1">G250/Share_Price-1</f>
        <v>0.5269611906422431</v>
      </c>
      <c r="P250" s="670">
        <f ca="1">H250/Share_Price-1</f>
        <v>0.602463094419214</v>
      </c>
      <c r="Q250" s="670">
        <f ca="1">I250/Share_Price-1</f>
        <v>0.677964998196185</v>
      </c>
      <c r="R250" s="805">
        <f ca="1">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 ca="1">$G$220&amp;" "&amp;$G$221&amp;" EV/EBITDA"</f>
        <v>2009-2018 Early Cycle EV/EBITDA</v>
      </c>
      <c r="G252" s="668"/>
      <c r="H252" s="668"/>
      <c r="I252" s="668"/>
      <c r="J252" s="668"/>
      <c r="K252" s="16"/>
      <c r="L252" s="590"/>
      <c r="M252" s="592"/>
      <c r="N252" s="592" t="str">
        <f t="shared" ref="N252:N253" si="72" ca="1">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 ca="1">$N$215</f>
        <v>-24.124469589816126</v>
      </c>
      <c r="F253" s="786">
        <f t="shared" ref="F253:G253" si="73" ca="1">G253-$E$93</f>
        <v>5.408287499999999</v>
      </c>
      <c r="G253" s="786">
        <f ca="1">H253-$E$93</f>
        <v>6.408287499999999</v>
      </c>
      <c r="H253" s="787">
        <v>7.408287499999999</v>
      </c>
      <c r="I253" s="786">
        <f t="shared" ref="I253:J253" si="74" ca="1">H253+$E$93</f>
        <v>8.4082875</v>
      </c>
      <c r="J253" s="786">
        <f ca="1">I253+$E$93</f>
        <v>9.4082875</v>
      </c>
      <c r="K253" s="16"/>
      <c r="L253" s="16"/>
      <c r="M253" s="785">
        <f ca="1">$H$73</f>
        <v>1e-12</v>
      </c>
      <c r="N253" s="786">
        <f ca="1">F253</f>
        <v>5.408287499999999</v>
      </c>
      <c r="O253" s="786">
        <f t="shared" ref="O253:R253" si="75" ca="1">G253</f>
        <v>6.408287499999999</v>
      </c>
      <c r="P253" s="786">
        <f ca="1">H253</f>
        <v>7.408287499999999</v>
      </c>
      <c r="Q253" s="786">
        <f ca="1">I253</f>
        <v>8.4082875</v>
      </c>
      <c r="R253" s="786">
        <f ca="1">J253</f>
        <v>9.4082875</v>
      </c>
      <c r="S253" s="16"/>
      <c r="T253" s="16"/>
      <c r="U253" s="16"/>
      <c r="V253" s="16"/>
      <c r="W253" s="16"/>
      <c r="X253" s="16"/>
      <c r="Y253" s="16"/>
      <c r="Z253" s="16"/>
      <c r="AA253" s="16"/>
      <c r="AB253" s="16"/>
    </row>
    <row r="254" ht="13.5" customHeight="1" spans="1:28" x14ac:dyDescent="0.25">
      <c r="A254" s="16"/>
      <c r="B254" s="16"/>
      <c r="C254" s="16"/>
      <c r="D254" s="673" t="s">
        <v>292</v>
      </c>
      <c r="E254" s="762">
        <f ca="1">$E$180*(1-(2*$K$153))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 ca="1">E254</f>
        <v>12087.035287774353</v>
      </c>
      <c r="N254" s="793">
        <f t="shared" ref="N254:R258" si="77" ca="1">F254/Share_Price-1</f>
        <v>-0.7099033254536987</v>
      </c>
      <c r="O254" s="661">
        <f ca="1">G254/Share_Price-1</f>
        <v>-0.6349963265701155</v>
      </c>
      <c r="P254" s="661">
        <f ca="1">H254/Share_Price-1</f>
        <v>-0.5600893276865323</v>
      </c>
      <c r="Q254" s="661">
        <f ca="1">I254/Share_Price-1</f>
        <v>-0.4851823288029492</v>
      </c>
      <c r="R254" s="794">
        <f ca="1">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 ca="1">$E$180*(1-$K$153)</f>
        <v>13597.914698746146</v>
      </c>
      <c r="F255" s="795">
        <v>79.45293654811421</v>
      </c>
      <c r="G255" s="796">
        <v>99.10310229774737</v>
      </c>
      <c r="H255" s="796">
        <v>118.75326804738054</v>
      </c>
      <c r="I255" s="796">
        <v>138.40343379701372</v>
      </c>
      <c r="J255" s="797">
        <v>158.0535995466469</v>
      </c>
      <c r="K255" s="16"/>
      <c r="L255" s="678"/>
      <c r="M255" s="762">
        <f ca="1">E255</f>
        <v>13597.914698746146</v>
      </c>
      <c r="N255" s="798">
        <f ca="1">F255/Share_Price-1</f>
        <v>-0.6592635022381241</v>
      </c>
      <c r="O255" s="552">
        <f ca="1">G255/Share_Price-1</f>
        <v>-0.5749931284940931</v>
      </c>
      <c r="P255" s="552">
        <f ca="1">H255/Share_Price-1</f>
        <v>-0.490722754750062</v>
      </c>
      <c r="Q255" s="552">
        <f ca="1">I255/Share_Price-1</f>
        <v>-0.40645238100603087</v>
      </c>
      <c r="R255" s="674">
        <f ca="1">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 ca="1">E256</f>
        <v>15108.794109717941</v>
      </c>
      <c r="N256" s="798">
        <f ca="1">F256/Share_Price-1</f>
        <v>-0.6086236790225494</v>
      </c>
      <c r="O256" s="552">
        <f ca="1">G256/Share_Price-1</f>
        <v>-0.5149899304180705</v>
      </c>
      <c r="P256" s="552">
        <f ca="1">H256/Share_Price-1</f>
        <v>-0.4213561818135916</v>
      </c>
      <c r="Q256" s="552">
        <f ca="1">I256/Share_Price-1</f>
        <v>-0.32772243320911254</v>
      </c>
      <c r="R256" s="674">
        <f ca="1">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 ca="1">$E$180*(1+$K$153)</f>
        <v>16619.673520689736</v>
      </c>
      <c r="F257" s="795">
        <v>103.06932450292959</v>
      </c>
      <c r="G257" s="796">
        <v>127.08619375248122</v>
      </c>
      <c r="H257" s="796">
        <v>151.10306300203288</v>
      </c>
      <c r="I257" s="796">
        <v>175.11993225158452</v>
      </c>
      <c r="J257" s="797">
        <v>199.13680150113618</v>
      </c>
      <c r="K257" s="16"/>
      <c r="L257" s="678"/>
      <c r="M257" s="762">
        <f ca="1">E257</f>
        <v>16619.673520689736</v>
      </c>
      <c r="N257" s="798">
        <f ca="1">F257/Share_Price-1</f>
        <v>-0.557983855806975</v>
      </c>
      <c r="O257" s="552">
        <f ca="1">G257/Share_Price-1</f>
        <v>-0.4549867323420481</v>
      </c>
      <c r="P257" s="552">
        <f ca="1">H257/Share_Price-1</f>
        <v>-0.35198960887712116</v>
      </c>
      <c r="Q257" s="552">
        <f ca="1">I257/Share_Price-1</f>
        <v>-0.24899248541219443</v>
      </c>
      <c r="R257" s="674">
        <f ca="1">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 ca="1">$E$180*(1+(2*$K$153))</f>
        <v>18130.55293166153</v>
      </c>
      <c r="F258" s="801">
        <v>114.87751848033726</v>
      </c>
      <c r="G258" s="802">
        <v>141.07773947984813</v>
      </c>
      <c r="H258" s="802">
        <v>167.277960479359</v>
      </c>
      <c r="I258" s="802">
        <v>193.47818147886994</v>
      </c>
      <c r="J258" s="803">
        <v>219.6784024783808</v>
      </c>
      <c r="K258" s="16"/>
      <c r="L258" s="683"/>
      <c r="M258" s="762">
        <f ca="1">E258</f>
        <v>18130.55293166153</v>
      </c>
      <c r="N258" s="804">
        <f ca="1">F258/Share_Price-1</f>
        <v>-0.5073440325914004</v>
      </c>
      <c r="O258" s="670">
        <f ca="1">G258/Share_Price-1</f>
        <v>-0.3949835342660257</v>
      </c>
      <c r="P258" s="670">
        <f ca="1">H258/Share_Price-1</f>
        <v>-0.2826230359406511</v>
      </c>
      <c r="Q258" s="670">
        <f ca="1">I258/Share_Price-1</f>
        <v>-0.170262537615276</v>
      </c>
      <c r="R258" s="805">
        <f ca="1">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 ca="1">$G$220&amp;" "&amp;$G$221&amp;" EV/EBITDA Spread to Comps"</f>
        <v>2009-2018 Early Cycle EV/EBITDA Spread to Comps</v>
      </c>
      <c r="G260" s="668"/>
      <c r="H260" s="668"/>
      <c r="I260" s="668"/>
      <c r="J260" s="668"/>
      <c r="K260" s="16"/>
      <c r="L260" s="590"/>
      <c r="M260" s="592"/>
      <c r="N260" s="592" t="str">
        <f t="shared" ref="N260:N261" si="78" ca="1">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 ca="1">$R$215</f>
        <v>-24.124469589816126</v>
      </c>
      <c r="F261" s="786">
        <f t="shared" ref="F261:G261" si="79" ca="1">G261-$E$93</f>
        <v>10.655598918298834</v>
      </c>
      <c r="G261" s="786">
        <f ca="1">H261-$E$93</f>
        <v>11.655598918298834</v>
      </c>
      <c r="H261" s="787">
        <v>12.655598918298834</v>
      </c>
      <c r="I261" s="786">
        <f t="shared" ref="I261:J261" si="80" ca="1">H261+$E$93</f>
        <v>13.655598918298834</v>
      </c>
      <c r="J261" s="786">
        <f ca="1">I261+$E$93</f>
        <v>14.655598918298834</v>
      </c>
      <c r="K261" s="16"/>
      <c r="L261" s="16"/>
      <c r="M261" s="785">
        <f ca="1">$H$73</f>
        <v>1e-12</v>
      </c>
      <c r="N261" s="786">
        <f ca="1">F261</f>
        <v>10.655598918298834</v>
      </c>
      <c r="O261" s="786">
        <f t="shared" ref="O261:R261" si="81" ca="1">G261</f>
        <v>11.655598918298834</v>
      </c>
      <c r="P261" s="786">
        <f ca="1">H261</f>
        <v>12.655598918298834</v>
      </c>
      <c r="Q261" s="786">
        <f ca="1">I261</f>
        <v>13.655598918298834</v>
      </c>
      <c r="R261" s="786">
        <f ca="1">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 ca="1">$E$188*(1-(2*$K$153))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 ca="1">E262</f>
        <v>12087.035287774353</v>
      </c>
      <c r="N262" s="793">
        <f t="shared" ref="N262:R266" si="83" ca="1">F262/Share_Price-1</f>
        <v>-0.3168429749013748</v>
      </c>
      <c r="O262" s="661">
        <f ca="1">G262/Share_Price-1</f>
        <v>-0.2419359760177916</v>
      </c>
      <c r="P262" s="661">
        <f ca="1">H262/Share_Price-1</f>
        <v>-0.1670289771342084</v>
      </c>
      <c r="Q262" s="661">
        <f ca="1">I262/Share_Price-1</f>
        <v>-0.09212197825062529</v>
      </c>
      <c r="R262" s="794">
        <f ca="1">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 ca="1">$E$188*(1-$K$153)</f>
        <v>13597.914698746146</v>
      </c>
      <c r="F263" s="795">
        <v>182.56347565762897</v>
      </c>
      <c r="G263" s="796">
        <v>202.21364140726214</v>
      </c>
      <c r="H263" s="796">
        <v>221.8638071568953</v>
      </c>
      <c r="I263" s="796">
        <v>241.51397290652844</v>
      </c>
      <c r="J263" s="797">
        <v>261.1641386561616</v>
      </c>
      <c r="K263" s="16"/>
      <c r="L263" s="678"/>
      <c r="M263" s="762">
        <f ca="1">E263</f>
        <v>13597.914698746146</v>
      </c>
      <c r="N263" s="798">
        <f ca="1">F263/Share_Price-1</f>
        <v>-0.2170706078667597</v>
      </c>
      <c r="O263" s="552">
        <f ca="1">G263/Share_Price-1</f>
        <v>-0.13280023412272868</v>
      </c>
      <c r="P263" s="552">
        <f ca="1">H263/Share_Price-1</f>
        <v>-0.048529860378697665</v>
      </c>
      <c r="Q263" s="552">
        <f ca="1">I263/Share_Price-1</f>
        <v>0.03574051336533324</v>
      </c>
      <c r="R263" s="674">
        <f ca="1">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 ca="1">E264</f>
        <v>15108.794109717941</v>
      </c>
      <c r="N264" s="798">
        <f ca="1">F264/Share_Price-1</f>
        <v>-0.11729824083214468</v>
      </c>
      <c r="O264" s="552">
        <f ca="1">G264/Share_Price-1</f>
        <v>-0.023664492227665757</v>
      </c>
      <c r="P264" s="552">
        <f ca="1">H264/Share_Price-1</f>
        <v>0.06996925637681328</v>
      </c>
      <c r="Q264" s="552">
        <f ca="1">I264/Share_Price-1</f>
        <v>0.1636030049812922</v>
      </c>
      <c r="R264" s="674">
        <f ca="1">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 ca="1">$E$188*(1+$K$153)</f>
        <v>16619.673520689736</v>
      </c>
      <c r="F265" s="795">
        <v>229.0933167478921</v>
      </c>
      <c r="G265" s="796">
        <v>253.1101859974437</v>
      </c>
      <c r="H265" s="796">
        <v>277.1270552469953</v>
      </c>
      <c r="I265" s="796">
        <v>301.143924496547</v>
      </c>
      <c r="J265" s="797">
        <v>325.16079374609865</v>
      </c>
      <c r="K265" s="16"/>
      <c r="L265" s="678"/>
      <c r="M265" s="762">
        <f ca="1">E265</f>
        <v>16619.673520689736</v>
      </c>
      <c r="N265" s="798">
        <f ca="1">F265/Share_Price-1</f>
        <v>-0.017525873797529457</v>
      </c>
      <c r="O265" s="552">
        <f ca="1">G265/Share_Price-1</f>
        <v>0.08547124966739728</v>
      </c>
      <c r="P265" s="552">
        <f ca="1">H265/Share_Price-1</f>
        <v>0.188468373132324</v>
      </c>
      <c r="Q265" s="552">
        <f ca="1">I265/Share_Price-1</f>
        <v>0.2914654965972512</v>
      </c>
      <c r="R265" s="674">
        <f ca="1">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 ca="1">$E$188*(1+(2*$K$153))</f>
        <v>18130.55293166153</v>
      </c>
      <c r="F266" s="801">
        <v>252.3582372930236</v>
      </c>
      <c r="G266" s="802">
        <v>278.5584582925345</v>
      </c>
      <c r="H266" s="802">
        <v>304.7586792920453</v>
      </c>
      <c r="I266" s="802">
        <v>330.95890029155623</v>
      </c>
      <c r="J266" s="803">
        <v>357.1591212910671</v>
      </c>
      <c r="K266" s="16"/>
      <c r="L266" s="683"/>
      <c r="M266" s="762">
        <f ca="1">E266</f>
        <v>18130.55293166153</v>
      </c>
      <c r="N266" s="804">
        <f ca="1">F266/Share_Price-1</f>
        <v>0.08224649323708544</v>
      </c>
      <c r="O266" s="670">
        <f ca="1">G266/Share_Price-1</f>
        <v>0.19460699156246042</v>
      </c>
      <c r="P266" s="670">
        <f ca="1">H266/Share_Price-1</f>
        <v>0.30696748988783473</v>
      </c>
      <c r="Q266" s="670">
        <f ca="1">I266/Share_Price-1</f>
        <v>0.4193279882132097</v>
      </c>
      <c r="R266" s="805">
        <f ca="1">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808</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869</v>
      </c>
      <c r="F270" s="44"/>
      <c r="G270" s="109" t="s">
        <v>904</v>
      </c>
      <c r="H270" s="109"/>
      <c r="I270" s="109" t="s">
        <v>905</v>
      </c>
      <c r="J270" s="109"/>
      <c r="K270" s="109" t="s">
        <v>867</v>
      </c>
      <c r="L270" s="109"/>
      <c r="M270" s="45" t="s">
        <v>906</v>
      </c>
      <c r="N270" s="16"/>
      <c r="O270" s="92" t="s">
        <v>907</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 ca="1">'Segment Analysis'!C16</f>
        <v>Home Improvement Retail</v>
      </c>
      <c r="D272" s="16"/>
      <c r="E272" s="832">
        <f ca="1">SUM('Segment Analysis'!W70:X70,'Segment Analysis'!Z70:AA70)</f>
        <v>14887.766997086248</v>
      </c>
      <c r="F272" s="16"/>
      <c r="G272" s="690">
        <f ca="1">IF($G289=Comparables!$D$86,Valuation!$E$12,IF(Valuation!$G289=Comparables!$G$86,Valuation!$E$17,IF(Valuation!$G289=Comparables!$L$86,Valuation!$E$22,IF($G289=Company_Name,$D$12))))</f>
        <v>15.517159999999999</v>
      </c>
      <c r="H272" s="548"/>
      <c r="I272" s="833">
        <v>0</v>
      </c>
      <c r="J272" s="548"/>
      <c r="K272" s="548">
        <f t="shared" ref="K272:K277" si="84" ca="1">G272+I272</f>
        <v>15.517159999999999</v>
      </c>
      <c r="L272" s="548"/>
      <c r="M272" s="116">
        <f t="shared" ref="M272:M277" si="85" ca="1">E272*K272</f>
        <v>231015.86253650681</v>
      </c>
      <c r="N272" s="16"/>
      <c r="O272" s="188" t="s">
        <v>870</v>
      </c>
      <c r="P272" s="16"/>
      <c r="Q272" s="16"/>
      <c r="R272" s="762">
        <f ca="1">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 ca="1">'Segment Analysis'!C17</f>
        <v>Segment 2</v>
      </c>
      <c r="D273" s="16"/>
      <c r="E273" s="832">
        <f ca="1">SUM('Segment Analysis'!W71:X71,'Segment Analysis'!Z71:AA71)</f>
        <v>1e-12</v>
      </c>
      <c r="F273" s="16"/>
      <c r="G273" s="690">
        <f ca="1">IF($G290=Comparables!$D$86,Valuation!$E$12,IF(Valuation!$G290=Comparables!$G$86,Valuation!$E$17,IF(Valuation!$G290=Comparables!$L$86,Valuation!$E$22,IF($G290=Company_Name,$D$12))))</f>
        <v>15.517159999999999</v>
      </c>
      <c r="H273" s="548"/>
      <c r="I273" s="833">
        <v>0</v>
      </c>
      <c r="J273" s="548"/>
      <c r="K273" s="548">
        <f ca="1">G273+I273</f>
        <v>15.517159999999999</v>
      </c>
      <c r="L273" s="548"/>
      <c r="M273" s="116">
        <f ca="1">E273*K273</f>
        <v>1e-12</v>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 ca="1">'Segment Analysis'!C18</f>
        <v>Segment 3</v>
      </c>
      <c r="D274" s="16"/>
      <c r="E274" s="832">
        <f ca="1">SUM('Segment Analysis'!W72:X72,'Segment Analysis'!Z72:AA72)</f>
        <v>1e-12</v>
      </c>
      <c r="F274" s="16"/>
      <c r="G274" s="690" t="b">
        <f ca="1">IF($G291=Comparables!$D$86,Valuation!$E$12,IF(Valuation!$G291=Comparables!$G$86,Valuation!$E$17,IF(Valuation!$G291=Comparables!$L$86,Valuation!$E$22,IF($G291=Company_Name,$D$12))))</f>
        <v>0</v>
      </c>
      <c r="H274" s="548"/>
      <c r="I274" s="833">
        <v>0</v>
      </c>
      <c r="J274" s="548"/>
      <c r="K274" s="548">
        <f ca="1">G274+I274</f>
        <v>1e-12</v>
      </c>
      <c r="L274" s="548"/>
      <c r="M274" s="116">
        <f ca="1">E274*K274</f>
        <v>1e-12</v>
      </c>
      <c r="N274" s="16"/>
      <c r="O274" s="188" t="s">
        <v>873</v>
      </c>
      <c r="P274" s="16"/>
      <c r="Q274" s="16"/>
      <c r="R274" s="816">
        <f t="shared" ref="R274:R279" si="86" ca="1">K66</f>
        <v>6255</v>
      </c>
      <c r="S274" s="16"/>
      <c r="T274" s="16"/>
      <c r="U274" s="16"/>
      <c r="V274" s="16"/>
      <c r="W274" s="16"/>
      <c r="X274" s="16"/>
      <c r="Y274" s="16"/>
      <c r="Z274" s="16"/>
      <c r="AA274" s="16"/>
      <c r="AB274" s="16"/>
    </row>
    <row r="275" ht="13.5" customHeight="1" hidden="1" spans="1:28" x14ac:dyDescent="0.25" outlineLevel="1" collapsed="1">
      <c r="A275" s="16"/>
      <c r="B275" s="16"/>
      <c r="C275" s="16" t="str">
        <f ca="1">'Segment Analysis'!C19</f>
        <v>Segment 4</v>
      </c>
      <c r="D275" s="16"/>
      <c r="E275" s="832">
        <f ca="1">SUM('Segment Analysis'!W73:X73,'Segment Analysis'!Z73:AA73)</f>
        <v>1e-12</v>
      </c>
      <c r="F275" s="16"/>
      <c r="G275" s="690" t="b">
        <f ca="1">IF($G292=Comparables!$D$86,Valuation!$E$12,IF(Valuation!$G292=Comparables!$G$86,Valuation!$E$17,IF(Valuation!$G292=Comparables!$L$86,Valuation!$E$22,IF($G292=Company_Name,$D$12))))</f>
        <v>0</v>
      </c>
      <c r="H275" s="548"/>
      <c r="I275" s="833">
        <v>0</v>
      </c>
      <c r="J275" s="548"/>
      <c r="K275" s="548">
        <f ca="1">G275+I275</f>
        <v>1e-12</v>
      </c>
      <c r="L275" s="548"/>
      <c r="M275" s="116">
        <f ca="1">E275*K275</f>
        <v>1e-12</v>
      </c>
      <c r="N275" s="16"/>
      <c r="O275" s="188" t="s">
        <v>874</v>
      </c>
      <c r="P275" s="16"/>
      <c r="Q275" s="16"/>
      <c r="R275" s="765">
        <f ca="1">K67</f>
        <v>1e-12</v>
      </c>
      <c r="S275" s="16"/>
      <c r="T275" s="16"/>
      <c r="U275" s="16"/>
      <c r="V275" s="16"/>
      <c r="W275" s="16"/>
      <c r="X275" s="16"/>
      <c r="Y275" s="16"/>
      <c r="Z275" s="16"/>
      <c r="AA275" s="16"/>
      <c r="AB275" s="16"/>
    </row>
    <row r="276" ht="13.5" customHeight="1" hidden="1" spans="1:28" x14ac:dyDescent="0.25" outlineLevel="1" collapsed="1">
      <c r="A276" s="16"/>
      <c r="B276" s="16"/>
      <c r="C276" s="16" t="str">
        <f ca="1">'Segment Analysis'!C20</f>
        <v>Segment 5</v>
      </c>
      <c r="D276" s="16"/>
      <c r="E276" s="832">
        <f ca="1">SUM('Segment Analysis'!W74:X74,'Segment Analysis'!Z74:AA74)</f>
        <v>1e-12</v>
      </c>
      <c r="F276" s="16"/>
      <c r="G276" s="690" t="b">
        <f ca="1">IF($G293=Comparables!$D$86,Valuation!$E$12,IF(Valuation!$G293=Comparables!$G$86,Valuation!$E$17,IF(Valuation!$G293=Comparables!$L$86,Valuation!$E$22,IF($G293=Company_Name,$D$12))))</f>
        <v>0</v>
      </c>
      <c r="H276" s="548"/>
      <c r="I276" s="833">
        <v>0</v>
      </c>
      <c r="J276" s="548"/>
      <c r="K276" s="548">
        <f ca="1">G276+I276</f>
        <v>1e-12</v>
      </c>
      <c r="L276" s="548"/>
      <c r="M276" s="116">
        <f ca="1">E276*K276</f>
        <v>1e-12</v>
      </c>
      <c r="N276" s="16"/>
      <c r="O276" s="188" t="s">
        <v>875</v>
      </c>
      <c r="P276" s="16"/>
      <c r="Q276" s="16"/>
      <c r="R276" s="765">
        <f ca="1">K68</f>
        <v>-23311</v>
      </c>
      <c r="S276" s="16"/>
      <c r="T276" s="16"/>
      <c r="U276" s="16"/>
      <c r="V276" s="16"/>
      <c r="W276" s="16"/>
      <c r="X276" s="16"/>
      <c r="Y276" s="16"/>
      <c r="Z276" s="16"/>
      <c r="AA276" s="16"/>
      <c r="AB276" s="16"/>
    </row>
    <row r="277" ht="13.5" customHeight="1" hidden="1" spans="1:28" x14ac:dyDescent="0.25" outlineLevel="1" collapsed="1">
      <c r="A277" s="16"/>
      <c r="B277" s="16"/>
      <c r="C277" s="16" t="str">
        <f ca="1">'Segment Analysis'!C21</f>
        <v>Segment 6</v>
      </c>
      <c r="D277" s="16"/>
      <c r="E277" s="832">
        <f ca="1">SUM('Segment Analysis'!W75:X75,'Segment Analysis'!Z75:AA75)</f>
        <v>1e-12</v>
      </c>
      <c r="F277" s="16"/>
      <c r="G277" s="690" t="b">
        <f ca="1">IF($G294=Comparables!$D$86,Valuation!$E$12,IF(Valuation!$G294=Comparables!$G$86,Valuation!$E$17,IF(Valuation!$G294=Comparables!$L$86,Valuation!$E$22,IF($G294=Company_Name,$D$12))))</f>
        <v>0</v>
      </c>
      <c r="H277" s="548"/>
      <c r="I277" s="833">
        <v>0</v>
      </c>
      <c r="J277" s="548"/>
      <c r="K277" s="548">
        <f ca="1">G277+I277</f>
        <v>1e-12</v>
      </c>
      <c r="L277" s="548"/>
      <c r="M277" s="116">
        <f ca="1">E277*K277</f>
        <v>1e-12</v>
      </c>
      <c r="N277" s="16"/>
      <c r="O277" s="188" t="s">
        <v>876</v>
      </c>
      <c r="P277" s="16"/>
      <c r="Q277" s="16"/>
      <c r="R277" s="765">
        <f ca="1">K69</f>
        <v>1e-12</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877</v>
      </c>
      <c r="P278" s="16"/>
      <c r="Q278" s="16"/>
      <c r="R278" s="765">
        <f ca="1">K70</f>
        <v>1e-12</v>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878</v>
      </c>
      <c r="P279" s="131"/>
      <c r="Q279" s="16"/>
      <c r="R279" s="819">
        <f ca="1">K71</f>
        <v>1e-12</v>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879</v>
      </c>
      <c r="P281" s="16"/>
      <c r="Q281" s="16"/>
      <c r="R281" s="814">
        <f ca="1">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 ca="1">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871</v>
      </c>
      <c r="P284" s="16"/>
      <c r="Q284" s="16"/>
      <c r="R284" s="814">
        <f ca="1">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872</v>
      </c>
      <c r="P285" s="131"/>
      <c r="Q285" s="131"/>
      <c r="R285" s="773">
        <f ca="1">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 ca="1">"Multiple Used for "&amp;C272</f>
        <v>Multiple Used for Home Improvement Retail</v>
      </c>
      <c r="D289" s="16"/>
      <c r="E289" s="16"/>
      <c r="F289" s="16"/>
      <c r="G289" s="42" t="s">
        <v>556</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 ca="1">"Multiple Used for "&amp;C273</f>
        <v>Multiple Used for Segment 2</v>
      </c>
      <c r="D290" s="16"/>
      <c r="E290" s="16"/>
      <c r="F290" s="16"/>
      <c r="G290" s="42" t="s">
        <v>556</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 ca="1">"Multiple Used for "&amp;C274</f>
        <v>Multiple Used for Segment 3</v>
      </c>
      <c r="D291" s="16"/>
      <c r="E291" s="16"/>
      <c r="F291" s="16"/>
      <c r="G291" s="42" t="s">
        <v>908</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 ca="1">"Multiple Used for "&amp;C275</f>
        <v>Multiple Used for Segment 4</v>
      </c>
      <c r="D292" s="16"/>
      <c r="E292" s="16"/>
      <c r="F292" s="16"/>
      <c r="G292" s="42" t="s">
        <v>908</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 ca="1">"Multiple Used for "&amp;C276</f>
        <v>Multiple Used for Segment 5</v>
      </c>
      <c r="D293" s="16"/>
      <c r="E293" s="16"/>
      <c r="F293" s="16"/>
      <c r="G293" s="42" t="s">
        <v>908</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 ca="1">"Multiple Used for "&amp;C277</f>
        <v>Multiple Used for Segment 6</v>
      </c>
      <c r="D294" s="16"/>
      <c r="E294" s="16"/>
      <c r="F294" s="16"/>
      <c r="G294" s="42" t="s">
        <v>908</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 ca="1">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 ca="1">Cover!C2</f>
        <v>$ in Millions Except Per Share Data</v>
      </c>
      <c r="D2" s="4"/>
      <c r="E2" s="4"/>
      <c r="F2" s="4"/>
      <c r="G2" s="4"/>
      <c r="H2" s="4"/>
      <c r="I2" s="4"/>
      <c r="J2" s="4"/>
      <c r="K2" s="242"/>
      <c r="L2" s="838" t="s">
        <v>909</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 ca="1">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 ca="1">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 ca="1">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910</v>
      </c>
      <c r="M5" s="112"/>
      <c r="N5" s="112"/>
      <c r="O5" s="112"/>
      <c r="P5" s="112"/>
      <c r="Q5" s="112"/>
      <c r="R5" s="839" t="s">
        <v>911</v>
      </c>
      <c r="S5" s="112"/>
      <c r="T5" s="112"/>
      <c r="U5" s="112"/>
      <c r="V5" s="112"/>
      <c r="W5" s="112"/>
      <c r="X5" s="839" t="s">
        <v>912</v>
      </c>
      <c r="Y5" s="112"/>
      <c r="Z5" s="112"/>
      <c r="AA5" s="112"/>
      <c r="AB5" s="112"/>
      <c r="AC5" s="112"/>
      <c r="AD5" s="839" t="s">
        <v>913</v>
      </c>
      <c r="AE5" s="112"/>
      <c r="AF5" s="112"/>
      <c r="AG5" s="112"/>
      <c r="AH5" s="112"/>
      <c r="AI5" s="112"/>
      <c r="AJ5" s="16"/>
      <c r="AK5" s="16"/>
      <c r="AL5" s="840" t="s">
        <v>910</v>
      </c>
      <c r="AM5" s="112"/>
      <c r="AN5" s="112"/>
      <c r="AO5" s="112"/>
      <c r="AP5" s="112"/>
      <c r="AQ5" s="112"/>
      <c r="AR5" s="839" t="s">
        <v>911</v>
      </c>
      <c r="AS5" s="112"/>
      <c r="AT5" s="112"/>
      <c r="AU5" s="112"/>
      <c r="AV5" s="112"/>
      <c r="AW5" s="112"/>
      <c r="AX5" s="839" t="s">
        <v>912</v>
      </c>
      <c r="AY5" s="112"/>
      <c r="AZ5" s="112"/>
      <c r="BA5" s="112"/>
      <c r="BB5" s="112"/>
      <c r="BC5" s="112"/>
      <c r="BD5" s="839" t="s">
        <v>913</v>
      </c>
      <c r="BE5" s="112"/>
      <c r="BF5" s="112"/>
      <c r="BG5" s="112"/>
      <c r="BH5" s="112"/>
      <c r="BI5" s="112"/>
      <c r="BJ5" s="16"/>
      <c r="BK5" s="16"/>
      <c r="BL5" s="840" t="s">
        <v>910</v>
      </c>
      <c r="BM5" s="112"/>
      <c r="BN5" s="112"/>
      <c r="BO5" s="112"/>
      <c r="BP5" s="112"/>
      <c r="BQ5" s="112"/>
      <c r="BR5" s="839" t="s">
        <v>911</v>
      </c>
      <c r="BS5" s="112"/>
      <c r="BT5" s="112"/>
      <c r="BU5" s="112"/>
      <c r="BV5" s="112"/>
      <c r="BW5" s="112"/>
      <c r="BX5" s="839" t="s">
        <v>912</v>
      </c>
      <c r="BY5" s="112"/>
      <c r="BZ5" s="112"/>
      <c r="CA5" s="112"/>
      <c r="CB5" s="112"/>
      <c r="CC5" s="112"/>
      <c r="CD5" s="839" t="s">
        <v>913</v>
      </c>
      <c r="CE5" s="112"/>
      <c r="CF5" s="112"/>
      <c r="CG5" s="112"/>
      <c r="CH5" s="112"/>
      <c r="CI5" s="112"/>
    </row>
    <row r="6" ht="14.25" customHeight="1" spans="1:87" x14ac:dyDescent="0.25">
      <c r="A6" s="16"/>
      <c r="B6" s="16"/>
      <c r="C6" s="836" t="str">
        <f ca="1">Company_Name</f>
        <v>Lowe's Companies, Inc.</v>
      </c>
      <c r="D6" s="110"/>
      <c r="E6" s="110"/>
      <c r="F6" s="110"/>
      <c r="G6" s="110"/>
      <c r="H6" s="111"/>
      <c r="I6" s="841" t="str">
        <f ca="1">Last_FQR</f>
        <v>2Q</v>
      </c>
      <c r="J6" s="16"/>
      <c r="K6" s="264"/>
      <c r="L6" s="842" t="str">
        <f ca="1">Comparables!E88</f>
        <v>Lowe's Companies, Inc.</v>
      </c>
      <c r="M6" s="843" t="str">
        <f ca="1">Comparables!$E$92</f>
        <v>The Home Depot, Inc.</v>
      </c>
      <c r="N6" s="843" t="str">
        <f ca="1">Comparables!$E$96</f>
        <v>Apple</v>
      </c>
      <c r="O6" s="843" t="str">
        <f ca="1">Comparables!$E$100</f>
        <v>Microsoft</v>
      </c>
      <c r="P6" s="843" t="str">
        <f ca="1">Comparables!$E$104</f>
        <v>Broadcom</v>
      </c>
      <c r="Q6" s="843" t="str">
        <f ca="1">Comparables!$E$108</f>
        <v>Disney</v>
      </c>
      <c r="R6" s="843" t="str">
        <f ca="1">$L$6</f>
        <v>Lowe's Companies, Inc.</v>
      </c>
      <c r="S6" s="843" t="str">
        <f t="shared" ref="S6:W6" si="0" ca="1">M6</f>
        <v>The Home Depot, Inc.</v>
      </c>
      <c r="T6" s="843" t="str">
        <f ca="1">N6</f>
        <v>Apple</v>
      </c>
      <c r="U6" s="843" t="str">
        <f ca="1">O6</f>
        <v>Microsoft</v>
      </c>
      <c r="V6" s="843" t="str">
        <f ca="1">P6</f>
        <v>Broadcom</v>
      </c>
      <c r="W6" s="843" t="str">
        <f ca="1">Q6</f>
        <v>Disney</v>
      </c>
      <c r="X6" s="843" t="str">
        <f t="shared" ref="X6:AC6" si="1" ca="1">L6</f>
        <v>Lowe's Companies, Inc.</v>
      </c>
      <c r="Y6" s="843" t="str">
        <f ca="1">M6</f>
        <v>The Home Depot, Inc.</v>
      </c>
      <c r="Z6" s="843" t="str">
        <f ca="1">N6</f>
        <v>Apple</v>
      </c>
      <c r="AA6" s="843" t="str">
        <f ca="1">O6</f>
        <v>Microsoft</v>
      </c>
      <c r="AB6" s="843" t="str">
        <f ca="1">P6</f>
        <v>Broadcom</v>
      </c>
      <c r="AC6" s="843" t="str">
        <f ca="1">Q6</f>
        <v>Disney</v>
      </c>
      <c r="AD6" s="843" t="str">
        <f t="shared" ref="AD6:AI6" si="2" ca="1">L6</f>
        <v>Lowe's Companies, Inc.</v>
      </c>
      <c r="AE6" s="843" t="str">
        <f ca="1">M6</f>
        <v>The Home Depot, Inc.</v>
      </c>
      <c r="AF6" s="843" t="str">
        <f ca="1">N6</f>
        <v>Apple</v>
      </c>
      <c r="AG6" s="843" t="str">
        <f ca="1">O6</f>
        <v>Microsoft</v>
      </c>
      <c r="AH6" s="843" t="str">
        <f ca="1">P6</f>
        <v>Broadcom</v>
      </c>
      <c r="AI6" s="843" t="str">
        <f ca="1">Q6</f>
        <v>Disney</v>
      </c>
      <c r="AJ6" s="16"/>
      <c r="AK6" s="16"/>
      <c r="AL6" s="842" t="str">
        <f ca="1">AD6</f>
        <v>Lowe's Companies, Inc.</v>
      </c>
      <c r="AM6" s="843" t="str">
        <f ca="1">Comparables!I$92</f>
        <v>Raytheon</v>
      </c>
      <c r="AN6" s="843" t="str">
        <f ca="1">Comparables!$I$96</f>
        <v>Boeing</v>
      </c>
      <c r="AO6" s="843" t="str">
        <f ca="1">Comparables!$I$100</f>
        <v>Huntington Ingalls</v>
      </c>
      <c r="AP6" s="843" t="str">
        <f ca="1">Comparables!$I$104</f>
        <v>Lockheed Martin</v>
      </c>
      <c r="AQ6" s="843" t="str">
        <f ca="1">Comparables!$I$108</f>
        <v>Northrop Grumman</v>
      </c>
      <c r="AR6" s="843" t="str">
        <f ca="1">$AL$6</f>
        <v>Lowe's Companies, Inc.</v>
      </c>
      <c r="AS6" s="843" t="str">
        <f t="shared" ref="AS6:AW6" si="3" ca="1">AM6</f>
        <v>Raytheon</v>
      </c>
      <c r="AT6" s="843" t="str">
        <f ca="1">AN6</f>
        <v>Boeing</v>
      </c>
      <c r="AU6" s="843" t="str">
        <f ca="1">AO6</f>
        <v>Huntington Ingalls</v>
      </c>
      <c r="AV6" s="843" t="str">
        <f ca="1">AP6</f>
        <v>Lockheed Martin</v>
      </c>
      <c r="AW6" s="844" t="str">
        <f ca="1">AQ6</f>
        <v>Northrop Grumman</v>
      </c>
      <c r="AX6" s="843" t="s">
        <v>914</v>
      </c>
      <c r="AY6" s="843" t="str">
        <f t="shared" ref="AY6:BC6" si="4" ca="1">AS6</f>
        <v>Raytheon</v>
      </c>
      <c r="AZ6" s="843" t="str">
        <f ca="1">AT6</f>
        <v>Boeing</v>
      </c>
      <c r="BA6" s="843" t="str">
        <f ca="1">AU6</f>
        <v>Huntington Ingalls</v>
      </c>
      <c r="BB6" s="843" t="str">
        <f ca="1">AV6</f>
        <v>Lockheed Martin</v>
      </c>
      <c r="BC6" s="844" t="str">
        <f ca="1">AW6</f>
        <v>Northrop Grumman</v>
      </c>
      <c r="BD6" s="843" t="s">
        <v>914</v>
      </c>
      <c r="BE6" s="843" t="str">
        <f t="shared" ref="BE6:BI6" si="5" ca="1">AY6</f>
        <v>Raytheon</v>
      </c>
      <c r="BF6" s="843" t="str">
        <f ca="1">AZ6</f>
        <v>Boeing</v>
      </c>
      <c r="BG6" s="843" t="str">
        <f ca="1">BA6</f>
        <v>Huntington Ingalls</v>
      </c>
      <c r="BH6" s="843" t="str">
        <f ca="1">BB6</f>
        <v>Lockheed Martin</v>
      </c>
      <c r="BI6" s="844" t="str">
        <f ca="1">BC6</f>
        <v>Northrop Grumman</v>
      </c>
      <c r="BJ6" s="16"/>
      <c r="BK6" s="16"/>
      <c r="BL6" s="842" t="str">
        <f ca="1">BD6</f>
        <v>Lowe's Companies, Inc.</v>
      </c>
      <c r="BM6" s="843" t="str">
        <f ca="1">Comparables!N$92</f>
        <v>3M Company</v>
      </c>
      <c r="BN6" s="843" t="str">
        <f ca="1">Comparables!$N$96</f>
        <v>General Electric</v>
      </c>
      <c r="BO6" s="843" t="str">
        <f ca="1">Comparables!$N$100</f>
        <v>Honeywell</v>
      </c>
      <c r="BP6" s="843" t="str">
        <f ca="1">Comparables!$N$104</f>
        <v>Roper Technologies</v>
      </c>
      <c r="BQ6" s="845" t="str">
        <f ca="1">Comparables!$N$108</f>
        <v>Emerson Electric</v>
      </c>
      <c r="BR6" s="843" t="s">
        <v>914</v>
      </c>
      <c r="BS6" s="843" t="str">
        <f t="shared" ref="BS6:BW6" si="6" ca="1">BM6</f>
        <v>3M Company</v>
      </c>
      <c r="BT6" s="843" t="str">
        <f ca="1">BN6</f>
        <v>General Electric</v>
      </c>
      <c r="BU6" s="843" t="str">
        <f ca="1">BO6</f>
        <v>Honeywell</v>
      </c>
      <c r="BV6" s="843" t="str">
        <f ca="1">BP6</f>
        <v>Roper Technologies</v>
      </c>
      <c r="BW6" s="844" t="str">
        <f ca="1">BQ6</f>
        <v>Emerson Electric</v>
      </c>
      <c r="BX6" s="843" t="str">
        <f ca="1">$BD$6</f>
        <v>Lowe's Companies, Inc.</v>
      </c>
      <c r="BY6" s="843" t="str">
        <f t="shared" ref="BY6:CC6" si="7" ca="1">BS6</f>
        <v>3M Company</v>
      </c>
      <c r="BZ6" s="843" t="str">
        <f ca="1">BT6</f>
        <v>General Electric</v>
      </c>
      <c r="CA6" s="843" t="str">
        <f ca="1">BU6</f>
        <v>Honeywell</v>
      </c>
      <c r="CB6" s="843" t="str">
        <f ca="1">BV6</f>
        <v>Roper Technologies</v>
      </c>
      <c r="CC6" s="844" t="str">
        <f ca="1">BW6</f>
        <v>Emerson Electric</v>
      </c>
      <c r="CD6" s="843" t="str">
        <f ca="1">$BD$6</f>
        <v>Lowe's Companies, Inc.</v>
      </c>
      <c r="CE6" s="843" t="str">
        <f t="shared" ref="CE6:CI6" si="8" ca="1">BY6</f>
        <v>3M Company</v>
      </c>
      <c r="CF6" s="843" t="str">
        <f ca="1">BZ6</f>
        <v>General Electric</v>
      </c>
      <c r="CG6" s="843" t="str">
        <f ca="1">CA6</f>
        <v>Honeywell</v>
      </c>
      <c r="CH6" s="843" t="str">
        <f ca="1">CB6</f>
        <v>Roper Technologies</v>
      </c>
      <c r="CI6" s="844" t="str">
        <f ca="1">CC6</f>
        <v>Emerson Electric</v>
      </c>
    </row>
    <row r="7" ht="14.25" customHeight="1" spans="1:87" x14ac:dyDescent="0.25">
      <c r="A7" s="16"/>
      <c r="B7" s="16"/>
      <c r="C7" s="846" t="s">
        <v>915</v>
      </c>
      <c r="D7" s="846"/>
      <c r="E7" s="846"/>
      <c r="F7" s="846"/>
      <c r="G7" s="846"/>
      <c r="H7" s="846"/>
      <c r="I7" s="84" t="str">
        <f ca="1">LEFT(I6)</f>
        <v>2</v>
      </c>
      <c r="J7" s="16"/>
      <c r="K7" s="84"/>
      <c r="L7" s="842" t="str">
        <f ca="1">Ticker</f>
        <v>LOW</v>
      </c>
      <c r="M7" s="843" t="str">
        <f ca="1">Comparables!$E$93</f>
        <v>HD</v>
      </c>
      <c r="N7" s="843" t="str">
        <f ca="1">Comparables!$E$97</f>
        <v>""</v>
      </c>
      <c r="O7" s="843" t="str">
        <f ca="1">Comparables!$E$101</f>
        <v>""</v>
      </c>
      <c r="P7" s="843" t="str">
        <f ca="1">Comparables!$E$105</f>
        <v>""</v>
      </c>
      <c r="Q7" s="843" t="str">
        <f ca="1">Comparables!$E$109</f>
        <v>""</v>
      </c>
      <c r="R7" s="843" t="str">
        <f t="shared" ref="R7:W7" si="9" ca="1">L7</f>
        <v>LOW</v>
      </c>
      <c r="S7" s="843" t="str">
        <f ca="1">M7</f>
        <v>HD</v>
      </c>
      <c r="T7" s="843" t="str">
        <f ca="1">N7</f>
        <v>""</v>
      </c>
      <c r="U7" s="843" t="str">
        <f ca="1">O7</f>
        <v>""</v>
      </c>
      <c r="V7" s="843" t="str">
        <f ca="1">P7</f>
        <v>""</v>
      </c>
      <c r="W7" s="843" t="str">
        <f ca="1">Q7</f>
        <v>""</v>
      </c>
      <c r="X7" s="843" t="str">
        <f t="shared" ref="X7:AC7" si="10" ca="1">L7</f>
        <v>LOW</v>
      </c>
      <c r="Y7" s="843" t="str">
        <f ca="1">M7</f>
        <v>HD</v>
      </c>
      <c r="Z7" s="843" t="str">
        <f ca="1">N7</f>
        <v>""</v>
      </c>
      <c r="AA7" s="843" t="str">
        <f ca="1">O7</f>
        <v>""</v>
      </c>
      <c r="AB7" s="843" t="str">
        <f ca="1">P7</f>
        <v>""</v>
      </c>
      <c r="AC7" s="843" t="str">
        <f ca="1">Q7</f>
        <v>""</v>
      </c>
      <c r="AD7" s="843" t="str">
        <f t="shared" ref="AD7:AI7" si="11" ca="1">L7</f>
        <v>LOW</v>
      </c>
      <c r="AE7" s="843" t="str">
        <f ca="1">M7</f>
        <v>HD</v>
      </c>
      <c r="AF7" s="843" t="str">
        <f ca="1">N7</f>
        <v>""</v>
      </c>
      <c r="AG7" s="843" t="str">
        <f ca="1">O7</f>
        <v>""</v>
      </c>
      <c r="AH7" s="843" t="str">
        <f ca="1">P7</f>
        <v>""</v>
      </c>
      <c r="AI7" s="843" t="str">
        <f ca="1">Q7</f>
        <v>""</v>
      </c>
      <c r="AJ7" s="16"/>
      <c r="AK7" s="16"/>
      <c r="AL7" s="842" t="str">
        <f ca="1">Ticker</f>
        <v>LOW</v>
      </c>
      <c r="AM7" s="843" t="str">
        <f ca="1">Comparables!$I$93</f>
        <v>RTX</v>
      </c>
      <c r="AN7" s="843" t="str">
        <f ca="1">Comparables!$I$97</f>
        <v>BA</v>
      </c>
      <c r="AO7" s="843" t="str">
        <f ca="1">Comparables!$I$101</f>
        <v>HII</v>
      </c>
      <c r="AP7" s="843" t="str">
        <f ca="1">Comparables!$I$105</f>
        <v>LMT</v>
      </c>
      <c r="AQ7" s="843" t="str">
        <f ca="1">Comparables!$I$109</f>
        <v>NOC</v>
      </c>
      <c r="AR7" s="843" t="str">
        <f ca="1">$AL$7</f>
        <v>LOW</v>
      </c>
      <c r="AS7" s="843" t="str">
        <f t="shared" ref="AS7:AW7" si="12" ca="1">AM7</f>
        <v>RTX</v>
      </c>
      <c r="AT7" s="843" t="str">
        <f ca="1">AN7</f>
        <v>BA</v>
      </c>
      <c r="AU7" s="843" t="str">
        <f ca="1">AO7</f>
        <v>HII</v>
      </c>
      <c r="AV7" s="843" t="str">
        <f ca="1">AP7</f>
        <v>LMT</v>
      </c>
      <c r="AW7" s="845" t="str">
        <f ca="1">AQ7</f>
        <v>NOC</v>
      </c>
      <c r="AX7" s="843" t="s">
        <v>498</v>
      </c>
      <c r="AY7" s="843" t="str">
        <f t="shared" ref="AY7:BC7" si="13" ca="1">AS7</f>
        <v>RTX</v>
      </c>
      <c r="AZ7" s="843" t="str">
        <f ca="1">AT7</f>
        <v>BA</v>
      </c>
      <c r="BA7" s="843" t="str">
        <f ca="1">AU7</f>
        <v>HII</v>
      </c>
      <c r="BB7" s="843" t="str">
        <f ca="1">AV7</f>
        <v>LMT</v>
      </c>
      <c r="BC7" s="845" t="str">
        <f ca="1">AW7</f>
        <v>NOC</v>
      </c>
      <c r="BD7" s="843" t="s">
        <v>498</v>
      </c>
      <c r="BE7" s="843" t="str">
        <f t="shared" ref="BE7:BI7" si="14" ca="1">AY7</f>
        <v>RTX</v>
      </c>
      <c r="BF7" s="843" t="str">
        <f ca="1">AZ7</f>
        <v>BA</v>
      </c>
      <c r="BG7" s="843" t="str">
        <f ca="1">BA7</f>
        <v>HII</v>
      </c>
      <c r="BH7" s="843" t="str">
        <f ca="1">BB7</f>
        <v>LMT</v>
      </c>
      <c r="BI7" s="845" t="str">
        <f ca="1">BC7</f>
        <v>NOC</v>
      </c>
      <c r="BJ7" s="16"/>
      <c r="BK7" s="16"/>
      <c r="BL7" s="842" t="str">
        <f ca="1">Ticker</f>
        <v>LOW</v>
      </c>
      <c r="BM7" s="843" t="str">
        <f ca="1">Comparables!$N$93</f>
        <v>MMM</v>
      </c>
      <c r="BN7" s="843" t="str">
        <f ca="1">Comparables!$N$97</f>
        <v>GE</v>
      </c>
      <c r="BO7" s="843" t="str">
        <f ca="1">Comparables!$N$101</f>
        <v>HON</v>
      </c>
      <c r="BP7" s="843" t="str">
        <f ca="1">Comparables!$N$105</f>
        <v>ROP</v>
      </c>
      <c r="BQ7" s="845" t="str">
        <f ca="1">Comparables!$N$109</f>
        <v>EMR</v>
      </c>
      <c r="BR7" s="843" t="s">
        <v>498</v>
      </c>
      <c r="BS7" s="843" t="str">
        <f t="shared" ref="BS7:BW7" si="15" ca="1">BM7</f>
        <v>MMM</v>
      </c>
      <c r="BT7" s="843" t="str">
        <f ca="1">BN7</f>
        <v>GE</v>
      </c>
      <c r="BU7" s="843" t="str">
        <f ca="1">BO7</f>
        <v>HON</v>
      </c>
      <c r="BV7" s="843" t="str">
        <f ca="1">BP7</f>
        <v>ROP</v>
      </c>
      <c r="BW7" s="845" t="str">
        <f ca="1">BQ7</f>
        <v>EMR</v>
      </c>
      <c r="BX7" s="843" t="str">
        <f ca="1">$BD$7</f>
        <v>LOW</v>
      </c>
      <c r="BY7" s="843" t="str">
        <f t="shared" ref="BY7:CC7" si="16" ca="1">BS7</f>
        <v>MMM</v>
      </c>
      <c r="BZ7" s="843" t="str">
        <f ca="1">BT7</f>
        <v>GE</v>
      </c>
      <c r="CA7" s="843" t="str">
        <f ca="1">BU7</f>
        <v>HON</v>
      </c>
      <c r="CB7" s="843" t="str">
        <f ca="1">BV7</f>
        <v>ROP</v>
      </c>
      <c r="CC7" s="845" t="str">
        <f ca="1">BW7</f>
        <v>EMR</v>
      </c>
      <c r="CD7" s="843" t="str">
        <f ca="1">$BD$7</f>
        <v>LOW</v>
      </c>
      <c r="CE7" s="843" t="str">
        <f t="shared" ref="CE7:CI7" si="17" ca="1">BY7</f>
        <v>MMM</v>
      </c>
      <c r="CF7" s="843" t="str">
        <f ca="1">BZ7</f>
        <v>GE</v>
      </c>
      <c r="CG7" s="843" t="str">
        <f ca="1">CA7</f>
        <v>HON</v>
      </c>
      <c r="CH7" s="843" t="str">
        <f ca="1">CB7</f>
        <v>ROP</v>
      </c>
      <c r="CI7" s="845" t="str">
        <f ca="1">CC7</f>
        <v>EMR</v>
      </c>
    </row>
    <row r="8" ht="14.25" customHeight="1" spans="1:87" x14ac:dyDescent="0.25">
      <c r="A8" s="16"/>
      <c r="B8" s="16"/>
      <c r="C8" s="84"/>
      <c r="D8" s="16"/>
      <c r="E8" s="84" t="s">
        <v>910</v>
      </c>
      <c r="F8" s="84" t="s">
        <v>911</v>
      </c>
      <c r="G8" s="84" t="s">
        <v>912</v>
      </c>
      <c r="H8" s="84" t="s">
        <v>913</v>
      </c>
      <c r="I8" s="84">
        <f ca="1">IF(I7="1",4,I7-1)</f>
        <v>1</v>
      </c>
      <c r="J8" s="641">
        <v>2004</v>
      </c>
      <c r="K8" s="345" t="str">
        <f t="shared" ref="K8:K85" si="18" ca="1">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 ca="1">$K8</f>
        <v>1Q04</v>
      </c>
      <c r="AL8" s="847">
        <f t="shared" ref="AL8:AL84" si="20" ca="1">L8</f>
        <v>31.0959</v>
      </c>
      <c r="AM8" s="778">
        <v>31.6373624508615</v>
      </c>
      <c r="AN8" s="778">
        <v>57.3242799255251</v>
      </c>
      <c r="AO8" s="778">
        <v>29.5323741007194</v>
      </c>
      <c r="AP8" s="778">
        <v>19.8206751054852</v>
      </c>
      <c r="AQ8" s="848"/>
      <c r="AR8" s="847">
        <f t="shared" ref="AR8:AR84" si="21" ca="1">R8</f>
        <v>26.8322</v>
      </c>
      <c r="AS8" s="778">
        <v>24.1628199748217</v>
      </c>
      <c r="AT8" s="778">
        <v>15.5671617478749</v>
      </c>
      <c r="AU8" s="778">
        <v>19.4273544723142</v>
      </c>
      <c r="AV8" s="778">
        <v>18.1932610379551</v>
      </c>
      <c r="AW8" s="848"/>
      <c r="AX8" s="847">
        <f t="shared" ref="AX8:AX84" si="22" ca="1">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 ca="1">$K8</f>
        <v>1Q04</v>
      </c>
      <c r="BL8" s="847">
        <f t="shared" ref="BL8:BL84" si="24" ca="1">AL8</f>
        <v>31.0959</v>
      </c>
      <c r="BM8" s="778">
        <v>24.0889830508475</v>
      </c>
      <c r="BN8" s="778">
        <v>198.04347826087</v>
      </c>
      <c r="BO8" s="778">
        <v>24.6567570429574</v>
      </c>
      <c r="BP8" s="778">
        <v>18.3081071668037</v>
      </c>
      <c r="BQ8" s="848">
        <v>18.3663366336634</v>
      </c>
      <c r="BR8" s="847">
        <f t="shared" ref="BR8:BR84" si="25" ca="1">AR8</f>
        <v>26.8322</v>
      </c>
      <c r="BS8" s="778">
        <v>21.3400900900901</v>
      </c>
      <c r="BT8" s="778">
        <v>59.3098958333333</v>
      </c>
      <c r="BU8" s="778">
        <v>21.8971197871046</v>
      </c>
      <c r="BV8" s="778">
        <v>15.6499713324482</v>
      </c>
      <c r="BW8" s="848">
        <v>17.2077922077922</v>
      </c>
      <c r="BX8" s="847">
        <f t="shared" ref="BX8:BX84" si="26" ca="1">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884</v>
      </c>
      <c r="D9" s="16"/>
      <c r="E9" s="724">
        <f ca="1">AVERAGE(L81:L86)</f>
        <v>19.53543333333333</v>
      </c>
      <c r="F9" s="724">
        <f ca="1">AVERAGE(R81:R86)</f>
        <v>18.597966666666668</v>
      </c>
      <c r="G9" s="724">
        <f ca="1">AVERAGE(X81:X86)</f>
        <v>13.0505</v>
      </c>
      <c r="H9" s="724">
        <f ca="1">AVERAGE(AD81:AD86)</f>
        <v>12.3564</v>
      </c>
      <c r="I9" s="84">
        <f ca="1">IF(I8=4,1,I8+1)</f>
        <v>2</v>
      </c>
      <c r="J9" s="5">
        <f t="shared" ref="J9:J85" si="27" ca="1">IF(I9=1,J8+1,J8)</f>
        <v>2004</v>
      </c>
      <c r="K9" s="345" t="str">
        <f ca="1">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 ca="1">$K9</f>
        <v>2Q04</v>
      </c>
      <c r="AL9" s="847">
        <f ca="1">L9</f>
        <v>25.3988</v>
      </c>
      <c r="AM9" s="778">
        <v>33.7378642338589</v>
      </c>
      <c r="AN9" s="778">
        <v>65.2061273977061</v>
      </c>
      <c r="AO9" s="778">
        <v>25.3105590062112</v>
      </c>
      <c r="AP9" s="778">
        <v>21.4415322786777</v>
      </c>
      <c r="AQ9" s="848"/>
      <c r="AR9" s="847">
        <f ca="1">R9</f>
        <v>23.6842</v>
      </c>
      <c r="AS9" s="778">
        <v>27.5903136165145</v>
      </c>
      <c r="AT9" s="778">
        <v>17.0317268699309</v>
      </c>
      <c r="AU9" s="778">
        <v>18.7442502299908</v>
      </c>
      <c r="AV9" s="778">
        <v>20.4048349961627</v>
      </c>
      <c r="AW9" s="848"/>
      <c r="AX9" s="847">
        <f ca="1">X9</f>
        <v>11.6632</v>
      </c>
      <c r="AY9" s="778">
        <v>15.4589819476129</v>
      </c>
      <c r="AZ9" s="778">
        <v>9.63156595976785</v>
      </c>
      <c r="BA9" s="778">
        <v>16.5102450531201</v>
      </c>
      <c r="BB9" s="778">
        <v>12.6637918478585</v>
      </c>
      <c r="BC9" s="848">
        <v>10.5788759046551</v>
      </c>
      <c r="BD9" s="847"/>
      <c r="BE9" s="778"/>
      <c r="BF9" s="778"/>
      <c r="BG9" s="778"/>
      <c r="BH9" s="778"/>
      <c r="BI9" s="848"/>
      <c r="BJ9" s="16"/>
      <c r="BK9" s="345" t="str">
        <f ca="1">$K9</f>
        <v>2Q04</v>
      </c>
      <c r="BL9" s="847">
        <f ca="1">AL9</f>
        <v>25.3988</v>
      </c>
      <c r="BM9" s="778">
        <v>22.662037037037</v>
      </c>
      <c r="BN9" s="778">
        <v>171.071428571429</v>
      </c>
      <c r="BO9" s="778">
        <v>18.4929491192053</v>
      </c>
      <c r="BP9" s="778">
        <v>16.8537918862423</v>
      </c>
      <c r="BQ9" s="848">
        <v>16.5206812652068</v>
      </c>
      <c r="BR9" s="847">
        <f ca="1">AR9</f>
        <v>23.6842</v>
      </c>
      <c r="BS9" s="778">
        <v>19.6271050521251</v>
      </c>
      <c r="BT9" s="778">
        <v>55.4398148148148</v>
      </c>
      <c r="BU9" s="778">
        <v>16.8829221100363</v>
      </c>
      <c r="BV9" s="778">
        <v>14.3390533790604</v>
      </c>
      <c r="BW9" s="848">
        <v>15.68853974122</v>
      </c>
      <c r="BX9" s="847">
        <f ca="1">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886</v>
      </c>
      <c r="D10" s="16"/>
      <c r="E10" s="724">
        <f ca="1">AVERAGE(L77:L86)</f>
        <v>19.24751</v>
      </c>
      <c r="F10" s="724">
        <f ca="1">AVERAGE(R77:R86)</f>
        <v>18.62513</v>
      </c>
      <c r="G10" s="724">
        <f ca="1">AVERAGE(X77:X86)</f>
        <v>13.67243</v>
      </c>
      <c r="H10" s="724">
        <f ca="1">AVERAGE(AD77:AD86)</f>
        <v>12.432619999999998</v>
      </c>
      <c r="I10" s="84">
        <f ca="1">IF(I9+1=5,1,I9+1)</f>
        <v>3</v>
      </c>
      <c r="J10" s="5">
        <f ca="1">IF(I10=1,J9+1,J9)</f>
        <v>2004</v>
      </c>
      <c r="K10" s="345" t="str">
        <f ca="1">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 ca="1">$K10</f>
        <v>3Q04</v>
      </c>
      <c r="AL10" s="847">
        <f ca="1">L10</f>
        <v>21.5517</v>
      </c>
      <c r="AM10" s="778">
        <v>28.2401745548824</v>
      </c>
      <c r="AN10" s="778">
        <v>61.5214753802231</v>
      </c>
      <c r="AO10" s="778">
        <v>15.668449197861</v>
      </c>
      <c r="AP10" s="778">
        <v>15.6403846153846</v>
      </c>
      <c r="AQ10" s="848"/>
      <c r="AR10" s="847">
        <f ca="1">R10</f>
        <v>21.0438</v>
      </c>
      <c r="AS10" s="778">
        <v>25.4606299212598</v>
      </c>
      <c r="AT10" s="778">
        <v>17.2111267537473</v>
      </c>
      <c r="AU10" s="778">
        <v>13.5710977304308</v>
      </c>
      <c r="AV10" s="778">
        <v>15.6947124662293</v>
      </c>
      <c r="AW10" s="848"/>
      <c r="AX10" s="847">
        <f ca="1">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 ca="1">$K10</f>
        <v>3Q04</v>
      </c>
      <c r="BL10" s="847">
        <f ca="1">AL10</f>
        <v>21.5517</v>
      </c>
      <c r="BM10" s="778">
        <v>17.0733944954128</v>
      </c>
      <c r="BN10" s="778">
        <v>77.0338983050848</v>
      </c>
      <c r="BO10" s="778">
        <v>14.9024195031447</v>
      </c>
      <c r="BP10" s="778">
        <v>10.058718431346</v>
      </c>
      <c r="BQ10" s="848">
        <v>13.45</v>
      </c>
      <c r="BR10" s="847">
        <f ca="1">AR10</f>
        <v>21.0438</v>
      </c>
      <c r="BS10" s="778">
        <v>18.3711747285291</v>
      </c>
      <c r="BT10" s="778">
        <v>42.6360225140713</v>
      </c>
      <c r="BU10" s="778">
        <v>14.3954113061968</v>
      </c>
      <c r="BV10" s="778">
        <v>10.177874029743</v>
      </c>
      <c r="BW10" s="848">
        <v>12.8503184713376</v>
      </c>
      <c r="BX10" s="847">
        <f ca="1">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881</v>
      </c>
      <c r="D11" s="16"/>
      <c r="E11" s="724">
        <f ca="1">AVERAGE(L73:L86)</f>
        <v>19.09469285714286</v>
      </c>
      <c r="F11" s="724">
        <f ca="1">AVERAGE(R73:R86)</f>
        <v>18.758692857142854</v>
      </c>
      <c r="G11" s="724">
        <f ca="1">AVERAGE(X73:X86)</f>
        <v>14.044407142857143</v>
      </c>
      <c r="H11" s="724">
        <f ca="1">AVERAGE(AD73:AD86)</f>
        <v>12.439849999999998</v>
      </c>
      <c r="I11" s="84">
        <f ca="1">IF(I10=4,1,I10+1)</f>
        <v>4</v>
      </c>
      <c r="J11" s="5">
        <f ca="1">IF(I11=1,J10+1,J10)</f>
        <v>2004</v>
      </c>
      <c r="K11" s="345" t="str">
        <f ca="1">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 ca="1">$K11</f>
        <v>4Q04</v>
      </c>
      <c r="AL11" s="847">
        <f ca="1">L11</f>
        <v>21.9462</v>
      </c>
      <c r="AM11" s="778">
        <v>22.470817037238</v>
      </c>
      <c r="AN11" s="778">
        <v>38.2756671232394</v>
      </c>
      <c r="AO11" s="778">
        <v>16.6216216216216</v>
      </c>
      <c r="AP11" s="778">
        <v>15.0037807183365</v>
      </c>
      <c r="AQ11" s="848"/>
      <c r="AR11" s="847">
        <f ca="1">R11</f>
        <v>18.6053</v>
      </c>
      <c r="AS11" s="778">
        <v>22.6470588235294</v>
      </c>
      <c r="AT11" s="778">
        <v>14.7843172547043</v>
      </c>
      <c r="AU11" s="778">
        <v>14.5047169811321</v>
      </c>
      <c r="AV11" s="778">
        <v>15.3283120896099</v>
      </c>
      <c r="AW11" s="848"/>
      <c r="AX11" s="847">
        <f ca="1">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 ca="1">$K11</f>
        <v>4Q04</v>
      </c>
      <c r="BL11" s="847">
        <f ca="1">AL11</f>
        <v>21.9462</v>
      </c>
      <c r="BM11" s="778">
        <v>19.8782608695652</v>
      </c>
      <c r="BN11" s="778">
        <v>33.7132352941176</v>
      </c>
      <c r="BO11" s="778">
        <v>15.5009745629139</v>
      </c>
      <c r="BP11" s="778">
        <v>11.424029243357</v>
      </c>
      <c r="BQ11" s="848">
        <v>14.0772727272727</v>
      </c>
      <c r="BR11" s="847">
        <f ca="1">AR11</f>
        <v>18.6053</v>
      </c>
      <c r="BS11" s="778">
        <v>21.8546845124283</v>
      </c>
      <c r="BT11" s="778">
        <v>19.3623310810811</v>
      </c>
      <c r="BU11" s="778">
        <v>15.470238988764</v>
      </c>
      <c r="BV11" s="778">
        <v>11.4012267897774</v>
      </c>
      <c r="BW11" s="848">
        <v>14.0581025873808</v>
      </c>
      <c r="BX11" s="847">
        <f ca="1">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887</v>
      </c>
      <c r="D12" s="16"/>
      <c r="E12" s="724">
        <f ca="1">AVERAGE(L65:L86)</f>
        <v>19.295113636363638</v>
      </c>
      <c r="F12" s="724">
        <f ca="1">AVERAGE(R65:R86)</f>
        <v>18.396150000000002</v>
      </c>
      <c r="G12" s="724">
        <f ca="1">AVERAGE(X65:X86)</f>
        <v>12.976963636363633</v>
      </c>
      <c r="H12" s="724">
        <f ca="1">AVERAGE(AD65:AD86)</f>
        <v>11.666890909090908</v>
      </c>
      <c r="I12" s="84">
        <f ca="1">I8</f>
        <v>1</v>
      </c>
      <c r="J12" s="5">
        <f ca="1">IF(I12=1,J11+1,J11)</f>
        <v>2005</v>
      </c>
      <c r="K12" s="345" t="str">
        <f ca="1">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 ca="1">$K12</f>
        <v>1Q05</v>
      </c>
      <c r="AL12" s="847">
        <f ca="1">L12</f>
        <v>22.3698</v>
      </c>
      <c r="AM12" s="778">
        <v>18.1488548131938</v>
      </c>
      <c r="AN12" s="778">
        <v>13.8276219685405</v>
      </c>
      <c r="AO12" s="778">
        <v>16.2114285714286</v>
      </c>
      <c r="AP12" s="778">
        <v>10.4695817490494</v>
      </c>
      <c r="AQ12" s="848"/>
      <c r="AR12" s="847">
        <f ca="1">R12</f>
        <v>19.6119</v>
      </c>
      <c r="AS12" s="778">
        <v>21.5940054495913</v>
      </c>
      <c r="AT12" s="778">
        <v>20.1751850233281</v>
      </c>
      <c r="AU12" s="778">
        <v>16.4559164733179</v>
      </c>
      <c r="AV12" s="778">
        <v>10.9352660841938</v>
      </c>
      <c r="AW12" s="848"/>
      <c r="AX12" s="847">
        <f ca="1">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 ca="1">$K12</f>
        <v>1Q05</v>
      </c>
      <c r="BL12" s="847">
        <f ca="1">AL12</f>
        <v>22.3698</v>
      </c>
      <c r="BM12" s="778">
        <v>20.1639344262295</v>
      </c>
      <c r="BN12" s="778">
        <v>21.8111111111111</v>
      </c>
      <c r="BO12" s="778">
        <v>16.5621018243243</v>
      </c>
      <c r="BP12" s="778">
        <v>10.8742096541045</v>
      </c>
      <c r="BQ12" s="848">
        <v>12.84</v>
      </c>
      <c r="BR12" s="847">
        <f ca="1">AR12</f>
        <v>19.6119</v>
      </c>
      <c r="BS12" s="778">
        <v>21.8278615794144</v>
      </c>
      <c r="BT12" s="778">
        <v>16.523569023569</v>
      </c>
      <c r="BU12" s="778">
        <v>15.2532113876789</v>
      </c>
      <c r="BV12" s="778">
        <v>12.4524017471987</v>
      </c>
      <c r="BW12" s="848">
        <v>12.3093310609288</v>
      </c>
      <c r="BX12" s="847">
        <f ca="1">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916</v>
      </c>
      <c r="D13" s="846"/>
      <c r="E13" s="846"/>
      <c r="F13" s="846"/>
      <c r="G13" s="846"/>
      <c r="H13" s="846"/>
      <c r="I13" s="84">
        <f ca="1">IF(I12=4,1,I12+1)</f>
        <v>2</v>
      </c>
      <c r="J13" s="5">
        <f ca="1">IF(I13=1,J12+1,J12)</f>
        <v>2005</v>
      </c>
      <c r="K13" s="345" t="str">
        <f ca="1">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 ca="1">$K13</f>
        <v>2Q05</v>
      </c>
      <c r="AL13" s="847">
        <f ca="1">L13</f>
        <v>25.1942</v>
      </c>
      <c r="AM13" s="778">
        <v>18.0189389708436</v>
      </c>
      <c r="AN13" s="778">
        <v>14.3659743500337</v>
      </c>
      <c r="AO13" s="778">
        <v>20.1472392638037</v>
      </c>
      <c r="AP13" s="778">
        <v>14.1050583657588</v>
      </c>
      <c r="AQ13" s="848"/>
      <c r="AR13" s="847">
        <f ca="1">R13</f>
        <v>22.7432</v>
      </c>
      <c r="AS13" s="778">
        <v>20.6736201651456</v>
      </c>
      <c r="AT13" s="778">
        <v>19.4244121565757</v>
      </c>
      <c r="AU13" s="778">
        <v>18.9607390300231</v>
      </c>
      <c r="AV13" s="778">
        <v>14.9054276315789</v>
      </c>
      <c r="AW13" s="848"/>
      <c r="AX13" s="847">
        <f ca="1">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 ca="1">$K13</f>
        <v>2Q05</v>
      </c>
      <c r="BL13" s="847">
        <f ca="1">AL13</f>
        <v>25.1942</v>
      </c>
      <c r="BM13" s="778">
        <v>18.4916943521595</v>
      </c>
      <c r="BN13" s="778">
        <v>20.0438596491228</v>
      </c>
      <c r="BO13" s="778">
        <v>19.4145705295775</v>
      </c>
      <c r="BP13" s="778">
        <v>15.1250091313676</v>
      </c>
      <c r="BQ13" s="848">
        <v>15.635761589404</v>
      </c>
      <c r="BR13" s="847">
        <f ca="1">AR13</f>
        <v>22.7432</v>
      </c>
      <c r="BS13" s="778">
        <v>24.4982394366197</v>
      </c>
      <c r="BT13" s="778">
        <v>19.6643717728055</v>
      </c>
      <c r="BU13" s="778">
        <v>17.2844452363636</v>
      </c>
      <c r="BV13" s="778">
        <v>16.4381128180137</v>
      </c>
      <c r="BW13" s="848">
        <v>15.2914507772021</v>
      </c>
      <c r="BX13" s="847">
        <f ca="1">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910</v>
      </c>
      <c r="F14" s="84" t="s">
        <v>911</v>
      </c>
      <c r="G14" s="84" t="s">
        <v>912</v>
      </c>
      <c r="H14" s="84" t="s">
        <v>913</v>
      </c>
      <c r="I14" s="84">
        <f ca="1">IF(I13+1=5,1,I13+1)</f>
        <v>3</v>
      </c>
      <c r="J14" s="5">
        <f ca="1">IF(I14=1,J13+1,J13)</f>
        <v>2005</v>
      </c>
      <c r="K14" s="345" t="str">
        <f ca="1">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 ca="1">$K14</f>
        <v>3Q05</v>
      </c>
      <c r="AL14" s="847">
        <f ca="1">L14</f>
        <v>25.4083</v>
      </c>
      <c r="AM14" s="778">
        <v>17.4810601955945</v>
      </c>
      <c r="AN14" s="778">
        <v>15.5222617083941</v>
      </c>
      <c r="AO14" s="778">
        <v>18.6666666666667</v>
      </c>
      <c r="AP14" s="778">
        <v>15.4574257425743</v>
      </c>
      <c r="AQ14" s="848"/>
      <c r="AR14" s="847">
        <f ca="1">R14</f>
        <v>23.793</v>
      </c>
      <c r="AS14" s="778">
        <v>19.7559931506849</v>
      </c>
      <c r="AT14" s="778">
        <v>18.1815152343096</v>
      </c>
      <c r="AU14" s="778">
        <v>16.1476355247982</v>
      </c>
      <c r="AV14" s="778">
        <v>15.7315598548972</v>
      </c>
      <c r="AW14" s="848"/>
      <c r="AX14" s="847">
        <f ca="1">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 ca="1">$K14</f>
        <v>3Q05</v>
      </c>
      <c r="BL14" s="847">
        <f ca="1">AL14</f>
        <v>25.4083</v>
      </c>
      <c r="BM14" s="778">
        <v>21.9936102236422</v>
      </c>
      <c r="BN14" s="778">
        <v>19.817843866171</v>
      </c>
      <c r="BO14" s="778">
        <v>20.3226270304026</v>
      </c>
      <c r="BP14" s="778">
        <v>15.7768957317849</v>
      </c>
      <c r="BQ14" s="848">
        <v>16.8366013071895</v>
      </c>
      <c r="BR14" s="847">
        <f ca="1">AR14</f>
        <v>23.793</v>
      </c>
      <c r="BS14" s="778">
        <v>22.0499679692505</v>
      </c>
      <c r="BT14" s="778">
        <v>20.9222919937206</v>
      </c>
      <c r="BU14" s="778">
        <v>18.2631639477374</v>
      </c>
      <c r="BV14" s="778">
        <v>15.9982552382258</v>
      </c>
      <c r="BW14" s="848">
        <v>16.6122098022356</v>
      </c>
      <c r="BX14" s="847">
        <f ca="1">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917</v>
      </c>
      <c r="D15" s="16"/>
      <c r="E15" s="724">
        <f ca="1">AVERAGE(L8:L75)</f>
        <v>19.79816153846154</v>
      </c>
      <c r="F15" s="724">
        <f ca="1">AVERAGE(R8:R75)</f>
        <v>18.242857352941172</v>
      </c>
      <c r="G15" s="724">
        <f ca="1">AVERAGE(X8:X75)</f>
        <v>9.726156923076925</v>
      </c>
      <c r="H15" s="724">
        <f ca="1">AVERAGE(AD8:AD75)</f>
        <v>8.828614545454545</v>
      </c>
      <c r="I15" s="84">
        <f ca="1">IF(I14=4,1,I14+1)</f>
        <v>4</v>
      </c>
      <c r="J15" s="5">
        <f ca="1">IF(I15=1,J14+1,J14)</f>
        <v>2005</v>
      </c>
      <c r="K15" s="345" t="str">
        <f ca="1">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 ca="1">$K15</f>
        <v>4Q05</v>
      </c>
      <c r="AL15" s="847">
        <f ca="1">L15</f>
        <v>24.8363</v>
      </c>
      <c r="AM15" s="778">
        <v>20.0781245138205</v>
      </c>
      <c r="AN15" s="778">
        <v>19.3154136802241</v>
      </c>
      <c r="AO15" s="778">
        <v>17.8809523809524</v>
      </c>
      <c r="AP15" s="778">
        <v>18.0419162535235</v>
      </c>
      <c r="AQ15" s="848"/>
      <c r="AR15" s="847">
        <f ca="1">R15</f>
        <v>21.1492</v>
      </c>
      <c r="AS15" s="778">
        <v>22.1075268817204</v>
      </c>
      <c r="AT15" s="778">
        <v>20.1782706468125</v>
      </c>
      <c r="AU15" s="778">
        <v>22.7059712773999</v>
      </c>
      <c r="AV15" s="778">
        <v>18.1287605294826</v>
      </c>
      <c r="AW15" s="848"/>
      <c r="AX15" s="847">
        <f ca="1">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 ca="1">$K15</f>
        <v>4Q05</v>
      </c>
      <c r="BL15" s="847">
        <f ca="1">AL15</f>
        <v>24.8363</v>
      </c>
      <c r="BM15" s="778">
        <v>25.7826086956522</v>
      </c>
      <c r="BN15" s="778">
        <v>24.6401515151515</v>
      </c>
      <c r="BO15" s="778">
        <v>19.2126246822476</v>
      </c>
      <c r="BP15" s="778">
        <v>20.1426844728599</v>
      </c>
      <c r="BQ15" s="848">
        <v>20.2068230277186</v>
      </c>
      <c r="BR15" s="847">
        <f ca="1">AR15</f>
        <v>21.1492</v>
      </c>
      <c r="BS15" s="778">
        <v>26.7117117117117</v>
      </c>
      <c r="BT15" s="778">
        <v>18.6603557085485</v>
      </c>
      <c r="BU15" s="778">
        <v>19.1878662190722</v>
      </c>
      <c r="BV15" s="778">
        <v>20.4796920637829</v>
      </c>
      <c r="BW15" s="848">
        <v>20.3281853281853</v>
      </c>
      <c r="BX15" s="847">
        <f ca="1">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918</v>
      </c>
      <c r="D16" s="16"/>
      <c r="E16" s="724">
        <f t="shared" ref="E16:H16" si="28" ca="1">AVERAGE(E20,E24)</f>
        <v>20.521407291666662</v>
      </c>
      <c r="F16" s="724">
        <f ca="1">AVERAGE(F20,F24)</f>
        <v>18.89432708333333</v>
      </c>
      <c r="G16" s="724">
        <f ca="1">AVERAGE(G20,G24)</f>
        <v>9.275228125</v>
      </c>
      <c r="H16" s="724">
        <f ca="1">AVERAGE(H20,H24)</f>
        <v>3.7041437499999996</v>
      </c>
      <c r="I16" s="84">
        <f ca="1">I12</f>
        <v>1</v>
      </c>
      <c r="J16" s="5">
        <f ca="1">IF(I16=1,J15+1,J15)</f>
        <v>2006</v>
      </c>
      <c r="K16" s="345" t="str">
        <f ca="1">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 ca="1">$K16</f>
        <v>1Q06</v>
      </c>
      <c r="AL16" s="847">
        <f ca="1">L16</f>
        <v>22.5536</v>
      </c>
      <c r="AM16" s="778">
        <v>17.1578944138873</v>
      </c>
      <c r="AN16" s="778">
        <v>17.964677885176</v>
      </c>
      <c r="AO16" s="778">
        <v>18.9939393939394</v>
      </c>
      <c r="AP16" s="778">
        <v>17.8303394062093</v>
      </c>
      <c r="AQ16" s="848"/>
      <c r="AR16" s="847">
        <f ca="1">R16</f>
        <v>19.3199</v>
      </c>
      <c r="AS16" s="778">
        <v>18.0466587584025</v>
      </c>
      <c r="AT16" s="778">
        <v>15.2884330339041</v>
      </c>
      <c r="AU16" s="778">
        <v>24.2007722007722</v>
      </c>
      <c r="AV16" s="778">
        <v>15.9574848160057</v>
      </c>
      <c r="AW16" s="848"/>
      <c r="AX16" s="847">
        <f ca="1">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 ca="1">$K16</f>
        <v>1Q06</v>
      </c>
      <c r="BL16" s="847">
        <f ca="1">AL16</f>
        <v>22.5536</v>
      </c>
      <c r="BM16" s="778">
        <v>19.7182044887781</v>
      </c>
      <c r="BN16" s="778">
        <v>22.7993421052632</v>
      </c>
      <c r="BO16" s="778">
        <v>18.9273500743124</v>
      </c>
      <c r="BP16" s="778">
        <v>19.8921496855779</v>
      </c>
      <c r="BQ16" s="848">
        <v>18.0543933054393</v>
      </c>
      <c r="BR16" s="847">
        <f ca="1">AR16</f>
        <v>19.3199</v>
      </c>
      <c r="BS16" s="778">
        <v>17.7845254161044</v>
      </c>
      <c r="BT16" s="778">
        <v>17.2756729810568</v>
      </c>
      <c r="BU16" s="778">
        <v>18.6981470541746</v>
      </c>
      <c r="BV16" s="778">
        <v>21.0760513346214</v>
      </c>
      <c r="BW16" s="848">
        <v>16.5515918680476</v>
      </c>
      <c r="BX16" s="847">
        <f ca="1">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919</v>
      </c>
      <c r="D17" s="16"/>
      <c r="E17" s="724">
        <f t="shared" ref="E17:H17" si="29" ca="1">AVERAGE(E21,E25)</f>
        <v>20.795365625</v>
      </c>
      <c r="F17" s="724">
        <f ca="1">AVERAGE(F21,F25)</f>
        <v>18.852084374999997</v>
      </c>
      <c r="G17" s="724">
        <f ca="1">AVERAGE(G21,G25)</f>
        <v>9.887566666666665</v>
      </c>
      <c r="H17" s="724">
        <f ca="1">AVERAGE(H21,H25)</f>
        <v>8.968177232142857</v>
      </c>
      <c r="I17" s="84">
        <f ca="1">IF(I16=4,1,I16+1)</f>
        <v>2</v>
      </c>
      <c r="J17" s="5">
        <f ca="1">IF(I17=1,J16+1,J16)</f>
        <v>2006</v>
      </c>
      <c r="K17" s="345" t="str">
        <f ca="1">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 ca="1">$K17</f>
        <v>2Q06</v>
      </c>
      <c r="AL17" s="847">
        <f ca="1">L17</f>
        <v>21.8273</v>
      </c>
      <c r="AM17" s="778">
        <v>19.1470584543003</v>
      </c>
      <c r="AN17" s="778">
        <v>18.700749834615</v>
      </c>
      <c r="AO17" s="778">
        <v>22.6392405063291</v>
      </c>
      <c r="AP17" s="778">
        <v>19.0229884014843</v>
      </c>
      <c r="AQ17" s="848">
        <v>24.9147727272727</v>
      </c>
      <c r="AR17" s="847">
        <f ca="1">R17</f>
        <v>20.0999</v>
      </c>
      <c r="AS17" s="778">
        <v>19.7272727272727</v>
      </c>
      <c r="AT17" s="778">
        <v>16.5025248069106</v>
      </c>
      <c r="AU17" s="778">
        <v>26.4375461936438</v>
      </c>
      <c r="AV17" s="778">
        <v>17.1621154510888</v>
      </c>
      <c r="AW17" s="848"/>
      <c r="AX17" s="847">
        <f ca="1">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 ca="1">$K17</f>
        <v>2Q06</v>
      </c>
      <c r="BL17" s="847">
        <f ca="1">AL17</f>
        <v>21.8273</v>
      </c>
      <c r="BM17" s="778">
        <v>18.0136054421769</v>
      </c>
      <c r="BN17" s="778">
        <v>18.2181818181818</v>
      </c>
      <c r="BO17" s="778">
        <v>20.0932549936999</v>
      </c>
      <c r="BP17" s="778">
        <v>20.5128525090277</v>
      </c>
      <c r="BQ17" s="848">
        <v>18.296</v>
      </c>
      <c r="BR17" s="847">
        <f ca="1">AR17</f>
        <v>20.0999</v>
      </c>
      <c r="BS17" s="778">
        <v>14.4436363636364</v>
      </c>
      <c r="BT17" s="778">
        <v>14.955223880597</v>
      </c>
      <c r="BU17" s="778">
        <v>19.8499333078394</v>
      </c>
      <c r="BV17" s="778">
        <v>21.8358480058529</v>
      </c>
      <c r="BW17" s="848">
        <v>17.3652239939256</v>
      </c>
      <c r="BX17" s="847">
        <f ca="1">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920</v>
      </c>
      <c r="D18" s="16"/>
      <c r="E18" s="724">
        <f t="shared" ref="E18:H18" si="30" ca="1">AVERAGE(E22,E26)</f>
        <v>17.294518402777776</v>
      </c>
      <c r="F18" s="724">
        <f ca="1">AVERAGE(F22,F26)</f>
        <v>16.837352083333336</v>
      </c>
      <c r="G18" s="724">
        <f ca="1">AVERAGE(G22,G26)</f>
        <v>9.422169444444444</v>
      </c>
      <c r="H18" s="724">
        <f ca="1">AVERAGE(H22,H26)</f>
        <v>8.970667708333334</v>
      </c>
      <c r="I18" s="84">
        <f ca="1">IF(I17+1=5,1,I17+1)</f>
        <v>3</v>
      </c>
      <c r="J18" s="5">
        <f ca="1">IF(I18=1,J17+1,J17)</f>
        <v>2006</v>
      </c>
      <c r="K18" s="345" t="str">
        <f ca="1">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 ca="1">$K18</f>
        <v>3Q06</v>
      </c>
      <c r="AL18" s="847">
        <f ca="1">L18</f>
        <v>22.15</v>
      </c>
      <c r="AM18" s="778">
        <v>20.283636187782</v>
      </c>
      <c r="AN18" s="778">
        <v>17.0052012260412</v>
      </c>
      <c r="AO18" s="778">
        <v>24.3461538461538</v>
      </c>
      <c r="AP18" s="778">
        <v>18.7683820568193</v>
      </c>
      <c r="AQ18" s="848">
        <v>25.5397727272727</v>
      </c>
      <c r="AR18" s="847">
        <f ca="1">R18</f>
        <v>21.204</v>
      </c>
      <c r="AS18" s="778">
        <v>20.7824143070045</v>
      </c>
      <c r="AT18" s="778">
        <v>16.1319764611537</v>
      </c>
      <c r="AU18" s="778">
        <v>27.8241758241758</v>
      </c>
      <c r="AV18" s="778">
        <v>17.2875042329834</v>
      </c>
      <c r="AW18" s="848"/>
      <c r="AX18" s="847">
        <f ca="1">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 ca="1">$K18</f>
        <v>3Q06</v>
      </c>
      <c r="BL18" s="847">
        <f ca="1">AL18</f>
        <v>22.15</v>
      </c>
      <c r="BM18" s="778">
        <v>15.8366141732283</v>
      </c>
      <c r="BN18" s="778">
        <v>14.6371882086168</v>
      </c>
      <c r="BO18" s="778">
        <v>21.0972692888889</v>
      </c>
      <c r="BP18" s="778">
        <v>19.2874618016375</v>
      </c>
      <c r="BQ18" s="848">
        <v>17.8206106870229</v>
      </c>
      <c r="BR18" s="847">
        <f ca="1">AR18</f>
        <v>21.204</v>
      </c>
      <c r="BS18" s="778">
        <v>14.143811533052</v>
      </c>
      <c r="BT18" s="778">
        <v>12.5779423226812</v>
      </c>
      <c r="BU18" s="778">
        <v>20.4944901663492</v>
      </c>
      <c r="BV18" s="778">
        <v>20.2965561170621</v>
      </c>
      <c r="BW18" s="848">
        <v>17.0215092963908</v>
      </c>
      <c r="BX18" s="847">
        <f ca="1">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921</v>
      </c>
      <c r="D19" s="16"/>
      <c r="E19" s="724">
        <f ca="1">AVERAGE(L8:L35)</f>
        <v>19.619196</v>
      </c>
      <c r="F19" s="724">
        <f ca="1">AVERAGE(R8:R35)</f>
        <v>17.960307142857143</v>
      </c>
      <c r="G19" s="724">
        <f ca="1">AVERAGE(X8:X35)</f>
        <v>9.25948</v>
      </c>
      <c r="H19" s="724">
        <f ca="1">AVERAGE(AD8:AD35)</f>
        <v>7.4632</v>
      </c>
      <c r="I19" s="84">
        <f ca="1">IF(I18=4,1,I18+1)</f>
        <v>4</v>
      </c>
      <c r="J19" s="5">
        <f ca="1">IF(I19=1,J18+1,J18)</f>
        <v>2006</v>
      </c>
      <c r="K19" s="345" t="str">
        <f ca="1">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 ca="1">$K19</f>
        <v>4Q06</v>
      </c>
      <c r="AL19" s="847">
        <f ca="1">L19</f>
        <v>20.6848</v>
      </c>
      <c r="AM19" s="778">
        <v>19.4912279071203</v>
      </c>
      <c r="AN19" s="778">
        <v>16.6883893888325</v>
      </c>
      <c r="AO19" s="778">
        <v>24.7324840764331</v>
      </c>
      <c r="AP19" s="778">
        <v>17.4916383775587</v>
      </c>
      <c r="AQ19" s="848">
        <v>16.2323943661972</v>
      </c>
      <c r="AR19" s="847">
        <f ca="1">R19</f>
        <v>16.7912</v>
      </c>
      <c r="AS19" s="778">
        <v>20.3629032258064</v>
      </c>
      <c r="AT19" s="778">
        <v>16.26994082613</v>
      </c>
      <c r="AU19" s="778">
        <v>29.3277945619335</v>
      </c>
      <c r="AV19" s="778">
        <v>17.3293571901922</v>
      </c>
      <c r="AW19" s="848"/>
      <c r="AX19" s="847">
        <f ca="1">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 ca="1">$K19</f>
        <v>4Q06</v>
      </c>
      <c r="BL19" s="847">
        <f ca="1">AL19</f>
        <v>20.6848</v>
      </c>
      <c r="BM19" s="778">
        <v>17.258407079646</v>
      </c>
      <c r="BN19" s="778">
        <v>13.3333333333333</v>
      </c>
      <c r="BO19" s="778">
        <v>21.7923454037267</v>
      </c>
      <c r="BP19" s="778">
        <v>18.2218412390662</v>
      </c>
      <c r="BQ19" s="848">
        <v>19.2100371747212</v>
      </c>
      <c r="BR19" s="847">
        <f ca="1">AR19</f>
        <v>16.7912</v>
      </c>
      <c r="BS19" s="778">
        <v>16.9937260369467</v>
      </c>
      <c r="BT19" s="778">
        <v>12.3301292674843</v>
      </c>
      <c r="BU19" s="778">
        <v>22.2061241139241</v>
      </c>
      <c r="BV19" s="778">
        <v>20.0418586755485</v>
      </c>
      <c r="BW19" s="848">
        <v>18.7977446344125</v>
      </c>
      <c r="BX19" s="847">
        <f ca="1">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922</v>
      </c>
      <c r="D20" s="16"/>
      <c r="E20" s="724">
        <f ca="1">AVERAGE(L8:L19)</f>
        <v>23.75140833333333</v>
      </c>
      <c r="F20" s="724">
        <f ca="1">AVERAGE(R8:R19)</f>
        <v>21.239816666666666</v>
      </c>
      <c r="G20" s="724">
        <f ca="1">AVERAGE(X8:X19)</f>
        <v>10.85385</v>
      </c>
      <c r="H20" s="724">
        <f ca="1">AVERAGE(AD8:AD19)</f>
      </c>
      <c r="I20" s="84">
        <f ca="1">I16</f>
        <v>1</v>
      </c>
      <c r="J20" s="5">
        <f ca="1">IF(I20=1,J19+1,J19)</f>
        <v>2007</v>
      </c>
      <c r="K20" s="345" t="str">
        <f ca="1">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 ca="1">$K20</f>
        <v>1Q07</v>
      </c>
      <c r="AL20" s="847">
        <f ca="1">L20</f>
        <v>19.9384</v>
      </c>
      <c r="AM20" s="778">
        <v>20.3533331715796</v>
      </c>
      <c r="AN20" s="778">
        <v>14.8843352711246</v>
      </c>
      <c r="AO20" s="778">
        <v>21.6201117318436</v>
      </c>
      <c r="AP20" s="778">
        <v>17.9013373644136</v>
      </c>
      <c r="AQ20" s="848">
        <v>18.2746478873239</v>
      </c>
      <c r="AR20" s="847">
        <f ca="1">R20</f>
        <v>17.5573</v>
      </c>
      <c r="AS20" s="778">
        <v>18.2759652798563</v>
      </c>
      <c r="AT20" s="778">
        <v>13.5724675837029</v>
      </c>
      <c r="AU20" s="778">
        <v>20.5087440381558</v>
      </c>
      <c r="AV20" s="778">
        <v>15.71953010279</v>
      </c>
      <c r="AW20" s="848">
        <v>13.586387434555</v>
      </c>
      <c r="AX20" s="847">
        <f ca="1">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 ca="1">$K20</f>
        <v>1Q07</v>
      </c>
      <c r="BL20" s="847">
        <f ca="1">AL20</f>
        <v>19.9384</v>
      </c>
      <c r="BM20" s="778">
        <v>14.9411764705882</v>
      </c>
      <c r="BN20" s="778">
        <v>11.6545138888889</v>
      </c>
      <c r="BO20" s="778">
        <v>21.3967441259259</v>
      </c>
      <c r="BP20" s="778">
        <v>17.8909144842303</v>
      </c>
      <c r="BQ20" s="848">
        <v>18.1860465116279</v>
      </c>
      <c r="BR20" s="847">
        <f ca="1">AR20</f>
        <v>17.5573</v>
      </c>
      <c r="BS20" s="778">
        <v>12.5157404872707</v>
      </c>
      <c r="BT20" s="778">
        <v>11.2219993313273</v>
      </c>
      <c r="BU20" s="778">
        <v>19.1718614402655</v>
      </c>
      <c r="BV20" s="778">
        <v>17.5714338684405</v>
      </c>
      <c r="BW20" s="848">
        <v>16.753460777851</v>
      </c>
      <c r="BX20" s="847">
        <f ca="1">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923</v>
      </c>
      <c r="D21" s="16"/>
      <c r="E21" s="724">
        <f ca="1">AVERAGE(L16:L27)</f>
        <v>19.173399999999997</v>
      </c>
      <c r="F21" s="724">
        <f ca="1">AVERAGE(R16:R27)</f>
        <v>17.364974999999998</v>
      </c>
      <c r="G21" s="724">
        <f ca="1">AVERAGE(X16:X27)</f>
        <v>9.242608333333331</v>
      </c>
      <c r="H21" s="724">
        <f ca="1">AVERAGE(AD16:AD27)</f>
        <v>8.039285714285713</v>
      </c>
      <c r="I21" s="84">
        <f ca="1">IF(I20=4,1,I20+1)</f>
        <v>2</v>
      </c>
      <c r="J21" s="5">
        <f ca="1">IF(I21=1,J20+1,J20)</f>
        <v>2007</v>
      </c>
      <c r="K21" s="345" t="str">
        <f ca="1">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 ca="1">$K21</f>
        <v>2Q07</v>
      </c>
      <c r="AL21" s="847">
        <f ca="1">L21</f>
        <v>20.9091</v>
      </c>
      <c r="AM21" s="778">
        <v>19.657575771778</v>
      </c>
      <c r="AN21" s="778">
        <v>14.2796521296296</v>
      </c>
      <c r="AO21" s="778">
        <v>20.0615384615385</v>
      </c>
      <c r="AP21" s="778">
        <v>17.1156247577095</v>
      </c>
      <c r="AQ21" s="848">
        <v>16.2146892655367</v>
      </c>
      <c r="AR21" s="847">
        <f ca="1">R21</f>
        <v>19.0645</v>
      </c>
      <c r="AS21" s="778">
        <v>18.3041760722348</v>
      </c>
      <c r="AT21" s="778">
        <v>13.1036807777778</v>
      </c>
      <c r="AU21" s="778">
        <v>19.9286805909322</v>
      </c>
      <c r="AV21" s="778">
        <v>15.7024082568807</v>
      </c>
      <c r="AW21" s="848">
        <v>15.0261780104712</v>
      </c>
      <c r="AX21" s="847">
        <f ca="1">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 ca="1">$K21</f>
        <v>2Q07</v>
      </c>
      <c r="BL21" s="847">
        <f ca="1">AL21</f>
        <v>20.9091</v>
      </c>
      <c r="BM21" s="778">
        <v>14.1619613670134</v>
      </c>
      <c r="BN21" s="778">
        <v>10.4117647058824</v>
      </c>
      <c r="BO21" s="778">
        <v>20.1862794</v>
      </c>
      <c r="BP21" s="778">
        <v>16.6056425073082</v>
      </c>
      <c r="BQ21" s="848">
        <v>17.6157804459691</v>
      </c>
      <c r="BR21" s="847">
        <f ca="1">AR21</f>
        <v>19.0645</v>
      </c>
      <c r="BS21" s="778">
        <v>12.0737268811756</v>
      </c>
      <c r="BT21" s="778">
        <v>10.378763866878</v>
      </c>
      <c r="BU21" s="778">
        <v>18.3714070656371</v>
      </c>
      <c r="BV21" s="778">
        <v>17.0522490295096</v>
      </c>
      <c r="BW21" s="848">
        <v>16.8250327653997</v>
      </c>
      <c r="BX21" s="847">
        <f ca="1">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924</v>
      </c>
      <c r="D22" s="16"/>
      <c r="E22" s="724">
        <f ca="1">AVERAGE(L24:L35)</f>
        <v>13.922155555555555</v>
      </c>
      <c r="F22" s="724">
        <f ca="1">AVERAGE(R24:R35)</f>
        <v>14.71904166666667</v>
      </c>
      <c r="G22" s="724">
        <f ca="1">AVERAGE(X24:X35)</f>
        <v>6.932388888888889</v>
      </c>
      <c r="H22" s="724">
        <f ca="1">AVERAGE(AD24:AD35)</f>
        <v>7.137241666666667</v>
      </c>
      <c r="I22" s="84">
        <f ca="1">IF(I21+1=5,1,I21+1)</f>
        <v>3</v>
      </c>
      <c r="J22" s="5">
        <f ca="1">IF(I22=1,J21+1,J21)</f>
        <v>2007</v>
      </c>
      <c r="K22" s="345" t="str">
        <f ca="1">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 ca="1">$K22</f>
        <v>3Q07</v>
      </c>
      <c r="AL22" s="847">
        <f ca="1">L22</f>
        <v>20.6378</v>
      </c>
      <c r="AM22" s="778">
        <v>17.0980392156863</v>
      </c>
      <c r="AN22" s="778">
        <v>14.6741425193452</v>
      </c>
      <c r="AO22" s="778">
        <v>18.5463414634146</v>
      </c>
      <c r="AP22" s="778">
        <v>17.5036603221083</v>
      </c>
      <c r="AQ22" s="848">
        <v>19.406779661017</v>
      </c>
      <c r="AR22" s="847">
        <f ca="1">R22</f>
        <v>19.0893</v>
      </c>
      <c r="AS22" s="778">
        <v>16.0758493547538</v>
      </c>
      <c r="AT22" s="778">
        <v>12.5076405035515</v>
      </c>
      <c r="AU22" s="778">
        <v>19.0004997501249</v>
      </c>
      <c r="AV22" s="778">
        <v>16.852269523541</v>
      </c>
      <c r="AW22" s="848">
        <v>16.2028301886792</v>
      </c>
      <c r="AX22" s="847">
        <f ca="1">X22</f>
        <v>10.0884</v>
      </c>
      <c r="AY22" s="778">
        <v>8.85585659875072</v>
      </c>
      <c r="AZ22" s="778">
        <v>7.86304877795203</v>
      </c>
      <c r="BA22" s="778">
        <v>10.2621107586187</v>
      </c>
      <c r="BB22" s="778"/>
      <c r="BC22" s="848">
        <v>10.1926114955517</v>
      </c>
      <c r="BD22" s="847">
        <f t="shared" ref="BD22:BD84" si="31" ca="1">AD22</f>
        <v>10.3418</v>
      </c>
      <c r="BE22" s="778">
        <v>8.02052961360611</v>
      </c>
      <c r="BF22" s="778">
        <v>7.33188710956758</v>
      </c>
      <c r="BG22" s="778">
        <v>9.44294226823773</v>
      </c>
      <c r="BH22" s="778">
        <v>9.41766242765802</v>
      </c>
      <c r="BI22" s="848">
        <v>10.2188931136207</v>
      </c>
      <c r="BJ22" s="16"/>
      <c r="BK22" s="345" t="str">
        <f ca="1">$K22</f>
        <v>3Q07</v>
      </c>
      <c r="BL22" s="847">
        <f ca="1">AL22</f>
        <v>20.6378</v>
      </c>
      <c r="BM22" s="778">
        <v>16.2968099861304</v>
      </c>
      <c r="BN22" s="778">
        <v>9.77635782747604</v>
      </c>
      <c r="BO22" s="778">
        <v>19.03843214</v>
      </c>
      <c r="BP22" s="778">
        <v>16.2273142661321</v>
      </c>
      <c r="BQ22" s="848">
        <v>17.2225913621262</v>
      </c>
      <c r="BR22" s="847">
        <f ca="1">AR22</f>
        <v>19.0893</v>
      </c>
      <c r="BS22" s="778">
        <v>14.2458777885548</v>
      </c>
      <c r="BT22" s="778">
        <v>10.6620209059233</v>
      </c>
      <c r="BU22" s="778">
        <v>17.8223208359031</v>
      </c>
      <c r="BV22" s="778">
        <v>17.0000435169003</v>
      </c>
      <c r="BW22" s="848">
        <v>16.869508623495</v>
      </c>
      <c r="BX22" s="847">
        <f ca="1">AX22</f>
        <v>10.0884</v>
      </c>
      <c r="BY22" s="778">
        <v>8.8394808862531</v>
      </c>
      <c r="BZ22" s="778"/>
      <c r="CA22" s="778">
        <v>12.1583880831806</v>
      </c>
      <c r="CB22" s="778">
        <v>12.5701333982331</v>
      </c>
      <c r="CC22" s="848">
        <v>10.0294593414261</v>
      </c>
      <c r="CD22" s="847">
        <f t="shared" ref="CD22:CD84" si="32" ca="1">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925</v>
      </c>
      <c r="D23" s="16"/>
      <c r="E23" s="724">
        <f ca="1">AVERAGE(L36:L75)</f>
        <v>19.910015</v>
      </c>
      <c r="F23" s="724">
        <f ca="1">AVERAGE(R36:R75)</f>
        <v>18.440642500000003</v>
      </c>
      <c r="G23" s="724">
        <f ca="1">AVERAGE(X36:X75)</f>
        <v>10.017830000000002</v>
      </c>
      <c r="H23" s="724">
        <f ca="1">AVERAGE(AD36:AD75)</f>
        <v>9.340644999999999</v>
      </c>
      <c r="I23" s="84">
        <f ca="1">IF(I22=4,1,I22+1)</f>
        <v>4</v>
      </c>
      <c r="J23" s="5">
        <f ca="1">IF(I23=1,J22+1,J22)</f>
        <v>2007</v>
      </c>
      <c r="K23" s="345" t="str">
        <f ca="1">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 ca="1">$K23</f>
        <v>4Q07</v>
      </c>
      <c r="AL23" s="847">
        <f ca="1">L23</f>
        <v>18.6783</v>
      </c>
      <c r="AM23" s="778">
        <v>17.0980392156863</v>
      </c>
      <c r="AN23" s="778">
        <v>14.9398530326027</v>
      </c>
      <c r="AO23" s="778">
        <v>19.1190476190476</v>
      </c>
      <c r="AP23" s="778">
        <v>15.9287709497207</v>
      </c>
      <c r="AQ23" s="848">
        <v>27.4640287769784</v>
      </c>
      <c r="AR23" s="847">
        <f ca="1">R23</f>
        <v>15.6712</v>
      </c>
      <c r="AS23" s="778">
        <v>16.0722404647638</v>
      </c>
      <c r="AT23" s="778">
        <v>14.7619013451543</v>
      </c>
      <c r="AU23" s="778">
        <v>19.5758166747928</v>
      </c>
      <c r="AV23" s="778">
        <v>15.8226970033296</v>
      </c>
      <c r="AW23" s="848">
        <v>18.0070754716981</v>
      </c>
      <c r="AX23" s="847">
        <f ca="1">X23</f>
        <v>9.2974</v>
      </c>
      <c r="AY23" s="778">
        <v>8.14393988109869</v>
      </c>
      <c r="AZ23" s="778">
        <v>8.51506896797682</v>
      </c>
      <c r="BA23" s="778">
        <v>9.99949700916278</v>
      </c>
      <c r="BB23" s="778">
        <v>9.51634435930719</v>
      </c>
      <c r="BC23" s="848">
        <v>11.144456998288</v>
      </c>
      <c r="BD23" s="847">
        <f ca="1">AD23</f>
        <v>8.0252</v>
      </c>
      <c r="BE23" s="778">
        <v>7.89003508895669</v>
      </c>
      <c r="BF23" s="778">
        <v>7.69701748867841</v>
      </c>
      <c r="BG23" s="778">
        <v>8.55207703377935</v>
      </c>
      <c r="BH23" s="778">
        <v>8.14331030360429</v>
      </c>
      <c r="BI23" s="848">
        <v>8.69454187226435</v>
      </c>
      <c r="BJ23" s="16"/>
      <c r="BK23" s="345" t="str">
        <f ca="1">$K23</f>
        <v>4Q07</v>
      </c>
      <c r="BL23" s="847">
        <f ca="1">AL23</f>
        <v>18.6783</v>
      </c>
      <c r="BM23" s="778">
        <v>14.3172242874845</v>
      </c>
      <c r="BN23" s="778">
        <v>11.8865619546248</v>
      </c>
      <c r="BO23" s="778">
        <v>19.2524923257143</v>
      </c>
      <c r="BP23" s="778">
        <v>15.4856291599362</v>
      </c>
      <c r="BQ23" s="848">
        <v>17.8057324840764</v>
      </c>
      <c r="BR23" s="847">
        <f ca="1">AR23</f>
        <v>15.6712</v>
      </c>
      <c r="BS23" s="778">
        <v>14.6401419158642</v>
      </c>
      <c r="BT23" s="778">
        <v>10.7768987341772</v>
      </c>
      <c r="BU23" s="778">
        <v>19.4077543605991</v>
      </c>
      <c r="BV23" s="778">
        <v>16.8786724303922</v>
      </c>
      <c r="BW23" s="848">
        <v>17.9948503379466</v>
      </c>
      <c r="BX23" s="847">
        <f ca="1">AX23</f>
        <v>9.2974</v>
      </c>
      <c r="BY23" s="778">
        <v>8.04174963302337</v>
      </c>
      <c r="BZ23" s="778">
        <v>5.57286484093618</v>
      </c>
      <c r="CA23" s="778">
        <v>12.3021853597381</v>
      </c>
      <c r="CB23" s="778">
        <v>11.4719491585091</v>
      </c>
      <c r="CC23" s="848">
        <v>10.3347166358238</v>
      </c>
      <c r="CD23" s="847">
        <f ca="1">BD23</f>
        <v>8.0252</v>
      </c>
      <c r="CE23" s="778">
        <v>7.0964548994156</v>
      </c>
      <c r="CF23" s="778">
        <v>5.77276339622483</v>
      </c>
      <c r="CG23" s="778">
        <v>9.44339138004464</v>
      </c>
      <c r="CH23" s="778">
        <v>8.65216305801951</v>
      </c>
      <c r="CI23" s="848">
        <v>9.26565185572825</v>
      </c>
    </row>
    <row r="24" ht="14.25" customHeight="1" spans="1:87" x14ac:dyDescent="0.25">
      <c r="A24" s="16"/>
      <c r="B24" s="16"/>
      <c r="C24" s="16" t="s">
        <v>926</v>
      </c>
      <c r="D24" s="16"/>
      <c r="E24" s="724">
        <f ca="1">AVERAGE(L36:L51)</f>
        <v>17.291406249999998</v>
      </c>
      <c r="F24" s="724">
        <f ca="1">AVERAGE(R36:R51)</f>
        <v>16.548837499999998</v>
      </c>
      <c r="G24" s="724">
        <f ca="1">AVERAGE(X36:X51)</f>
        <v>7.696606249999999</v>
      </c>
      <c r="H24" s="724">
        <f ca="1">AVERAGE(AD36:AD51)</f>
        <v>7.408287499999999</v>
      </c>
      <c r="I24" s="84">
        <f ca="1">I20</f>
        <v>1</v>
      </c>
      <c r="J24" s="5">
        <f ca="1">IF(I24=1,J23+1,J23)</f>
        <v>2008</v>
      </c>
      <c r="K24" s="345" t="str">
        <f ca="1">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 ca="1">$K24</f>
        <v>1Q08</v>
      </c>
      <c r="AL24" s="847">
        <f ca="1">L24</f>
        <v>16.0503</v>
      </c>
      <c r="AM24" s="778">
        <v>17.4720930232558</v>
      </c>
      <c r="AN24" s="778">
        <v>16.6535426857527</v>
      </c>
      <c r="AO24" s="778">
        <v>20.6486486486486</v>
      </c>
      <c r="AP24" s="778">
        <v>17.4808743169399</v>
      </c>
      <c r="AQ24" s="848">
        <v>30.2697841726619</v>
      </c>
      <c r="AR24" s="847">
        <f ca="1">R24</f>
        <v>14.5631</v>
      </c>
      <c r="AS24" s="778">
        <v>16.1500429922614</v>
      </c>
      <c r="AT24" s="778">
        <v>14.2711768696153</v>
      </c>
      <c r="AU24" s="778">
        <v>17.6851851851852</v>
      </c>
      <c r="AV24" s="778">
        <v>16.0190285428142</v>
      </c>
      <c r="AW24" s="848">
        <v>16.5649606299213</v>
      </c>
      <c r="AX24" s="847">
        <f ca="1">X24</f>
        <v>7.9532</v>
      </c>
      <c r="AY24" s="778">
        <v>8.61555833241446</v>
      </c>
      <c r="AZ24" s="778">
        <v>9.77164783427025</v>
      </c>
      <c r="BA24" s="778">
        <v>11.1010203748702</v>
      </c>
      <c r="BB24" s="778">
        <v>10.616211642331</v>
      </c>
      <c r="BC24" s="848">
        <v>12.2117798159006</v>
      </c>
      <c r="BD24" s="847">
        <f ca="1">AD24</f>
        <v>7.2602</v>
      </c>
      <c r="BE24" s="778">
        <v>8.47923620690157</v>
      </c>
      <c r="BF24" s="778">
        <v>8.73491664130109</v>
      </c>
      <c r="BG24" s="778">
        <v>9.66165648553287</v>
      </c>
      <c r="BH24" s="778">
        <v>9.20147957997077</v>
      </c>
      <c r="BI24" s="848">
        <v>9.44777207299858</v>
      </c>
      <c r="BJ24" s="16"/>
      <c r="BK24" s="345" t="str">
        <f ca="1">$K24</f>
        <v>1Q08</v>
      </c>
      <c r="BL24" s="847">
        <f ca="1">AL24</f>
        <v>16.0503</v>
      </c>
      <c r="BM24" s="778">
        <v>16.2466063348416</v>
      </c>
      <c r="BN24" s="778">
        <v>13.605851979346</v>
      </c>
      <c r="BO24" s="778">
        <v>18.5735131622222</v>
      </c>
      <c r="BP24" s="778">
        <v>16.8950805926133</v>
      </c>
      <c r="BQ24" s="848">
        <v>17.8369230769231</v>
      </c>
      <c r="BR24" s="847">
        <f ca="1">AR24</f>
        <v>14.5631</v>
      </c>
      <c r="BS24" s="778">
        <v>14.4632426988922</v>
      </c>
      <c r="BT24" s="778">
        <v>12.6237623762376</v>
      </c>
      <c r="BU24" s="778">
        <v>18.1205006460705</v>
      </c>
      <c r="BV24" s="778">
        <v>16.4980325073736</v>
      </c>
      <c r="BW24" s="848">
        <v>16.4360646441735</v>
      </c>
      <c r="BX24" s="847">
        <f ca="1">AX24</f>
        <v>7.9532</v>
      </c>
      <c r="BY24" s="778">
        <v>8.92992048937141</v>
      </c>
      <c r="BZ24" s="778">
        <v>6.39162415109242</v>
      </c>
      <c r="CA24" s="778">
        <v>12.2438373320001</v>
      </c>
      <c r="CB24" s="778">
        <v>12.2282689647088</v>
      </c>
      <c r="CC24" s="848">
        <v>10.2409050296403</v>
      </c>
      <c r="CD24" s="847">
        <f ca="1">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927</v>
      </c>
      <c r="D25" s="16"/>
      <c r="E25" s="724">
        <f ca="1">AVERAGE(L48:L63)</f>
        <v>22.41733125</v>
      </c>
      <c r="F25" s="724">
        <f ca="1">AVERAGE(R48:R63)</f>
        <v>20.33919375</v>
      </c>
      <c r="G25" s="724">
        <f ca="1">AVERAGE(X48:X63)</f>
        <v>10.532525</v>
      </c>
      <c r="H25" s="724">
        <f ca="1">AVERAGE(AD48:AD63)</f>
        <v>9.897068749999999</v>
      </c>
      <c r="I25" s="84">
        <f ca="1">IF(I24=4,1,I24+1)</f>
        <v>2</v>
      </c>
      <c r="J25" s="5">
        <f ca="1">IF(I25=1,J24+1,J24)</f>
        <v>2008</v>
      </c>
      <c r="K25" s="345" t="str">
        <f ca="1">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 ca="1">$K25</f>
        <v>2Q08</v>
      </c>
      <c r="AL25" s="847">
        <f ca="1">L25</f>
        <v>14.2799</v>
      </c>
      <c r="AM25" s="778">
        <v>15.4279569892473</v>
      </c>
      <c r="AN25" s="778">
        <v>15.0553928170984</v>
      </c>
      <c r="AO25" s="778">
        <v>19.5482456140351</v>
      </c>
      <c r="AP25" s="778">
        <v>16.9585492227979</v>
      </c>
      <c r="AQ25" s="848">
        <v>30.5578512396694</v>
      </c>
      <c r="AR25" s="847">
        <f ca="1">R25</f>
        <v>13.4645</v>
      </c>
      <c r="AS25" s="778">
        <v>14.5991045991046</v>
      </c>
      <c r="AT25" s="778">
        <v>13.2498441117191</v>
      </c>
      <c r="AU25" s="778">
        <v>16.4404278863888</v>
      </c>
      <c r="AV25" s="778">
        <v>15.6677836285304</v>
      </c>
      <c r="AW25" s="848">
        <v>14.9092741935484</v>
      </c>
      <c r="AX25" s="847">
        <f ca="1">X25</f>
        <v>7.1858</v>
      </c>
      <c r="AY25" s="778">
        <v>7.63779299955548</v>
      </c>
      <c r="AZ25" s="778">
        <v>8.81353092988812</v>
      </c>
      <c r="BA25" s="778">
        <v>10.6843425636309</v>
      </c>
      <c r="BB25" s="778">
        <v>10.043763313574</v>
      </c>
      <c r="BC25" s="848">
        <v>9.895961637202</v>
      </c>
      <c r="BD25" s="847">
        <f ca="1">AD25</f>
        <v>7.1029</v>
      </c>
      <c r="BE25" s="778">
        <v>7.65548728620756</v>
      </c>
      <c r="BF25" s="778">
        <v>7.99308465903532</v>
      </c>
      <c r="BG25" s="778">
        <v>8.95666163844804</v>
      </c>
      <c r="BH25" s="778">
        <v>9.6289268838999</v>
      </c>
      <c r="BI25" s="848">
        <v>8.63670687874056</v>
      </c>
      <c r="BJ25" s="16"/>
      <c r="BK25" s="345" t="str">
        <f ca="1">$K25</f>
        <v>2Q08</v>
      </c>
      <c r="BL25" s="847">
        <f ca="1">AL25</f>
        <v>14.2799</v>
      </c>
      <c r="BM25" s="778">
        <v>15.3251028806584</v>
      </c>
      <c r="BN25" s="778">
        <v>14.4696707105719</v>
      </c>
      <c r="BO25" s="778">
        <v>17.1258627805405</v>
      </c>
      <c r="BP25" s="778">
        <v>14.9282872408329</v>
      </c>
      <c r="BQ25" s="848">
        <v>18.5982404692082</v>
      </c>
      <c r="BR25" s="847">
        <f ca="1">AR25</f>
        <v>13.4645</v>
      </c>
      <c r="BS25" s="778">
        <v>14.0927152317881</v>
      </c>
      <c r="BT25" s="778">
        <v>13.0493904345108</v>
      </c>
      <c r="BU25" s="778">
        <v>15.9290327521368</v>
      </c>
      <c r="BV25" s="778">
        <v>15.4017254953595</v>
      </c>
      <c r="BW25" s="848">
        <v>17.5971143174251</v>
      </c>
      <c r="BX25" s="847">
        <f ca="1">AX25</f>
        <v>7.1858</v>
      </c>
      <c r="BY25" s="778">
        <v>8.71342246572718</v>
      </c>
      <c r="BZ25" s="778">
        <v>6.58452980858521</v>
      </c>
      <c r="CA25" s="778">
        <v>11.1879267021409</v>
      </c>
      <c r="CB25" s="778">
        <v>10.8915271624449</v>
      </c>
      <c r="CC25" s="848">
        <v>10.6184235577362</v>
      </c>
      <c r="CD25" s="847">
        <f ca="1">BD25</f>
        <v>7.1029</v>
      </c>
      <c r="CE25" s="778">
        <v>8.73196687365729</v>
      </c>
      <c r="CF25" s="778">
        <v>7.9292794875331</v>
      </c>
      <c r="CG25" s="778">
        <v>11.8924594472119</v>
      </c>
      <c r="CH25" s="778">
        <v>9.06167211008443</v>
      </c>
      <c r="CI25" s="848">
        <v>10.0294018548875</v>
      </c>
    </row>
    <row r="26" ht="14.25" customHeight="1" spans="1:87" x14ac:dyDescent="0.25">
      <c r="A26" s="16"/>
      <c r="B26" s="16"/>
      <c r="C26" s="16" t="s">
        <v>928</v>
      </c>
      <c r="D26" s="16"/>
      <c r="E26" s="724">
        <f ca="1">AVERAGE(L60:L75)</f>
        <v>20.666881249999996</v>
      </c>
      <c r="F26" s="724">
        <f ca="1">AVERAGE(R60:R75)</f>
        <v>18.955662500000006</v>
      </c>
      <c r="G26" s="724">
        <f ca="1">AVERAGE(X60:X75)</f>
        <v>11.91195</v>
      </c>
      <c r="H26" s="724">
        <f ca="1">AVERAGE(AD60:AD75)</f>
        <v>10.80409375</v>
      </c>
      <c r="I26" s="84">
        <f ca="1">IF(I25+1=5,1,I25+1)</f>
        <v>3</v>
      </c>
      <c r="J26" s="5">
        <f ca="1">IF(I26=1,J25+1,J25)</f>
        <v>2008</v>
      </c>
      <c r="K26" s="345" t="str">
        <f ca="1">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 ca="1">$K26</f>
        <v>3Q08</v>
      </c>
      <c r="AL26" s="847">
        <f ca="1">L26</f>
        <v>15.4208</v>
      </c>
      <c r="AM26" s="778">
        <v>17.2464929859719</v>
      </c>
      <c r="AN26" s="778">
        <v>14.3943122734266</v>
      </c>
      <c r="AO26" s="778">
        <v>20.172268907563</v>
      </c>
      <c r="AP26" s="778">
        <v>17.740099009901</v>
      </c>
      <c r="AQ26" s="848">
        <v>32.6652892561983</v>
      </c>
      <c r="AR26" s="847">
        <f ca="1">R26</f>
        <v>15.958</v>
      </c>
      <c r="AS26" s="778">
        <v>16.4929091605979</v>
      </c>
      <c r="AT26" s="778">
        <v>13.759269084893</v>
      </c>
      <c r="AU26" s="778">
        <v>17.5925247343349</v>
      </c>
      <c r="AV26" s="778">
        <v>17.1009305654975</v>
      </c>
      <c r="AW26" s="848">
        <v>14.9715909090909</v>
      </c>
      <c r="AX26" s="847">
        <f ca="1">X26</f>
        <v>7.7965</v>
      </c>
      <c r="AY26" s="778">
        <v>8.59690566989158</v>
      </c>
      <c r="AZ26" s="778">
        <v>8.80108366138237</v>
      </c>
      <c r="BA26" s="778">
        <v>11.0940527176738</v>
      </c>
      <c r="BB26" s="778">
        <v>9.85910704093812</v>
      </c>
      <c r="BC26" s="848">
        <v>10.5383628649705</v>
      </c>
      <c r="BD26" s="847">
        <f ca="1">AD26</f>
        <v>7.824</v>
      </c>
      <c r="BE26" s="778">
        <v>8.74279316866968</v>
      </c>
      <c r="BF26" s="778">
        <v>8.15291865119672</v>
      </c>
      <c r="BG26" s="778">
        <v>9.70235882969312</v>
      </c>
      <c r="BH26" s="778">
        <v>10.2335240724788</v>
      </c>
      <c r="BI26" s="848">
        <v>8.72096085961602</v>
      </c>
      <c r="BJ26" s="16"/>
      <c r="BK26" s="345" t="str">
        <f ca="1">$K26</f>
        <v>3Q08</v>
      </c>
      <c r="BL26" s="847">
        <f ca="1">AL26</f>
        <v>15.4208</v>
      </c>
      <c r="BM26" s="778">
        <v>12.8015564202335</v>
      </c>
      <c r="BN26" s="778">
        <v>13.8237232289951</v>
      </c>
      <c r="BO26" s="778">
        <v>18.0490289468085</v>
      </c>
      <c r="BP26" s="778">
        <v>14.1588726076758</v>
      </c>
      <c r="BQ26" s="848">
        <v>17.7450980392157</v>
      </c>
      <c r="BR26" s="847">
        <f ca="1">AR26</f>
        <v>15.958</v>
      </c>
      <c r="BS26" s="778">
        <v>12.0160701241782</v>
      </c>
      <c r="BT26" s="778">
        <v>13.4773530356569</v>
      </c>
      <c r="BU26" s="778">
        <v>17.094294418136</v>
      </c>
      <c r="BV26" s="778">
        <v>15.5312723059866</v>
      </c>
      <c r="BW26" s="848">
        <v>17.4038461538462</v>
      </c>
      <c r="BX26" s="847">
        <f ca="1">AX26</f>
        <v>7.7965</v>
      </c>
      <c r="BY26" s="778">
        <v>10.8942187359427</v>
      </c>
      <c r="BZ26" s="778">
        <v>5.79676573417688</v>
      </c>
      <c r="CA26" s="778">
        <v>12.0248697957627</v>
      </c>
      <c r="CB26" s="778">
        <v>10.1625572132205</v>
      </c>
      <c r="CC26" s="848">
        <v>10.1605825557342</v>
      </c>
      <c r="CD26" s="847">
        <f ca="1">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 ca="1">IF(I26=4,1,I26+1)</f>
        <v>4</v>
      </c>
      <c r="J27" s="5">
        <f ca="1">IF(I27=1,J26+1,J26)</f>
        <v>2008</v>
      </c>
      <c r="K27" s="345" t="str">
        <f ca="1">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 ca="1">$K27</f>
        <v>4Q08</v>
      </c>
      <c r="AL27" s="847">
        <f ca="1">L27</f>
        <v>16.9505</v>
      </c>
      <c r="AM27" s="778">
        <v>16.7096188747731</v>
      </c>
      <c r="AN27" s="778">
        <v>13.7703909932735</v>
      </c>
      <c r="AO27" s="778">
        <v>20.952380952381</v>
      </c>
      <c r="AP27" s="778">
        <v>17.744630071599</v>
      </c>
      <c r="AQ27" s="848">
        <v>25.9249561574435</v>
      </c>
      <c r="AR27" s="847">
        <f ca="1">R27</f>
        <v>15.5968</v>
      </c>
      <c r="AS27" s="778">
        <v>16.7735470941884</v>
      </c>
      <c r="AT27" s="778">
        <v>13.9518273125852</v>
      </c>
      <c r="AU27" s="778">
        <v>20.4492641363284</v>
      </c>
      <c r="AV27" s="778">
        <v>17.7277062470196</v>
      </c>
      <c r="AW27" s="848">
        <v>16.8948412698413</v>
      </c>
      <c r="AX27" s="847">
        <f ca="1">X27</f>
        <v>8.5195</v>
      </c>
      <c r="AY27" s="778">
        <v>8.72887163490164</v>
      </c>
      <c r="AZ27" s="778">
        <v>8.50140191692857</v>
      </c>
      <c r="BA27" s="778">
        <v>11.1070955202352</v>
      </c>
      <c r="BB27" s="778">
        <v>9.56326177625636</v>
      </c>
      <c r="BC27" s="848">
        <v>9.70015168691678</v>
      </c>
      <c r="BD27" s="847">
        <f ca="1">AD27</f>
        <v>7.7868</v>
      </c>
      <c r="BE27" s="778">
        <v>8.54571044640648</v>
      </c>
      <c r="BF27" s="778">
        <v>7.68553234522558</v>
      </c>
      <c r="BG27" s="778">
        <v>9.42364323846125</v>
      </c>
      <c r="BH27" s="778">
        <v>9.25498225269748</v>
      </c>
      <c r="BI27" s="848">
        <v>7.89259181500183</v>
      </c>
      <c r="BJ27" s="16"/>
      <c r="BK27" s="345" t="str">
        <f ca="1">$K27</f>
        <v>4Q08</v>
      </c>
      <c r="BL27" s="847">
        <f ca="1">AL27</f>
        <v>16.9505</v>
      </c>
      <c r="BM27" s="778">
        <v>11.6596958174905</v>
      </c>
      <c r="BN27" s="778">
        <v>14.9481132075472</v>
      </c>
      <c r="BO27" s="778">
        <v>19.0256194648936</v>
      </c>
      <c r="BP27" s="778">
        <v>15.3269004439344</v>
      </c>
      <c r="BQ27" s="848">
        <v>16.8064516129032</v>
      </c>
      <c r="BR27" s="847">
        <f ca="1">AR27</f>
        <v>15.5968</v>
      </c>
      <c r="BS27" s="778">
        <v>11.755798351543</v>
      </c>
      <c r="BT27" s="778">
        <v>15.0474833808167</v>
      </c>
      <c r="BU27" s="778">
        <v>18.0647295929293</v>
      </c>
      <c r="BV27" s="778">
        <v>17.1042852452168</v>
      </c>
      <c r="BW27" s="848">
        <v>17.0215083038388</v>
      </c>
      <c r="BX27" s="847">
        <f ca="1">AX27</f>
        <v>8.5195</v>
      </c>
      <c r="BY27" s="778">
        <v>10.2197271127802</v>
      </c>
      <c r="BZ27" s="778">
        <v>6.28424395129667</v>
      </c>
      <c r="CA27" s="778">
        <v>12.6356232363168</v>
      </c>
      <c r="CB27" s="778">
        <v>10.57792595541</v>
      </c>
      <c r="CC27" s="848">
        <v>9.67175051875175</v>
      </c>
      <c r="CD27" s="847">
        <f ca="1">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 ca="1">Comparables!S88</f>
        <v>Primary Peer Group</v>
      </c>
      <c r="D28" s="110"/>
      <c r="E28" s="110"/>
      <c r="F28" s="110"/>
      <c r="G28" s="110"/>
      <c r="H28" s="111"/>
      <c r="I28" s="84">
        <f ca="1">I24</f>
        <v>1</v>
      </c>
      <c r="J28" s="5">
        <f ca="1">IF(I28=1,J27+1,J27)</f>
        <v>2009</v>
      </c>
      <c r="K28" s="345" t="str">
        <f ca="1">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 ca="1">$K28</f>
        <v>1Q09</v>
      </c>
      <c r="AL28" s="847">
        <f ca="1">L28</f>
        <v>1e-12</v>
      </c>
      <c r="AM28" s="778">
        <v>17.2021276595745</v>
      </c>
      <c r="AN28" s="778">
        <v>14.7979656567033</v>
      </c>
      <c r="AO28" s="778">
        <v>19.7962264150943</v>
      </c>
      <c r="AP28" s="778">
        <v>17.7262180974478</v>
      </c>
      <c r="AQ28" s="848">
        <v>28.010522213562</v>
      </c>
      <c r="AR28" s="847">
        <f ca="1">R28</f>
        <v>15.5</v>
      </c>
      <c r="AS28" s="778">
        <v>16.0257680872151</v>
      </c>
      <c r="AT28" s="778">
        <v>13.4769302918335</v>
      </c>
      <c r="AU28" s="778">
        <v>17.2395662175485</v>
      </c>
      <c r="AV28" s="778">
        <v>16.1147437249525</v>
      </c>
      <c r="AW28" s="848">
        <v>16.7272727272727</v>
      </c>
      <c r="AX28" s="847">
        <f ca="1">X28</f>
        <v>1e-12</v>
      </c>
      <c r="AY28" s="778">
        <v>8.85900261785775</v>
      </c>
      <c r="AZ28" s="778">
        <v>9.35236565763727</v>
      </c>
      <c r="BA28" s="778">
        <v>11.0643323413605</v>
      </c>
      <c r="BB28" s="778">
        <v>9.54752528769943</v>
      </c>
      <c r="BC28" s="848">
        <v>10.4468358443576</v>
      </c>
      <c r="BD28" s="847">
        <f ca="1">AD28</f>
        <v>7.7076</v>
      </c>
      <c r="BE28" s="778">
        <v>8.4865906345287</v>
      </c>
      <c r="BF28" s="778">
        <v>8.5156768142428</v>
      </c>
      <c r="BG28" s="778">
        <v>9.73644673364436</v>
      </c>
      <c r="BH28" s="778">
        <v>9.64438372190624</v>
      </c>
      <c r="BI28" s="848">
        <v>8.80910495908152</v>
      </c>
      <c r="BJ28" s="16"/>
      <c r="BK28" s="345" t="str">
        <f ca="1">$K28</f>
        <v>1Q09</v>
      </c>
      <c r="BL28" s="847">
        <f ca="1">AL28</f>
        <v>1e-12</v>
      </c>
      <c r="BM28" s="778">
        <v>12.6710775047259</v>
      </c>
      <c r="BN28" s="778">
        <v>16.8173374613003</v>
      </c>
      <c r="BO28" s="778">
        <v>17.1665906585859</v>
      </c>
      <c r="BP28" s="778">
        <v>14.5678512444358</v>
      </c>
      <c r="BQ28" s="848">
        <v>16.8831168831169</v>
      </c>
      <c r="BR28" s="847">
        <f ca="1">AR28</f>
        <v>15.5</v>
      </c>
      <c r="BS28" s="778">
        <v>12.2855571847507</v>
      </c>
      <c r="BT28" s="778">
        <v>16.5710799267846</v>
      </c>
      <c r="BU28" s="778">
        <v>15.3245489197475</v>
      </c>
      <c r="BV28" s="778">
        <v>14.7590818733598</v>
      </c>
      <c r="BW28" s="848">
        <v>15.6400384985563</v>
      </c>
      <c r="BX28" s="847">
        <f ca="1">AX28</f>
        <v>1e-12</v>
      </c>
      <c r="BY28" s="778">
        <v>10.8467594071463</v>
      </c>
      <c r="BZ28" s="778">
        <v>7.36376070979415</v>
      </c>
      <c r="CA28" s="778">
        <v>11.4163523058198</v>
      </c>
      <c r="CB28" s="778">
        <v>10.2260901018242</v>
      </c>
      <c r="CC28" s="848">
        <v>9.68686175304303</v>
      </c>
      <c r="CD28" s="847">
        <f ca="1">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915</v>
      </c>
      <c r="D29" s="846"/>
      <c r="E29" s="846"/>
      <c r="F29" s="846"/>
      <c r="G29" s="846"/>
      <c r="H29" s="846"/>
      <c r="I29" s="84">
        <f ca="1">IF(I28=4,1,I28+1)</f>
        <v>2</v>
      </c>
      <c r="J29" s="5">
        <f ca="1">IF(I29=1,J28+1,J28)</f>
        <v>2009</v>
      </c>
      <c r="K29" s="345" t="str">
        <f ca="1">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 ca="1">$K29</f>
        <v>2Q09</v>
      </c>
      <c r="AL29" s="847">
        <f ca="1">L29</f>
        <v>1e-12</v>
      </c>
      <c r="AM29" s="778">
        <v>15.4058919803601</v>
      </c>
      <c r="AN29" s="778">
        <v>14.8719880153684</v>
      </c>
      <c r="AO29" s="778">
        <v>18.7770034843206</v>
      </c>
      <c r="AP29" s="778">
        <v>17.1912087912088</v>
      </c>
      <c r="AQ29" s="848">
        <v>17.9026098026735</v>
      </c>
      <c r="AR29" s="847">
        <f ca="1">R29</f>
        <v>14.3252</v>
      </c>
      <c r="AS29" s="778">
        <v>14.8329656476521</v>
      </c>
      <c r="AT29" s="778">
        <v>14.1680591803049</v>
      </c>
      <c r="AU29" s="778">
        <v>17.6168682576005</v>
      </c>
      <c r="AV29" s="778">
        <v>16.4052013422819</v>
      </c>
      <c r="AW29" s="848">
        <v>14.8897058823529</v>
      </c>
      <c r="AX29" s="847">
        <f ca="1">X29</f>
        <v>1e-12</v>
      </c>
      <c r="AY29" s="778">
        <v>8.01288639099495</v>
      </c>
      <c r="AZ29" s="778">
        <v>9.59164296154905</v>
      </c>
      <c r="BA29" s="778">
        <v>9.68836800040644</v>
      </c>
      <c r="BB29" s="778">
        <v>9.56951054364888</v>
      </c>
      <c r="BC29" s="848">
        <v>8.3114767326934</v>
      </c>
      <c r="BD29" s="847">
        <f ca="1">AD29</f>
        <v>7.1951</v>
      </c>
      <c r="BE29" s="778">
        <v>7.97273141350249</v>
      </c>
      <c r="BF29" s="778">
        <v>8.61574057333204</v>
      </c>
      <c r="BG29" s="778">
        <v>9.10850981783904</v>
      </c>
      <c r="BH29" s="778">
        <v>9.66151145850426</v>
      </c>
      <c r="BI29" s="848">
        <v>7.72762338743707</v>
      </c>
      <c r="BJ29" s="16"/>
      <c r="BK29" s="345" t="str">
        <f ca="1">$K29</f>
        <v>2Q09</v>
      </c>
      <c r="BL29" s="847">
        <f ca="1">AL29</f>
        <v>1e-12</v>
      </c>
      <c r="BM29" s="778">
        <v>15.6287425149701</v>
      </c>
      <c r="BN29" s="778">
        <v>17.7298091042584</v>
      </c>
      <c r="BO29" s="778">
        <v>17.8624774718447</v>
      </c>
      <c r="BP29" s="778">
        <v>16.9552839086532</v>
      </c>
      <c r="BQ29" s="848">
        <v>17.6882793017456</v>
      </c>
      <c r="BR29" s="847">
        <f ca="1">AR29</f>
        <v>14.3252</v>
      </c>
      <c r="BS29" s="778">
        <v>13.9896373056995</v>
      </c>
      <c r="BT29" s="778">
        <v>17.3427176098822</v>
      </c>
      <c r="BU29" s="778">
        <v>16.6350377902351</v>
      </c>
      <c r="BV29" s="778">
        <v>17.3787535359534</v>
      </c>
      <c r="BW29" s="848">
        <v>16.9770224988033</v>
      </c>
      <c r="BX29" s="847">
        <f ca="1">AX29</f>
        <v>1e-12</v>
      </c>
      <c r="BY29" s="778">
        <v>8.73674862448364</v>
      </c>
      <c r="BZ29" s="778">
        <v>7.507600302718</v>
      </c>
      <c r="CA29" s="778">
        <v>12.0946544433192</v>
      </c>
      <c r="CB29" s="778">
        <v>11.9712771283663</v>
      </c>
      <c r="CC29" s="848">
        <v>6.79728445867446</v>
      </c>
      <c r="CD29" s="847">
        <f ca="1">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910</v>
      </c>
      <c r="F30" s="84" t="s">
        <v>911</v>
      </c>
      <c r="G30" s="84" t="s">
        <v>912</v>
      </c>
      <c r="H30" s="84" t="s">
        <v>913</v>
      </c>
      <c r="I30" s="84">
        <f ca="1">IF(I29+1=5,1,I29+1)</f>
        <v>3</v>
      </c>
      <c r="J30" s="5">
        <f ca="1">IF(I30=1,J29+1,J29)</f>
        <v>2009</v>
      </c>
      <c r="K30" s="345" t="str">
        <f ca="1">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 ca="1">$K30</f>
        <v>3Q09</v>
      </c>
      <c r="AL30" s="847">
        <f ca="1">L30</f>
        <v>1e-12</v>
      </c>
      <c r="AM30" s="778">
        <v>16.4130105900151</v>
      </c>
      <c r="AN30" s="778">
        <v>13.929109488189</v>
      </c>
      <c r="AO30" s="778">
        <v>20.4551282051282</v>
      </c>
      <c r="AP30" s="778">
        <v>17.5613305613306</v>
      </c>
      <c r="AQ30" s="848">
        <v>21.8146615743688</v>
      </c>
      <c r="AR30" s="847">
        <f ca="1">R30</f>
        <v>12.2469</v>
      </c>
      <c r="AS30" s="778">
        <v>15.7872526193248</v>
      </c>
      <c r="AT30" s="778">
        <v>14.0257435480674</v>
      </c>
      <c r="AU30" s="778">
        <v>19.7523986381925</v>
      </c>
      <c r="AV30" s="778">
        <v>17.106115836371</v>
      </c>
      <c r="AW30" s="848">
        <v>16.9006849315069</v>
      </c>
      <c r="AX30" s="847">
        <f ca="1">X30</f>
        <v>1e-12</v>
      </c>
      <c r="AY30" s="778">
        <v>8.58424870725069</v>
      </c>
      <c r="AZ30" s="778">
        <v>8.44273757619393</v>
      </c>
      <c r="BA30" s="778">
        <v>11.1349827480621</v>
      </c>
      <c r="BB30" s="778">
        <v>10.4017651747751</v>
      </c>
      <c r="BC30" s="848">
        <v>10.7651705951063</v>
      </c>
      <c r="BD30" s="847">
        <f ca="1">AD30</f>
        <v>6.259</v>
      </c>
      <c r="BE30" s="778">
        <v>8.56723621121493</v>
      </c>
      <c r="BF30" s="778">
        <v>8.46114657038452</v>
      </c>
      <c r="BG30" s="778">
        <v>10.5056506409749</v>
      </c>
      <c r="BH30" s="778">
        <v>10.058965891206</v>
      </c>
      <c r="BI30" s="848">
        <v>9.44569181856999</v>
      </c>
      <c r="BJ30" s="16"/>
      <c r="BK30" s="345" t="str">
        <f ca="1">$K30</f>
        <v>3Q09</v>
      </c>
      <c r="BL30" s="847">
        <f ca="1">AL30</f>
        <v>1e-12</v>
      </c>
      <c r="BM30" s="778">
        <v>15.111753371869</v>
      </c>
      <c r="BN30" s="778">
        <v>20.2482946793997</v>
      </c>
      <c r="BO30" s="778">
        <v>18.4239851666667</v>
      </c>
      <c r="BP30" s="778">
        <v>17.1044063218137</v>
      </c>
      <c r="BQ30" s="848">
        <v>19.2997601918465</v>
      </c>
      <c r="BR30" s="847">
        <f ca="1">AR30</f>
        <v>12.2469</v>
      </c>
      <c r="BS30" s="778">
        <v>14.5213849287169</v>
      </c>
      <c r="BT30" s="778">
        <v>19.4114569709652</v>
      </c>
      <c r="BU30" s="778">
        <v>18.0479854693878</v>
      </c>
      <c r="BV30" s="778">
        <v>18.0075015665405</v>
      </c>
      <c r="BW30" s="848">
        <v>19.012520670919</v>
      </c>
      <c r="BX30" s="847">
        <f ca="1">AX30</f>
        <v>1e-12</v>
      </c>
      <c r="BY30" s="778">
        <v>8.29237002443662</v>
      </c>
      <c r="BZ30" s="778">
        <v>8.90934420426463</v>
      </c>
      <c r="CA30" s="778">
        <v>12.5523640844115</v>
      </c>
      <c r="CB30" s="778">
        <v>11.7121590153251</v>
      </c>
      <c r="CC30" s="848">
        <v>7.52760370412584</v>
      </c>
      <c r="CD30" s="847">
        <f ca="1">BD30</f>
        <v>6.259</v>
      </c>
      <c r="CE30" s="778">
        <v>8.15426847974502</v>
      </c>
      <c r="CF30" s="778">
        <v>10.7704744434713</v>
      </c>
      <c r="CG30" s="778">
        <v>12.3639389901145</v>
      </c>
      <c r="CH30" s="778">
        <v>10.6466484541989</v>
      </c>
      <c r="CI30" s="848">
        <v>10.8118977956183</v>
      </c>
    </row>
    <row r="31" ht="14.25" customHeight="1" spans="1:87" x14ac:dyDescent="0.25">
      <c r="A31" s="16"/>
      <c r="B31" s="16"/>
      <c r="C31" s="16" t="s">
        <v>884</v>
      </c>
      <c r="D31" s="16"/>
      <c r="E31" s="724">
        <f ca="1">AVERAGE(M81:Q86)</f>
        <v>24.03590666666668</v>
      </c>
      <c r="F31" s="724">
        <f ca="1">AVERAGE(S81:W86)</f>
        <v>23.23926666666667</v>
      </c>
      <c r="G31" s="724">
        <f ca="1">AVERAGE(Y81:AC86)</f>
        <v>15.931383333333336</v>
      </c>
      <c r="H31" s="724">
        <f ca="1">AVERAGE(AE81:AI86)</f>
        <v>15.898750000000001</v>
      </c>
      <c r="I31" s="84">
        <f ca="1">IF(I30=4,1,I30+1)</f>
        <v>4</v>
      </c>
      <c r="J31" s="5">
        <f ca="1">IF(I31=1,J30+1,J30)</f>
        <v>2009</v>
      </c>
      <c r="K31" s="345" t="str">
        <f ca="1">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 ca="1">$K31</f>
        <v>4Q09</v>
      </c>
      <c r="AL31" s="847">
        <f ca="1">L31</f>
        <v>12.3333</v>
      </c>
      <c r="AM31" s="778">
        <v>15.3440233236152</v>
      </c>
      <c r="AN31" s="778">
        <v>13.7193211646154</v>
      </c>
      <c r="AO31" s="778">
        <v>18.2831325301205</v>
      </c>
      <c r="AP31" s="778">
        <v>17.4490196078431</v>
      </c>
      <c r="AQ31" s="848">
        <v>19.1538461538462</v>
      </c>
      <c r="AR31" s="847">
        <f ca="1">R31</f>
        <v>14.8383</v>
      </c>
      <c r="AS31" s="778">
        <v>15.1956113757759</v>
      </c>
      <c r="AT31" s="778">
        <v>13.8983966600429</v>
      </c>
      <c r="AU31" s="778">
        <v>18.6941792423776</v>
      </c>
      <c r="AV31" s="778">
        <v>17.5315208825847</v>
      </c>
      <c r="AW31" s="848">
        <v>16.8243243243243</v>
      </c>
      <c r="AX31" s="847">
        <f ca="1">X31</f>
        <v>6.4357</v>
      </c>
      <c r="AY31" s="778">
        <v>8.24111235821925</v>
      </c>
      <c r="AZ31" s="778">
        <v>8.02423787510952</v>
      </c>
      <c r="BA31" s="778">
        <v>9.96072924776507</v>
      </c>
      <c r="BB31" s="778">
        <v>10.0980469559544</v>
      </c>
      <c r="BC31" s="848">
        <v>9.3325299750434</v>
      </c>
      <c r="BD31" s="847">
        <f ca="1">AD31</f>
        <v>7.207</v>
      </c>
      <c r="BE31" s="778">
        <v>7.97389754145216</v>
      </c>
      <c r="BF31" s="778">
        <v>7.72976976739138</v>
      </c>
      <c r="BG31" s="778">
        <v>8.71093614698981</v>
      </c>
      <c r="BH31" s="778">
        <v>9.15086981964502</v>
      </c>
      <c r="BI31" s="848">
        <v>8.56753479334558</v>
      </c>
      <c r="BJ31" s="16"/>
      <c r="BK31" s="345" t="str">
        <f ca="1">$K31</f>
        <v>4Q09</v>
      </c>
      <c r="BL31" s="847">
        <f ca="1">AL31</f>
        <v>12.3333</v>
      </c>
      <c r="BM31" s="778">
        <v>13.512104283054</v>
      </c>
      <c r="BN31" s="778">
        <v>23.250936329588</v>
      </c>
      <c r="BO31" s="778">
        <v>15.7670749548673</v>
      </c>
      <c r="BP31" s="778">
        <v>16.1919309510472</v>
      </c>
      <c r="BQ31" s="848">
        <v>17.4748858447489</v>
      </c>
      <c r="BR31" s="847">
        <f ca="1">AR31</f>
        <v>14.8383</v>
      </c>
      <c r="BS31" s="778">
        <v>13.4869888475836</v>
      </c>
      <c r="BT31" s="778">
        <v>18.594249201278</v>
      </c>
      <c r="BU31" s="778">
        <v>16.1676902894737</v>
      </c>
      <c r="BV31" s="778">
        <v>18.6433810568673</v>
      </c>
      <c r="BW31" s="848">
        <v>17.9967082059723</v>
      </c>
      <c r="BX31" s="847">
        <f ca="1">AX31</f>
        <v>6.4357</v>
      </c>
      <c r="BY31" s="778">
        <v>7.33406986274049</v>
      </c>
      <c r="BZ31" s="778">
        <v>10.3981517643782</v>
      </c>
      <c r="CA31" s="778">
        <v>10.9312546610151</v>
      </c>
      <c r="CB31" s="778">
        <v>11.3586064014464</v>
      </c>
      <c r="CC31" s="848">
        <v>6.90251803024707</v>
      </c>
      <c r="CD31" s="847">
        <f ca="1">BD31</f>
        <v>7.207</v>
      </c>
      <c r="CE31" s="778">
        <v>7.15781064029143</v>
      </c>
      <c r="CF31" s="778">
        <v>11.0079026660542</v>
      </c>
      <c r="CG31" s="778">
        <v>9.6792214411202</v>
      </c>
      <c r="CH31" s="778">
        <v>9.8381757631917</v>
      </c>
      <c r="CI31" s="848">
        <v>9.27720073675327</v>
      </c>
    </row>
    <row r="32" ht="14.25" customHeight="1" spans="1:87" x14ac:dyDescent="0.25">
      <c r="A32" s="16"/>
      <c r="B32" s="16"/>
      <c r="C32" s="16" t="s">
        <v>886</v>
      </c>
      <c r="D32" s="16"/>
      <c r="E32" s="724">
        <f ca="1">AVERAGE(M77:Q86)</f>
        <v>22.794811999999997</v>
      </c>
      <c r="F32" s="724">
        <f ca="1">AVERAGE(S77:W86)</f>
        <v>22.402899999999995</v>
      </c>
      <c r="G32" s="724">
        <f ca="1">AVERAGE(Y77:AC86)</f>
        <v>15.202821999999996</v>
      </c>
      <c r="H32" s="724">
        <f ca="1">AVERAGE(AE77:AI86)</f>
        <v>15.226447999999996</v>
      </c>
      <c r="I32" s="84">
        <f ca="1">I28</f>
        <v>1</v>
      </c>
      <c r="J32" s="5">
        <f ca="1">IF(I32=1,J31+1,J31)</f>
        <v>2010</v>
      </c>
      <c r="K32" s="345" t="str">
        <f ca="1">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 ca="1">$K32</f>
        <v>1Q10</v>
      </c>
      <c r="AL32" s="847">
        <f ca="1">L32</f>
        <v>11.5922</v>
      </c>
      <c r="AM32" s="778">
        <v>13.7916666666667</v>
      </c>
      <c r="AN32" s="778">
        <v>14.4646541801229</v>
      </c>
      <c r="AO32" s="778">
        <v>18.2514124293785</v>
      </c>
      <c r="AP32" s="778">
        <v>15.297247706422</v>
      </c>
      <c r="AQ32" s="848">
        <v>18.6634615384615</v>
      </c>
      <c r="AR32" s="847">
        <f ca="1">R32</f>
        <v>13.7874</v>
      </c>
      <c r="AS32" s="778">
        <v>13.4771986970684</v>
      </c>
      <c r="AT32" s="778">
        <v>12.3404741956294</v>
      </c>
      <c r="AU32" s="778">
        <v>16.664947124065</v>
      </c>
      <c r="AV32" s="778">
        <v>14.4890510948905</v>
      </c>
      <c r="AW32" s="848">
        <v>13.7855113636364</v>
      </c>
      <c r="AX32" s="847">
        <f ca="1">X32</f>
        <v>5.7847</v>
      </c>
      <c r="AY32" s="778">
        <v>7.5082358060283</v>
      </c>
      <c r="AZ32" s="778">
        <v>8.52486044129458</v>
      </c>
      <c r="BA32" s="778">
        <v>10.3114736638174</v>
      </c>
      <c r="BB32" s="778">
        <v>8.98015145446268</v>
      </c>
      <c r="BC32" s="848">
        <v>9.08579678005642</v>
      </c>
      <c r="BD32" s="847">
        <f ca="1">AD32</f>
        <v>6.4312</v>
      </c>
      <c r="BE32" s="778">
        <v>7.44225321565274</v>
      </c>
      <c r="BF32" s="778">
        <v>7.58233332727495</v>
      </c>
      <c r="BG32" s="778">
        <v>9.37739082369275</v>
      </c>
      <c r="BH32" s="778">
        <v>8.58421079389026</v>
      </c>
      <c r="BI32" s="848">
        <v>8.06478592151889</v>
      </c>
      <c r="BJ32" s="16"/>
      <c r="BK32" s="345" t="str">
        <f ca="1">$K32</f>
        <v>1Q10</v>
      </c>
      <c r="BL32" s="847">
        <f ca="1">AL32</f>
        <v>11.5922</v>
      </c>
      <c r="BM32" s="778">
        <v>14.005366726297</v>
      </c>
      <c r="BN32" s="778">
        <v>18.6419466975666</v>
      </c>
      <c r="BO32" s="778">
        <v>16.0251866279279</v>
      </c>
      <c r="BP32" s="778">
        <v>14.024015011101</v>
      </c>
      <c r="BQ32" s="848">
        <v>15.15859030837</v>
      </c>
      <c r="BR32" s="847">
        <f ca="1">AR32</f>
        <v>13.7874</v>
      </c>
      <c r="BS32" s="778">
        <v>13.1403155421282</v>
      </c>
      <c r="BT32" s="778">
        <v>15.4811393379523</v>
      </c>
      <c r="BU32" s="778">
        <v>14.6523535065898</v>
      </c>
      <c r="BV32" s="778">
        <v>14.2851003969459</v>
      </c>
      <c r="BW32" s="848">
        <v>14.1546688605512</v>
      </c>
      <c r="BX32" s="847">
        <f ca="1">AX32</f>
        <v>5.7847</v>
      </c>
      <c r="BY32" s="778">
        <v>7.58359118671717</v>
      </c>
      <c r="BZ32" s="778">
        <v>8.82653249435534</v>
      </c>
      <c r="CA32" s="778">
        <v>10.8670026348689</v>
      </c>
      <c r="CB32" s="778">
        <v>10.0792752371108</v>
      </c>
      <c r="CC32" s="848">
        <v>6.17659738967299</v>
      </c>
      <c r="CD32" s="847">
        <f ca="1">BD32</f>
        <v>6.4312</v>
      </c>
      <c r="CE32" s="778">
        <v>7.96814530662271</v>
      </c>
      <c r="CF32" s="778">
        <v>9.57449076073544</v>
      </c>
      <c r="CG32" s="778">
        <v>9.11535440583849</v>
      </c>
      <c r="CH32" s="778">
        <v>9.0013095935908</v>
      </c>
      <c r="CI32" s="848">
        <v>8.36843695719435</v>
      </c>
    </row>
    <row r="33" ht="14.25" customHeight="1" spans="1:87" x14ac:dyDescent="0.25">
      <c r="A33" s="16"/>
      <c r="B33" s="16"/>
      <c r="C33" s="16" t="s">
        <v>881</v>
      </c>
      <c r="D33" s="16"/>
      <c r="E33" s="724">
        <f ca="1">AVERAGE(M73:Q86)</f>
        <v>22.434631428571436</v>
      </c>
      <c r="F33" s="724">
        <f ca="1">AVERAGE(S73:W86)</f>
        <v>21.62764142857142</v>
      </c>
      <c r="G33" s="724">
        <f ca="1">AVERAGE(Y73:AC86)</f>
        <v>14.829062857142853</v>
      </c>
      <c r="H33" s="724">
        <f ca="1">AVERAGE(AE73:AI86)</f>
        <v>14.83389857142857</v>
      </c>
      <c r="I33" s="84">
        <f ca="1">IF(I32=4,1,I32+1)</f>
        <v>2</v>
      </c>
      <c r="J33" s="5">
        <f ca="1">IF(I33=1,J32+1,J32)</f>
        <v>2010</v>
      </c>
      <c r="K33" s="345" t="str">
        <f ca="1">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 ca="1">$K33</f>
        <v>2Q10</v>
      </c>
      <c r="AL33" s="847">
        <f ca="1">L33</f>
        <v>13.4602</v>
      </c>
      <c r="AM33" s="778">
        <v>13.0330250990753</v>
      </c>
      <c r="AN33" s="778">
        <v>12.3103857018256</v>
      </c>
      <c r="AO33" s="778">
        <v>15.048128342246</v>
      </c>
      <c r="AP33" s="778">
        <v>14.7978910369069</v>
      </c>
      <c r="AQ33" s="848">
        <v>16.1496350364963</v>
      </c>
      <c r="AR33" s="847">
        <f ca="1">R33</f>
        <v>15.4735</v>
      </c>
      <c r="AS33" s="778">
        <v>13.2518468770987</v>
      </c>
      <c r="AT33" s="778">
        <v>11.8143277224061</v>
      </c>
      <c r="AU33" s="778">
        <v>14.3534812547819</v>
      </c>
      <c r="AV33" s="778">
        <v>14.2518618821936</v>
      </c>
      <c r="AW33" s="848">
        <v>12.6068376068376</v>
      </c>
      <c r="AX33" s="847">
        <f ca="1">X33</f>
        <v>6.5525</v>
      </c>
      <c r="AY33" s="778">
        <v>7.13845427889995</v>
      </c>
      <c r="AZ33" s="778">
        <v>7.2858484195114</v>
      </c>
      <c r="BA33" s="778">
        <v>8.56023963831996</v>
      </c>
      <c r="BB33" s="778">
        <v>8.52483697498763</v>
      </c>
      <c r="BC33" s="848">
        <v>8.51204820813631</v>
      </c>
      <c r="BD33" s="847">
        <f ca="1">AD33</f>
        <v>7.1468</v>
      </c>
      <c r="BE33" s="778">
        <v>7.17551512396366</v>
      </c>
      <c r="BF33" s="778">
        <v>7.07841661921764</v>
      </c>
      <c r="BG33" s="778">
        <v>7.97209442218629</v>
      </c>
      <c r="BH33" s="778">
        <v>8.23352538970197</v>
      </c>
      <c r="BI33" s="848">
        <v>8.00985159188212</v>
      </c>
      <c r="BJ33" s="16"/>
      <c r="BK33" s="345" t="str">
        <f ca="1">$K33</f>
        <v>2Q10</v>
      </c>
      <c r="BL33" s="847">
        <f ca="1">AL33</f>
        <v>13.4602</v>
      </c>
      <c r="BM33" s="778">
        <v>12.1215106732348</v>
      </c>
      <c r="BN33" s="778">
        <v>15.3631522896699</v>
      </c>
      <c r="BO33" s="778">
        <v>11.4534820830357</v>
      </c>
      <c r="BP33" s="778">
        <v>11.7898232831689</v>
      </c>
      <c r="BQ33" s="848">
        <v>13.0168776371308</v>
      </c>
      <c r="BR33" s="847">
        <f ca="1">AR33</f>
        <v>15.4735</v>
      </c>
      <c r="BS33" s="778">
        <v>12.1996364237316</v>
      </c>
      <c r="BT33" s="778">
        <v>14.2156089869925</v>
      </c>
      <c r="BU33" s="778">
        <v>11.5879854859982</v>
      </c>
      <c r="BV33" s="778">
        <v>12.6164160594796</v>
      </c>
      <c r="BW33" s="848">
        <v>12.6046986721144</v>
      </c>
      <c r="BX33" s="847">
        <f ca="1">AX33</f>
        <v>6.5525</v>
      </c>
      <c r="BY33" s="778">
        <v>6.76726294065942</v>
      </c>
      <c r="BZ33" s="778">
        <v>7.10345359639207</v>
      </c>
      <c r="CA33" s="778">
        <v>7.78108940528903</v>
      </c>
      <c r="CB33" s="778">
        <v>8.89386809611559</v>
      </c>
      <c r="CC33" s="848">
        <v>7.83430844388233</v>
      </c>
      <c r="CD33" s="847">
        <f ca="1">BD33</f>
        <v>7.1468</v>
      </c>
      <c r="CE33" s="778">
        <v>7.42775735230166</v>
      </c>
      <c r="CF33" s="778">
        <v>8.32214301402676</v>
      </c>
      <c r="CG33" s="778">
        <v>7.3101900362287</v>
      </c>
      <c r="CH33" s="778">
        <v>8.08381866379652</v>
      </c>
      <c r="CI33" s="848">
        <v>7.55503811116955</v>
      </c>
    </row>
    <row r="34" ht="14.25" customHeight="1" spans="1:87" x14ac:dyDescent="0.25">
      <c r="A34" s="16"/>
      <c r="B34" s="16"/>
      <c r="C34" s="16" t="s">
        <v>887</v>
      </c>
      <c r="D34" s="16"/>
      <c r="E34" s="724">
        <f ca="1">AVERAGE(M65:Q86)</f>
        <v>22.779055454545446</v>
      </c>
      <c r="F34" s="724">
        <f ca="1">AVERAGE(S65:W86)</f>
        <v>21.50007</v>
      </c>
      <c r="G34" s="724">
        <f ca="1">AVERAGE(Y65:AC86)</f>
        <v>14.193111818181821</v>
      </c>
      <c r="H34" s="724">
        <f ca="1">AVERAGE(AE65:AI86)</f>
        <v>14.158867272727273</v>
      </c>
      <c r="I34" s="84">
        <f ca="1">IF(I33+1=5,1,I33+1)</f>
        <v>3</v>
      </c>
      <c r="J34" s="5">
        <f ca="1">IF(I34=1,J33+1,J33)</f>
        <v>2010</v>
      </c>
      <c r="K34" s="345" t="str">
        <f ca="1">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 ca="1">$K34</f>
        <v>3Q10</v>
      </c>
      <c r="AL34" s="847">
        <f ca="1">L34</f>
        <v>12.9639</v>
      </c>
      <c r="AM34" s="778">
        <v>14.2613784135241</v>
      </c>
      <c r="AN34" s="778">
        <v>10.9403486187251</v>
      </c>
      <c r="AO34" s="778">
        <v>13.6310164596243</v>
      </c>
      <c r="AP34" s="778">
        <v>12.3939393939394</v>
      </c>
      <c r="AQ34" s="848">
        <v>15.036496350365</v>
      </c>
      <c r="AR34" s="847">
        <f ca="1">R34</f>
        <v>14.299</v>
      </c>
      <c r="AS34" s="778">
        <v>14.1894164833743</v>
      </c>
      <c r="AT34" s="778">
        <v>10.6953359427459</v>
      </c>
      <c r="AU34" s="778">
        <v>13.3708145927036</v>
      </c>
      <c r="AV34" s="778">
        <v>12.0274464956706</v>
      </c>
      <c r="AW34" s="848">
        <v>11.2568306010929</v>
      </c>
      <c r="AX34" s="847">
        <f ca="1">X34</f>
        <v>6.2556</v>
      </c>
      <c r="AY34" s="778">
        <v>7.63722758727173</v>
      </c>
      <c r="AZ34" s="778">
        <v>6.5458498682913</v>
      </c>
      <c r="BA34" s="778">
        <v>7.38488673506552</v>
      </c>
      <c r="BB34" s="778">
        <v>7.15096702293113</v>
      </c>
      <c r="BC34" s="848">
        <v>7.94865866056743</v>
      </c>
      <c r="BD34" s="847">
        <f ca="1">AD34</f>
        <v>6.6945</v>
      </c>
      <c r="BE34" s="778">
        <v>7.65709577706541</v>
      </c>
      <c r="BF34" s="778">
        <v>6.31387809328918</v>
      </c>
      <c r="BG34" s="778">
        <v>7.29278151519314</v>
      </c>
      <c r="BH34" s="778">
        <v>7.04444582656831</v>
      </c>
      <c r="BI34" s="848">
        <v>7.05981330295993</v>
      </c>
      <c r="BJ34" s="16"/>
      <c r="BK34" s="345" t="str">
        <f ca="1">$K34</f>
        <v>3Q10</v>
      </c>
      <c r="BL34" s="847">
        <f ca="1">AL34</f>
        <v>12.9639</v>
      </c>
      <c r="BM34" s="778">
        <v>9.80263157894737</v>
      </c>
      <c r="BN34" s="778">
        <v>10.2484472049689</v>
      </c>
      <c r="BO34" s="778">
        <v>11.5079392957746</v>
      </c>
      <c r="BP34" s="778">
        <v>8.52493561532834</v>
      </c>
      <c r="BQ34" s="848">
        <v>12.1578947368421</v>
      </c>
      <c r="BR34" s="847">
        <f ca="1">AR34</f>
        <v>14.299</v>
      </c>
      <c r="BS34" s="778">
        <v>9.80101956914981</v>
      </c>
      <c r="BT34" s="778">
        <v>10.116492949111</v>
      </c>
      <c r="BU34" s="778">
        <v>12.1166142857143</v>
      </c>
      <c r="BV34" s="778">
        <v>10.3440641357541</v>
      </c>
      <c r="BW34" s="848">
        <v>12.1406913280776</v>
      </c>
      <c r="BX34" s="847">
        <f ca="1">AX34</f>
        <v>6.2556</v>
      </c>
      <c r="BY34" s="778">
        <v>5.8776212254061</v>
      </c>
      <c r="BZ34" s="778">
        <v>4.76372495848693</v>
      </c>
      <c r="CA34" s="778">
        <v>7.59923687527338</v>
      </c>
      <c r="CB34" s="778">
        <v>8.4334234393286</v>
      </c>
      <c r="CC34" s="848">
        <v>7.37840266412968</v>
      </c>
      <c r="CD34" s="847">
        <f ca="1">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916</v>
      </c>
      <c r="D35" s="846"/>
      <c r="E35" s="846"/>
      <c r="F35" s="846"/>
      <c r="G35" s="846"/>
      <c r="H35" s="846"/>
      <c r="I35" s="84">
        <f ca="1">IF(I34=4,1,I34+1)</f>
        <v>4</v>
      </c>
      <c r="J35" s="5">
        <f ca="1">IF(I35=1,J34+1,J34)</f>
        <v>2010</v>
      </c>
      <c r="K35" s="345" t="str">
        <f ca="1">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 ca="1">$K35</f>
        <v>4Q10</v>
      </c>
      <c r="AL35" s="847">
        <f ca="1">L35</f>
        <v>12.2483</v>
      </c>
      <c r="AM35" s="778">
        <v>10.8211068211068</v>
      </c>
      <c r="AN35" s="778">
        <v>21.9437661740064</v>
      </c>
      <c r="AO35" s="778">
        <v>12.4621362504108</v>
      </c>
      <c r="AP35" s="778">
        <v>9.37947882736156</v>
      </c>
      <c r="AQ35" s="848">
        <v>7.59576612903226</v>
      </c>
      <c r="AR35" s="847">
        <f ca="1">R35</f>
        <v>16.5758</v>
      </c>
      <c r="AS35" s="778">
        <v>10.8883708883709</v>
      </c>
      <c r="AT35" s="778">
        <v>7.85453529719339</v>
      </c>
      <c r="AU35" s="778">
        <v>12.6493184634449</v>
      </c>
      <c r="AV35" s="778">
        <v>9.32631578947369</v>
      </c>
      <c r="AW35" s="848">
        <v>10.0199468085106</v>
      </c>
      <c r="AX35" s="847">
        <f ca="1">X35</f>
        <v>5.908</v>
      </c>
      <c r="AY35" s="778">
        <v>5.90011760747417</v>
      </c>
      <c r="AZ35" s="778">
        <v>4.82447464821243</v>
      </c>
      <c r="BA35" s="778">
        <v>7.14185113877008</v>
      </c>
      <c r="BB35" s="778">
        <v>6.06203857526081</v>
      </c>
      <c r="BC35" s="848">
        <v>5.50760434172874</v>
      </c>
      <c r="BD35" s="847">
        <f ca="1">AD35</f>
        <v>7.0318</v>
      </c>
      <c r="BE35" s="778">
        <v>6.03087847680449</v>
      </c>
      <c r="BF35" s="778">
        <v>4.62504773738436</v>
      </c>
      <c r="BG35" s="778">
        <v>6.2991772819749</v>
      </c>
      <c r="BH35" s="778">
        <v>5.53833867354741</v>
      </c>
      <c r="BI35" s="848">
        <v>5.70512358787155</v>
      </c>
      <c r="BJ35" s="16"/>
      <c r="BK35" s="345" t="str">
        <f ca="1">$K35</f>
        <v>4Q10</v>
      </c>
      <c r="BL35" s="847">
        <f ca="1">AL35</f>
        <v>12.2483</v>
      </c>
      <c r="BM35" s="778">
        <v>7.89222614840989</v>
      </c>
      <c r="BN35" s="778">
        <v>8.01673640167364</v>
      </c>
      <c r="BO35" s="778">
        <v>7.98578086153846</v>
      </c>
      <c r="BP35" s="778">
        <v>6.70691845599802</v>
      </c>
      <c r="BQ35" s="848">
        <v>10.784708249497</v>
      </c>
      <c r="BR35" s="847">
        <f ca="1">AR35</f>
        <v>16.5758</v>
      </c>
      <c r="BS35" s="778">
        <v>7.57118644067797</v>
      </c>
      <c r="BT35" s="778">
        <v>8.47600088476001</v>
      </c>
      <c r="BU35" s="778">
        <v>8.1487559811617</v>
      </c>
      <c r="BV35" s="778">
        <v>8.31229787365712</v>
      </c>
      <c r="BW35" s="848">
        <v>10.9387755102041</v>
      </c>
      <c r="BX35" s="847">
        <f ca="1">AX35</f>
        <v>5.908</v>
      </c>
      <c r="BY35" s="778">
        <v>4.30281119062126</v>
      </c>
      <c r="BZ35" s="778">
        <v>3.84144099267505</v>
      </c>
      <c r="CA35" s="778">
        <v>5.64581306397784</v>
      </c>
      <c r="CB35" s="778">
        <v>6.80370302620347</v>
      </c>
      <c r="CC35" s="848">
        <v>6.62475062506113</v>
      </c>
      <c r="CD35" s="847">
        <f ca="1">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910</v>
      </c>
      <c r="F36" s="84" t="s">
        <v>911</v>
      </c>
      <c r="G36" s="84" t="s">
        <v>912</v>
      </c>
      <c r="H36" s="84" t="s">
        <v>913</v>
      </c>
      <c r="I36" s="84">
        <f ca="1">I32</f>
        <v>1</v>
      </c>
      <c r="J36" s="5">
        <f ca="1">IF(I36=1,J35+1,J35)</f>
        <v>2011</v>
      </c>
      <c r="K36" s="345" t="str">
        <f ca="1">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 ca="1">$K36</f>
        <v>1Q11</v>
      </c>
      <c r="AL36" s="847">
        <f ca="1">L36</f>
        <v>13.8423</v>
      </c>
      <c r="AM36" s="778">
        <v>8.94170984455958</v>
      </c>
      <c r="AN36" s="778">
        <v>18.143558</v>
      </c>
      <c r="AO36" s="778">
        <v>9.14879335309855</v>
      </c>
      <c r="AP36" s="778">
        <v>6.77361563517915</v>
      </c>
      <c r="AQ36" s="848">
        <v>6.74395161290323</v>
      </c>
      <c r="AR36" s="847">
        <f ca="1">R36</f>
        <v>15.7677</v>
      </c>
      <c r="AS36" s="778">
        <v>9.4007898679014</v>
      </c>
      <c r="AT36" s="778">
        <v>8.16609809323432</v>
      </c>
      <c r="AU36" s="778">
        <v>8.41945945945946</v>
      </c>
      <c r="AV36" s="778">
        <v>6.82810704317846</v>
      </c>
      <c r="AW36" s="848">
        <v>8.06024096385542</v>
      </c>
      <c r="AX36" s="847">
        <f ca="1">X36</f>
        <v>6.181</v>
      </c>
      <c r="AY36" s="778">
        <v>4.89790121018937</v>
      </c>
      <c r="AZ36" s="778">
        <v>4.62200946967527</v>
      </c>
      <c r="BA36" s="778">
        <v>5.07124184961911</v>
      </c>
      <c r="BB36" s="778">
        <v>4.50233671413515</v>
      </c>
      <c r="BC36" s="848">
        <v>4.90204376382567</v>
      </c>
      <c r="BD36" s="847">
        <f ca="1">AD36</f>
        <v>6.7382</v>
      </c>
      <c r="BE36" s="778">
        <v>5.2630583207003</v>
      </c>
      <c r="BF36" s="778">
        <v>4.9107333603228</v>
      </c>
      <c r="BG36" s="778">
        <v>4.76823874635809</v>
      </c>
      <c r="BH36" s="778">
        <v>4.5585638192333</v>
      </c>
      <c r="BI36" s="848">
        <v>4.8074347810977</v>
      </c>
      <c r="BJ36" s="16"/>
      <c r="BK36" s="345" t="str">
        <f ca="1">$K36</f>
        <v>1Q11</v>
      </c>
      <c r="BL36" s="847">
        <f ca="1">AL36</f>
        <v>13.8423</v>
      </c>
      <c r="BM36" s="778">
        <v>6.06261010977097</v>
      </c>
      <c r="BN36" s="778">
        <v>7.29854559770248</v>
      </c>
      <c r="BO36" s="778">
        <v>5.51742027483059</v>
      </c>
      <c r="BP36" s="778">
        <v>6.20276365659083</v>
      </c>
      <c r="BQ36" s="848">
        <v>8.96724015554344</v>
      </c>
      <c r="BR36" s="847">
        <f ca="1">AR36</f>
        <v>15.7677</v>
      </c>
      <c r="BS36" s="778">
        <v>13.1576470588235</v>
      </c>
      <c r="BT36" s="778">
        <v>10.2303143479614</v>
      </c>
      <c r="BU36" s="778">
        <v>10.0395161714876</v>
      </c>
      <c r="BV36" s="778">
        <v>8.64779520486701</v>
      </c>
      <c r="BW36" s="848">
        <v>10.3069544364508</v>
      </c>
      <c r="BX36" s="847">
        <f ca="1">AX36</f>
        <v>6.181</v>
      </c>
      <c r="BY36" s="778">
        <v>3.7364763015806</v>
      </c>
      <c r="BZ36" s="778">
        <v>3.66001445821772</v>
      </c>
      <c r="CA36" s="778">
        <v>4.34125575482718</v>
      </c>
      <c r="CB36" s="778">
        <v>6.51077564649239</v>
      </c>
      <c r="CC36" s="848">
        <v>5.76187677861997</v>
      </c>
      <c r="CD36" s="847">
        <f ca="1">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917</v>
      </c>
      <c r="D37" s="16"/>
      <c r="E37" s="724">
        <f ca="1">AVERAGE(M8:Q75)</f>
        <v>19.21793823529415</v>
      </c>
      <c r="F37" s="724">
        <f ca="1">AVERAGE(S8:W75)</f>
        <v>18.137459117647047</v>
      </c>
      <c r="G37" s="724">
        <f ca="1">AVERAGE(Y8:AC75)</f>
        <v>10.293522941176485</v>
      </c>
      <c r="H37" s="724">
        <f ca="1">AVERAGE(AE8:AI75)</f>
        <v>10.249110670731723</v>
      </c>
      <c r="I37" s="84">
        <f ca="1">IF(I36=4,1,I36+1)</f>
        <v>2</v>
      </c>
      <c r="J37" s="5">
        <f ca="1">IF(I37=1,J36+1,J36)</f>
        <v>2011</v>
      </c>
      <c r="K37" s="345" t="str">
        <f ca="1">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 ca="1">$K37</f>
        <v>2Q11</v>
      </c>
      <c r="AL37" s="847">
        <f ca="1">L37</f>
        <v>16.0511</v>
      </c>
      <c r="AM37" s="778">
        <v>10.8400537634409</v>
      </c>
      <c r="AN37" s="778">
        <v>20.8031558594378</v>
      </c>
      <c r="AO37" s="778">
        <v>9.88465235857861</v>
      </c>
      <c r="AP37" s="778">
        <v>8.8482428115016</v>
      </c>
      <c r="AQ37" s="848">
        <v>10.9902597402597</v>
      </c>
      <c r="AR37" s="847">
        <f ca="1">R37</f>
        <v>17.45</v>
      </c>
      <c r="AS37" s="778">
        <v>10.8810037776579</v>
      </c>
      <c r="AT37" s="778">
        <v>8.3497655595406</v>
      </c>
      <c r="AU37" s="778">
        <v>9.41712590080543</v>
      </c>
      <c r="AV37" s="778">
        <v>9.01823510257245</v>
      </c>
      <c r="AW37" s="848">
        <v>8.05952380952381</v>
      </c>
      <c r="AX37" s="847">
        <f ca="1">X37</f>
        <v>6.8694</v>
      </c>
      <c r="AY37" s="778">
        <v>5.82167252554598</v>
      </c>
      <c r="AZ37" s="778">
        <v>5.04100180226023</v>
      </c>
      <c r="BA37" s="778">
        <v>5.51825909288744</v>
      </c>
      <c r="BB37" s="778">
        <v>5.75990533872074</v>
      </c>
      <c r="BC37" s="848">
        <v>4.63550797149717</v>
      </c>
      <c r="BD37" s="847">
        <f ca="1">AD37</f>
        <v>7.1572</v>
      </c>
      <c r="BE37" s="778">
        <v>5.95575380710775</v>
      </c>
      <c r="BF37" s="778">
        <v>5.05876329563125</v>
      </c>
      <c r="BG37" s="778">
        <v>5.28198572877306</v>
      </c>
      <c r="BH37" s="778">
        <v>5.86429997708341</v>
      </c>
      <c r="BI37" s="848">
        <v>4.71638627172521</v>
      </c>
      <c r="BJ37" s="16"/>
      <c r="BK37" s="345" t="str">
        <f ca="1">$K37</f>
        <v>2Q11</v>
      </c>
      <c r="BL37" s="847">
        <f ca="1">AL37</f>
        <v>16.0511</v>
      </c>
      <c r="BM37" s="778">
        <v>9.19853836784409</v>
      </c>
      <c r="BN37" s="778">
        <v>10.3133050412313</v>
      </c>
      <c r="BO37" s="778">
        <v>7.82122628507479</v>
      </c>
      <c r="BP37" s="778">
        <v>7.68649436762423</v>
      </c>
      <c r="BQ37" s="848">
        <v>11.2296705358169</v>
      </c>
      <c r="BR37" s="847">
        <f ca="1">AR37</f>
        <v>17.45</v>
      </c>
      <c r="BS37" s="778">
        <v>28.2634730538922</v>
      </c>
      <c r="BT37" s="778">
        <v>15.7036163522013</v>
      </c>
      <c r="BU37" s="778">
        <v>11.4957820489796</v>
      </c>
      <c r="BV37" s="778">
        <v>10.4776994462381</v>
      </c>
      <c r="BW37" s="848">
        <v>12.747791952895</v>
      </c>
      <c r="BX37" s="847">
        <f ca="1">AX37</f>
        <v>6.8694</v>
      </c>
      <c r="BY37" s="778">
        <v>4.9804834814134</v>
      </c>
      <c r="BZ37" s="778">
        <v>3.58839260043144</v>
      </c>
      <c r="CA37" s="778">
        <v>5.67519919824192</v>
      </c>
      <c r="CB37" s="778">
        <v>7.58509884744024</v>
      </c>
      <c r="CC37" s="848">
        <v>7.07566910748467</v>
      </c>
      <c r="CD37" s="847">
        <f ca="1">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918</v>
      </c>
      <c r="D38" s="16"/>
      <c r="E38" s="724">
        <f t="shared" ref="E38:H38" si="33" ca="1">AVERAGE(E42,E46)</f>
        <v>19.162175625</v>
      </c>
      <c r="F38" s="724">
        <f ca="1">AVERAGE(F42,F46)</f>
        <v>18.071488541666675</v>
      </c>
      <c r="G38" s="724">
        <f ca="1">AVERAGE(G42,G46)</f>
        <v>9.864566666666665</v>
      </c>
      <c r="H38" s="724">
        <f ca="1">AVERAGE(H42,H46)</f>
        <v>9.915280416666667</v>
      </c>
      <c r="I38" s="84">
        <f ca="1">IF(I37+1=5,1,I37+1)</f>
        <v>3</v>
      </c>
      <c r="J38" s="5">
        <f ca="1">IF(I38=1,J37+1,J37)</f>
        <v>2011</v>
      </c>
      <c r="K38" s="345" t="str">
        <f ca="1">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 ca="1">$K38</f>
        <v>3Q11</v>
      </c>
      <c r="AL38" s="847">
        <f ca="1">L38</f>
        <v>18.9198</v>
      </c>
      <c r="AM38" s="778">
        <v>10.5377576439906</v>
      </c>
      <c r="AN38" s="778">
        <v>27.4851857570911</v>
      </c>
      <c r="AO38" s="778">
        <v>10.2080314672093</v>
      </c>
      <c r="AP38" s="778">
        <v>10.1572327044025</v>
      </c>
      <c r="AQ38" s="848">
        <v>11.3376623376623</v>
      </c>
      <c r="AR38" s="847">
        <f ca="1">R38</f>
        <v>19.251</v>
      </c>
      <c r="AS38" s="778">
        <v>10.5899905058999</v>
      </c>
      <c r="AT38" s="778">
        <v>9.63399473117176</v>
      </c>
      <c r="AU38" s="778">
        <v>10.025078369906</v>
      </c>
      <c r="AV38" s="778">
        <v>10.4683195592286</v>
      </c>
      <c r="AW38" s="848">
        <v>8.64356435643564</v>
      </c>
      <c r="AX38" s="847">
        <f ca="1">X38</f>
        <v>7.8838</v>
      </c>
      <c r="AY38" s="778">
        <v>5.75086825776484</v>
      </c>
      <c r="AZ38" s="778">
        <v>5.76379770975627</v>
      </c>
      <c r="BA38" s="778">
        <v>5.67244769955988</v>
      </c>
      <c r="BB38" s="778">
        <v>6.41895446200724</v>
      </c>
      <c r="BC38" s="848">
        <v>4.78298077282033</v>
      </c>
      <c r="BD38" s="847">
        <f ca="1">AD38</f>
        <v>7.845</v>
      </c>
      <c r="BE38" s="778">
        <v>5.82626829111257</v>
      </c>
      <c r="BF38" s="778">
        <v>5.64016330373248</v>
      </c>
      <c r="BG38" s="778">
        <v>5.50800076174861</v>
      </c>
      <c r="BH38" s="778">
        <v>6.54640211913482</v>
      </c>
      <c r="BI38" s="848">
        <v>4.90525100638369</v>
      </c>
      <c r="BJ38" s="16"/>
      <c r="BK38" s="345" t="str">
        <f ca="1">$K38</f>
        <v>3Q11</v>
      </c>
      <c r="BL38" s="847">
        <f ca="1">AL38</f>
        <v>18.9198</v>
      </c>
      <c r="BM38" s="778">
        <v>19.4664826079701</v>
      </c>
      <c r="BN38" s="778">
        <v>12.1118500568766</v>
      </c>
      <c r="BO38" s="778">
        <v>12.9341481944021</v>
      </c>
      <c r="BP38" s="778">
        <v>10.6991838719928</v>
      </c>
      <c r="BQ38" s="848">
        <v>13.6541211445259</v>
      </c>
      <c r="BR38" s="847">
        <f ca="1">AR38</f>
        <v>19.251</v>
      </c>
      <c r="BS38" s="778">
        <v>35.2783505154639</v>
      </c>
      <c r="BT38" s="778">
        <v>16.3007975693126</v>
      </c>
      <c r="BU38" s="778">
        <v>16.1718729385246</v>
      </c>
      <c r="BV38" s="778">
        <v>12.6626890556961</v>
      </c>
      <c r="BW38" s="848">
        <v>14.9191968658178</v>
      </c>
      <c r="BX38" s="847">
        <f ca="1">AX38</f>
        <v>7.8838</v>
      </c>
      <c r="BY38" s="778">
        <v>8.42885511890875</v>
      </c>
      <c r="BZ38" s="778">
        <v>4.11881142036482</v>
      </c>
      <c r="CA38" s="778">
        <v>8.4896052720449</v>
      </c>
      <c r="CB38" s="778">
        <v>7.89812505069555</v>
      </c>
      <c r="CC38" s="848">
        <v>8.31292487435405</v>
      </c>
      <c r="CD38" s="847">
        <f ca="1">BD38</f>
        <v>7.845</v>
      </c>
      <c r="CE38" s="778">
        <v>13.4717395070908</v>
      </c>
      <c r="CF38" s="778">
        <v>8.52424333939433</v>
      </c>
      <c r="CG38" s="778">
        <v>6.84037574361095</v>
      </c>
      <c r="CH38" s="778">
        <v>7.62192591280778</v>
      </c>
      <c r="CI38" s="848">
        <v>8.47323729728315</v>
      </c>
    </row>
    <row r="39" ht="14.25" customHeight="1" spans="1:87" x14ac:dyDescent="0.25">
      <c r="A39" s="16"/>
      <c r="B39" s="16"/>
      <c r="C39" s="16" t="s">
        <v>919</v>
      </c>
      <c r="D39" s="16"/>
      <c r="E39" s="724">
        <f t="shared" ref="E39:H39" si="34" ca="1">AVERAGE(E43,E47)</f>
        <v>19.35671791666666</v>
      </c>
      <c r="F39" s="724">
        <f ca="1">AVERAGE(F43,F47)</f>
        <v>18.00337229166665</v>
      </c>
      <c r="G39" s="724">
        <f ca="1">AVERAGE(G43,G47)</f>
        <v>10.236756666666668</v>
      </c>
      <c r="H39" s="724">
        <f ca="1">AVERAGE(H43,H47)</f>
        <v>10.106916607142859</v>
      </c>
      <c r="I39" s="84">
        <f ca="1">IF(I38=4,1,I38+1)</f>
        <v>4</v>
      </c>
      <c r="J39" s="5">
        <f ca="1">IF(I39=1,J38+1,J38)</f>
        <v>2011</v>
      </c>
      <c r="K39" s="345" t="str">
        <f ca="1">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 ca="1">$K39</f>
        <v>4Q11</v>
      </c>
      <c r="AL39" s="847">
        <f ca="1">L39</f>
        <v>18.9098</v>
      </c>
      <c r="AM39" s="778">
        <v>10.1197188934144</v>
      </c>
      <c r="AN39" s="778">
        <v>11.7970385363965</v>
      </c>
      <c r="AO39" s="778">
        <v>10.5807044670822</v>
      </c>
      <c r="AP39" s="778">
        <v>10.9774557165862</v>
      </c>
      <c r="AQ39" s="848">
        <v>11.6558441558442</v>
      </c>
      <c r="AR39" s="847">
        <f ca="1">R39</f>
        <v>17.2037</v>
      </c>
      <c r="AS39" s="778">
        <v>9.93277089375165</v>
      </c>
      <c r="AT39" s="778">
        <v>9.80566783723631</v>
      </c>
      <c r="AU39" s="778">
        <v>10.6732960430909</v>
      </c>
      <c r="AV39" s="778">
        <v>11.0147035062207</v>
      </c>
      <c r="AW39" s="848">
        <v>8.89851485148515</v>
      </c>
      <c r="AX39" s="847">
        <f ca="1">X39</f>
        <v>8.0501</v>
      </c>
      <c r="AY39" s="778">
        <v>5.91454019307236</v>
      </c>
      <c r="AZ39" s="778">
        <v>6.57052903854619</v>
      </c>
      <c r="BA39" s="778">
        <v>5.67431486087671</v>
      </c>
      <c r="BB39" s="778">
        <v>6.58510139823663</v>
      </c>
      <c r="BC39" s="848">
        <v>5.03048952812205</v>
      </c>
      <c r="BD39" s="847">
        <f ca="1">AD39</f>
        <v>7.4794</v>
      </c>
      <c r="BE39" s="778">
        <v>6.0064613737832</v>
      </c>
      <c r="BF39" s="778">
        <v>5.03010214457906</v>
      </c>
      <c r="BG39" s="778">
        <v>5.86572589595718</v>
      </c>
      <c r="BH39" s="778">
        <v>6.45559338832222</v>
      </c>
      <c r="BI39" s="848">
        <v>4.62066972486577</v>
      </c>
      <c r="BJ39" s="16"/>
      <c r="BK39" s="345" t="str">
        <f ca="1">$K39</f>
        <v>4Q11</v>
      </c>
      <c r="BL39" s="847">
        <f ca="1">AL39</f>
        <v>18.9098</v>
      </c>
      <c r="BM39" s="778">
        <v>28.6224270452053</v>
      </c>
      <c r="BN39" s="778">
        <v>25.6560579886675</v>
      </c>
      <c r="BO39" s="778">
        <v>14.7276675216782</v>
      </c>
      <c r="BP39" s="778">
        <v>13.5143829788318</v>
      </c>
      <c r="BQ39" s="848">
        <v>15.4123269305155</v>
      </c>
      <c r="BR39" s="847">
        <f ca="1">AR39</f>
        <v>17.2037</v>
      </c>
      <c r="BS39" s="778">
        <v>28.2128712871287</v>
      </c>
      <c r="BT39" s="778">
        <v>21.5326433121019</v>
      </c>
      <c r="BU39" s="778">
        <v>14.5874961705115</v>
      </c>
      <c r="BV39" s="778">
        <v>13.126449359233</v>
      </c>
      <c r="BW39" s="848">
        <v>16.8634596695821</v>
      </c>
      <c r="BX39" s="847">
        <f ca="1">AX39</f>
        <v>8.0501</v>
      </c>
      <c r="BY39" s="778">
        <v>14.1545619542665</v>
      </c>
      <c r="BZ39" s="778">
        <v>6.03047033443133</v>
      </c>
      <c r="CA39" s="778">
        <v>7.96553378664613</v>
      </c>
      <c r="CB39" s="778">
        <v>9.80775472028126</v>
      </c>
      <c r="CC39" s="848">
        <v>9.2828708723069</v>
      </c>
      <c r="CD39" s="847">
        <f ca="1">BD39</f>
        <v>7.4794</v>
      </c>
      <c r="CE39" s="778">
        <v>9.83100998373389</v>
      </c>
      <c r="CF39" s="778">
        <v>8.1240381305083</v>
      </c>
      <c r="CG39" s="778">
        <v>7.31440259308921</v>
      </c>
      <c r="CH39" s="778">
        <v>8.17767144467011</v>
      </c>
      <c r="CI39" s="848">
        <v>8.48806467440511</v>
      </c>
    </row>
    <row r="40" ht="14.25" customHeight="1" spans="1:87" x14ac:dyDescent="0.25">
      <c r="A40" s="16"/>
      <c r="B40" s="16"/>
      <c r="C40" s="16" t="s">
        <v>920</v>
      </c>
      <c r="D40" s="16"/>
      <c r="E40" s="724">
        <f t="shared" ref="E40:H40" si="35" ca="1">AVERAGE(E44,E48)</f>
        <v>18.215712083333333</v>
      </c>
      <c r="F40" s="724">
        <f ca="1">AVERAGE(F44,F48)</f>
        <v>17.444910625</v>
      </c>
      <c r="G40" s="724">
        <f ca="1">AVERAGE(G44,G48)</f>
        <v>10.194504583333329</v>
      </c>
      <c r="H40" s="724">
        <f ca="1">AVERAGE(H44,H48)</f>
        <v>10.159341458333332</v>
      </c>
      <c r="I40" s="84">
        <f ca="1">I36</f>
        <v>1</v>
      </c>
      <c r="J40" s="5">
        <f ca="1">IF(I40=1,J39+1,J39)</f>
        <v>2012</v>
      </c>
      <c r="K40" s="345" t="str">
        <f ca="1">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 ca="1">$K40</f>
        <v>1Q12</v>
      </c>
      <c r="AL40" s="847">
        <f ca="1">L40</f>
        <v>15.7119</v>
      </c>
      <c r="AM40" s="778">
        <v>11.2459018741683</v>
      </c>
      <c r="AN40" s="778">
        <v>13.1752667734563</v>
      </c>
      <c r="AO40" s="778">
        <v>11.5195012733566</v>
      </c>
      <c r="AP40" s="778">
        <v>12.4315619967794</v>
      </c>
      <c r="AQ40" s="848"/>
      <c r="AR40" s="847">
        <f ca="1">R40</f>
        <v>14.0344</v>
      </c>
      <c r="AS40" s="778">
        <v>11.1375802997859</v>
      </c>
      <c r="AT40" s="778">
        <v>10.206529667639</v>
      </c>
      <c r="AU40" s="778">
        <v>11.4790996784566</v>
      </c>
      <c r="AV40" s="778">
        <v>11.7952635599694</v>
      </c>
      <c r="AW40" s="848">
        <v>8.63488372093023</v>
      </c>
      <c r="AX40" s="847">
        <f ca="1">X40</f>
        <v>6.5555</v>
      </c>
      <c r="AY40" s="778">
        <v>6.37346540340196</v>
      </c>
      <c r="AZ40" s="778">
        <v>7.79228770791539</v>
      </c>
      <c r="BA40" s="778">
        <v>6.23389074738903</v>
      </c>
      <c r="BB40" s="778">
        <v>7.38346757418372</v>
      </c>
      <c r="BC40" s="848">
        <v>5.16271847804848</v>
      </c>
      <c r="BD40" s="847">
        <f ca="1">AD40</f>
        <v>5.9953</v>
      </c>
      <c r="BE40" s="778">
        <v>6.26735005457296</v>
      </c>
      <c r="BF40" s="778">
        <v>6.12120177969153</v>
      </c>
      <c r="BG40" s="778">
        <v>6.40531229040912</v>
      </c>
      <c r="BH40" s="778">
        <v>7.19464424631259</v>
      </c>
      <c r="BI40" s="848">
        <v>4.60460511198831</v>
      </c>
      <c r="BJ40" s="16"/>
      <c r="BK40" s="345" t="str">
        <f ca="1">$K40</f>
        <v>1Q12</v>
      </c>
      <c r="BL40" s="847">
        <f ca="1">AL40</f>
        <v>15.7119</v>
      </c>
      <c r="BM40" s="778">
        <v>30.6330289851329</v>
      </c>
      <c r="BN40" s="778">
        <v>27.9859571305592</v>
      </c>
      <c r="BO40" s="778">
        <v>18.4238341654617</v>
      </c>
      <c r="BP40" s="778">
        <v>14.9901358803284</v>
      </c>
      <c r="BQ40" s="848">
        <v>16.0648337493764</v>
      </c>
      <c r="BR40" s="847">
        <f ca="1">AR40</f>
        <v>14.0344</v>
      </c>
      <c r="BS40" s="778">
        <v>23.8068181818182</v>
      </c>
      <c r="BT40" s="778">
        <v>18.6103286384977</v>
      </c>
      <c r="BU40" s="778">
        <v>17.1854376031434</v>
      </c>
      <c r="BV40" s="778">
        <v>17.8308441541432</v>
      </c>
      <c r="BW40" s="848">
        <v>15.8335125833513</v>
      </c>
      <c r="BX40" s="847">
        <f ca="1">AX40</f>
        <v>6.5555</v>
      </c>
      <c r="BY40" s="778">
        <v>12.476167804583</v>
      </c>
      <c r="BZ40" s="778">
        <v>7.63827368985477</v>
      </c>
      <c r="CA40" s="778">
        <v>9.43856452292771</v>
      </c>
      <c r="CB40" s="778">
        <v>10.6734174337219</v>
      </c>
      <c r="CC40" s="848">
        <v>9.66733389012338</v>
      </c>
      <c r="CD40" s="847">
        <f ca="1">BD40</f>
        <v>5.9953</v>
      </c>
      <c r="CE40" s="778">
        <v>10.4278073137258</v>
      </c>
      <c r="CF40" s="778">
        <v>8.88010584888657</v>
      </c>
      <c r="CG40" s="778">
        <v>8.9840782933758</v>
      </c>
      <c r="CH40" s="778">
        <v>9.31664203954609</v>
      </c>
      <c r="CI40" s="848">
        <v>8.85374365092694</v>
      </c>
    </row>
    <row r="41" ht="14.25" customHeight="1" spans="1:87" x14ac:dyDescent="0.25">
      <c r="A41" s="16"/>
      <c r="B41" s="16"/>
      <c r="C41" s="16" t="s">
        <v>921</v>
      </c>
      <c r="D41" s="16"/>
      <c r="E41" s="724">
        <f ca="1">AVERAGE(M8:Q35)</f>
        <v>16.658422857142874</v>
      </c>
      <c r="F41" s="724">
        <f ca="1">AVERAGE(S8:W35)</f>
        <v>16.129296428571422</v>
      </c>
      <c r="G41" s="724">
        <f ca="1">AVERAGE(Y8:AC35)</f>
        <v>8.788684285714279</v>
      </c>
      <c r="H41" s="724">
        <f ca="1">AVERAGE(AE8:AI35)</f>
        <v>8.689914062499994</v>
      </c>
      <c r="I41" s="84">
        <f ca="1">IF(I40=4,1,I40+1)</f>
        <v>2</v>
      </c>
      <c r="J41" s="5">
        <f ca="1">IF(I41=1,J40+1,J40)</f>
        <v>2012</v>
      </c>
      <c r="K41" s="345" t="str">
        <f ca="1">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 ca="1">$K41</f>
        <v>2Q12</v>
      </c>
      <c r="AL41" s="847">
        <f ca="1">L41</f>
        <v>16.6112</v>
      </c>
      <c r="AM41" s="778">
        <v>9.99996107397703</v>
      </c>
      <c r="AN41" s="778">
        <v>9.85670908369511</v>
      </c>
      <c r="AO41" s="778">
        <v>9.66791056853068</v>
      </c>
      <c r="AP41" s="778">
        <v>9.42995169082126</v>
      </c>
      <c r="AQ41" s="848">
        <v>20.3891830018601</v>
      </c>
      <c r="AR41" s="847">
        <f ca="1">R41</f>
        <v>15.8535</v>
      </c>
      <c r="AS41" s="778">
        <v>10.1734261914516</v>
      </c>
      <c r="AT41" s="778">
        <v>8.23661855837225</v>
      </c>
      <c r="AU41" s="778">
        <v>9.65868263473054</v>
      </c>
      <c r="AV41" s="778">
        <v>8.90375551163144</v>
      </c>
      <c r="AW41" s="848">
        <v>7.27378190255221</v>
      </c>
      <c r="AX41" s="847">
        <f ca="1">X41</f>
        <v>6.995</v>
      </c>
      <c r="AY41" s="778">
        <v>5.57867980886728</v>
      </c>
      <c r="AZ41" s="778">
        <v>6.34889563397409</v>
      </c>
      <c r="BA41" s="778">
        <v>6.10014357670282</v>
      </c>
      <c r="BB41" s="778">
        <v>5.74195406620974</v>
      </c>
      <c r="BC41" s="848">
        <v>4.55449762754802</v>
      </c>
      <c r="BD41" s="847">
        <f ca="1">AD41</f>
        <v>6.7063</v>
      </c>
      <c r="BE41" s="778">
        <v>5.48624360801162</v>
      </c>
      <c r="BF41" s="778">
        <v>5.01723905576566</v>
      </c>
      <c r="BG41" s="778">
        <v>5.49481693377574</v>
      </c>
      <c r="BH41" s="778">
        <v>5.51320902779737</v>
      </c>
      <c r="BI41" s="848">
        <v>4.30941821783298</v>
      </c>
      <c r="BJ41" s="16"/>
      <c r="BK41" s="345" t="str">
        <f ca="1">$K41</f>
        <v>2Q12</v>
      </c>
      <c r="BL41" s="847">
        <f ca="1">AL41</f>
        <v>16.6112</v>
      </c>
      <c r="BM41" s="778">
        <v>24.3601654723143</v>
      </c>
      <c r="BN41" s="778">
        <v>24.2652759456071</v>
      </c>
      <c r="BO41" s="778">
        <v>13.810354033387</v>
      </c>
      <c r="BP41" s="778">
        <v>12.5183083648824</v>
      </c>
      <c r="BQ41" s="848">
        <v>13.9457009277726</v>
      </c>
      <c r="BR41" s="847">
        <f ca="1">AR41</f>
        <v>15.8535</v>
      </c>
      <c r="BS41" s="778">
        <v>18.8721332076657</v>
      </c>
      <c r="BT41" s="778">
        <v>13.2539871459176</v>
      </c>
      <c r="BU41" s="778">
        <v>12.7284161505969</v>
      </c>
      <c r="BV41" s="778">
        <v>14.9644201023031</v>
      </c>
      <c r="BW41" s="848">
        <v>13.9172384219554</v>
      </c>
      <c r="BX41" s="847">
        <f ca="1">AX41</f>
        <v>6.995</v>
      </c>
      <c r="BY41" s="778">
        <v>10.085262951603</v>
      </c>
      <c r="BZ41" s="778">
        <v>5.69241256770504</v>
      </c>
      <c r="CA41" s="778">
        <v>6.97192353485524</v>
      </c>
      <c r="CB41" s="778">
        <v>9.34802359765625</v>
      </c>
      <c r="CC41" s="848">
        <v>8.30648684877004</v>
      </c>
      <c r="CD41" s="847">
        <f ca="1">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922</v>
      </c>
      <c r="D42" s="16"/>
      <c r="E42" s="724">
        <f ca="1">AVERAGE(M8:Q19)</f>
        <v>20.404395000000005</v>
      </c>
      <c r="F42" s="724">
        <f ca="1">AVERAGE(S8:W19)</f>
        <v>18.80734333333334</v>
      </c>
      <c r="G42" s="724">
        <f ca="1">AVERAGE(Y8:AC19)</f>
        <v>10.569033333333326</v>
      </c>
      <c r="H42" s="724">
        <f ca="1">AVERAGE(AE8:AI19)</f>
        <v>10.747183333333332</v>
      </c>
      <c r="I42" s="84">
        <f ca="1">IF(I41+1=5,1,I41+1)</f>
        <v>3</v>
      </c>
      <c r="J42" s="5">
        <f ca="1">IF(I42=1,J41+1,J41)</f>
        <v>2012</v>
      </c>
      <c r="K42" s="345" t="str">
        <f ca="1">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 ca="1">$K42</f>
        <v>3Q12</v>
      </c>
      <c r="AL42" s="847">
        <f ca="1">L42</f>
        <v>18.064</v>
      </c>
      <c r="AM42" s="778">
        <v>9.62040432691451</v>
      </c>
      <c r="AN42" s="778">
        <v>10.3691488431885</v>
      </c>
      <c r="AO42" s="778">
        <v>9.12142389198446</v>
      </c>
      <c r="AP42" s="778">
        <v>10.0015923566879</v>
      </c>
      <c r="AQ42" s="848">
        <v>22.2622562728443</v>
      </c>
      <c r="AR42" s="847">
        <f ca="1">R42</f>
        <v>17.7872</v>
      </c>
      <c r="AS42" s="778">
        <v>9.74169741697417</v>
      </c>
      <c r="AT42" s="778">
        <v>8.02132070541053</v>
      </c>
      <c r="AU42" s="778">
        <v>10.8368895211</v>
      </c>
      <c r="AV42" s="778">
        <v>9.42244224422442</v>
      </c>
      <c r="AW42" s="848">
        <v>7.97902097902098</v>
      </c>
      <c r="AX42" s="847">
        <f ca="1">X42</f>
        <v>7.5419</v>
      </c>
      <c r="AY42" s="778">
        <v>5.46947202107553</v>
      </c>
      <c r="AZ42" s="778">
        <v>6.54580673361049</v>
      </c>
      <c r="BA42" s="778">
        <v>5.76122459373739</v>
      </c>
      <c r="BB42" s="778">
        <v>6.03174555515099</v>
      </c>
      <c r="BC42" s="848">
        <v>4.92733810453777</v>
      </c>
      <c r="BD42" s="847">
        <f ca="1">AD42</f>
        <v>7.4564</v>
      </c>
      <c r="BE42" s="778">
        <v>5.24216521595774</v>
      </c>
      <c r="BF42" s="778">
        <v>5.25786728179236</v>
      </c>
      <c r="BG42" s="778">
        <v>5.75195786783777</v>
      </c>
      <c r="BH42" s="778">
        <v>5.80837472527022</v>
      </c>
      <c r="BI42" s="848">
        <v>4.63549621133982</v>
      </c>
      <c r="BJ42" s="16"/>
      <c r="BK42" s="345" t="str">
        <f ca="1">$K42</f>
        <v>3Q12</v>
      </c>
      <c r="BL42" s="847">
        <f ca="1">AL42</f>
        <v>18.064</v>
      </c>
      <c r="BM42" s="778">
        <v>24.1651089979097</v>
      </c>
      <c r="BN42" s="778">
        <v>25.4241271250078</v>
      </c>
      <c r="BO42" s="778">
        <v>14.8512626154585</v>
      </c>
      <c r="BP42" s="778">
        <v>14.0012354399375</v>
      </c>
      <c r="BQ42" s="848">
        <v>14.8656322568568</v>
      </c>
      <c r="BR42" s="847">
        <f ca="1">AR42</f>
        <v>17.7872</v>
      </c>
      <c r="BS42" s="778">
        <v>20.9981318388044</v>
      </c>
      <c r="BT42" s="778">
        <v>15.5793703951775</v>
      </c>
      <c r="BU42" s="778">
        <v>14.0344431716083</v>
      </c>
      <c r="BV42" s="778">
        <v>16.625988505336</v>
      </c>
      <c r="BW42" s="848">
        <v>15.0974989402289</v>
      </c>
      <c r="BX42" s="847">
        <f ca="1">AX42</f>
        <v>7.5419</v>
      </c>
      <c r="BY42" s="778">
        <v>10.6384200202094</v>
      </c>
      <c r="BZ42" s="778">
        <v>6.7226025644169</v>
      </c>
      <c r="CA42" s="778">
        <v>7.2666825847505</v>
      </c>
      <c r="CB42" s="778">
        <v>10.3942191863169</v>
      </c>
      <c r="CC42" s="848">
        <v>8.7331252074087</v>
      </c>
      <c r="CD42" s="847">
        <f ca="1">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923</v>
      </c>
      <c r="D43" s="16"/>
      <c r="E43" s="724">
        <f ca="1">AVERAGE(M16:Q27)</f>
        <v>16.169383333333332</v>
      </c>
      <c r="F43" s="724">
        <f ca="1">AVERAGE(S16:W27)</f>
        <v>15.366213333333322</v>
      </c>
      <c r="G43" s="724">
        <f ca="1">AVERAGE(Y16:AC27)</f>
        <v>8.57115833333334</v>
      </c>
      <c r="H43" s="724">
        <f ca="1">AVERAGE(AE16:AI27)</f>
        <v>8.440898214285719</v>
      </c>
      <c r="I43" s="84">
        <f ca="1">IF(I42=4,1,I42+1)</f>
        <v>4</v>
      </c>
      <c r="J43" s="5">
        <f ca="1">IF(I43=1,J42+1,J42)</f>
        <v>2012</v>
      </c>
      <c r="K43" s="345" t="str">
        <f ca="1">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 ca="1">$K43</f>
        <v>4Q12</v>
      </c>
      <c r="AL43" s="847">
        <f ca="1">L43</f>
        <v>18.1996</v>
      </c>
      <c r="AM43" s="778">
        <v>9.06200062426827</v>
      </c>
      <c r="AN43" s="778">
        <v>9.63178918427491</v>
      </c>
      <c r="AO43" s="778">
        <v>8.89285662197338</v>
      </c>
      <c r="AP43" s="778">
        <v>10.389458272328</v>
      </c>
      <c r="AQ43" s="848">
        <v>11.8536611648916</v>
      </c>
      <c r="AR43" s="847">
        <f ca="1">R43</f>
        <v>15.5197</v>
      </c>
      <c r="AS43" s="778">
        <v>9.99142489638416</v>
      </c>
      <c r="AT43" s="778">
        <v>8.83315562332782</v>
      </c>
      <c r="AU43" s="778">
        <v>10.0892662747659</v>
      </c>
      <c r="AV43" s="778">
        <v>10.5048112509252</v>
      </c>
      <c r="AW43" s="848">
        <v>7.80141843971631</v>
      </c>
      <c r="AX43" s="847">
        <f ca="1">X43</f>
        <v>7.6837</v>
      </c>
      <c r="AY43" s="778">
        <v>5.37935561442249</v>
      </c>
      <c r="AZ43" s="778">
        <v>5.89533430770612</v>
      </c>
      <c r="BA43" s="778">
        <v>5.61642635813002</v>
      </c>
      <c r="BB43" s="778">
        <v>6.0688318330818</v>
      </c>
      <c r="BC43" s="848">
        <v>4.64361067804519</v>
      </c>
      <c r="BD43" s="847">
        <f ca="1">AD43</f>
        <v>7.3362</v>
      </c>
      <c r="BE43" s="778">
        <v>5.48536072155875</v>
      </c>
      <c r="BF43" s="778">
        <v>5.31834143798385</v>
      </c>
      <c r="BG43" s="778">
        <v>5.78754811440326</v>
      </c>
      <c r="BH43" s="778">
        <v>6.12172221106844</v>
      </c>
      <c r="BI43" s="848">
        <v>4.12038909541942</v>
      </c>
      <c r="BJ43" s="16"/>
      <c r="BK43" s="345" t="str">
        <f ca="1">$K43</f>
        <v>4Q12</v>
      </c>
      <c r="BL43" s="847">
        <f ca="1">AL43</f>
        <v>18.1996</v>
      </c>
      <c r="BM43" s="778">
        <v>21.6053469427488</v>
      </c>
      <c r="BN43" s="778">
        <v>18.758399494054</v>
      </c>
      <c r="BO43" s="778">
        <v>15.2439619136967</v>
      </c>
      <c r="BP43" s="778">
        <v>16.7696200950246</v>
      </c>
      <c r="BQ43" s="848">
        <v>15.9786464227176</v>
      </c>
      <c r="BR43" s="847">
        <f ca="1">AR43</f>
        <v>15.5197</v>
      </c>
      <c r="BS43" s="778">
        <v>23.4384384384384</v>
      </c>
      <c r="BT43" s="778">
        <v>15.297476515012</v>
      </c>
      <c r="BU43" s="778">
        <v>15.6835754736842</v>
      </c>
      <c r="BV43" s="778">
        <v>16.8976459259003</v>
      </c>
      <c r="BW43" s="848">
        <v>16.6744333827579</v>
      </c>
      <c r="BX43" s="847">
        <f ca="1">AX43</f>
        <v>7.6837</v>
      </c>
      <c r="BY43" s="778">
        <v>10.1400009753533</v>
      </c>
      <c r="BZ43" s="778">
        <v>11.1988774428578</v>
      </c>
      <c r="CA43" s="778">
        <v>7.68797062316564</v>
      </c>
      <c r="CB43" s="778">
        <v>11.3236402907469</v>
      </c>
      <c r="CC43" s="848">
        <v>9.44621815527045</v>
      </c>
      <c r="CD43" s="847">
        <f ca="1">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924</v>
      </c>
      <c r="D44" s="16"/>
      <c r="E44" s="724">
        <f ca="1">AVERAGE(M24:Q35)</f>
        <v>13.14323166666666</v>
      </c>
      <c r="F44" s="724">
        <f ca="1">AVERAGE(S24:W35)</f>
        <v>13.625734999999999</v>
      </c>
      <c r="G44" s="724">
        <f ca="1">AVERAGE(Y24:AC35)</f>
        <v>7.089616666666662</v>
      </c>
      <c r="H44" s="724">
        <f ca="1">AVERAGE(AE24:AI35)</f>
        <v>7.129936666666663</v>
      </c>
      <c r="I44" s="84">
        <f ca="1">I40</f>
        <v>1</v>
      </c>
      <c r="J44" s="5">
        <f ca="1">IF(I44=1,J43+1,J43)</f>
        <v>2013</v>
      </c>
      <c r="K44" s="345" t="str">
        <f ca="1">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 ca="1">$K44</f>
        <v>1Q13</v>
      </c>
      <c r="AL44" s="847">
        <f ca="1">L44</f>
        <v>16.0512</v>
      </c>
      <c r="AM44" s="778">
        <v>10.5091692501708</v>
      </c>
      <c r="AN44" s="778">
        <v>9.75066381791588</v>
      </c>
      <c r="AO44" s="778">
        <v>9.76218421147574</v>
      </c>
      <c r="AP44" s="778">
        <v>11.2093704245974</v>
      </c>
      <c r="AQ44" s="848">
        <v>11.670468219616</v>
      </c>
      <c r="AR44" s="847">
        <f ca="1">R44</f>
        <v>14.2569</v>
      </c>
      <c r="AS44" s="778">
        <v>11.5301878674889</v>
      </c>
      <c r="AT44" s="778">
        <v>9.29450125981918</v>
      </c>
      <c r="AU44" s="778">
        <v>10.174</v>
      </c>
      <c r="AV44" s="778">
        <v>10.7061949377709</v>
      </c>
      <c r="AW44" s="848">
        <v>7.75417661097852</v>
      </c>
      <c r="AX44" s="847">
        <f ca="1">X44</f>
        <v>6.7773</v>
      </c>
      <c r="AY44" s="778">
        <v>5.7719211459489</v>
      </c>
      <c r="AZ44" s="778">
        <v>5.19886979324506</v>
      </c>
      <c r="BA44" s="778">
        <v>6.08048688220001</v>
      </c>
      <c r="BB44" s="778">
        <v>6.46307310037609</v>
      </c>
      <c r="BC44" s="848">
        <v>4.57502620920203</v>
      </c>
      <c r="BD44" s="847">
        <f ca="1">AD44</f>
        <v>6.5787</v>
      </c>
      <c r="BE44" s="778">
        <v>6.27598014282426</v>
      </c>
      <c r="BF44" s="778">
        <v>4.62767057952832</v>
      </c>
      <c r="BG44" s="778">
        <v>5.70927463609689</v>
      </c>
      <c r="BH44" s="778">
        <v>6.36502714720231</v>
      </c>
      <c r="BI44" s="848">
        <v>4.16147661595403</v>
      </c>
      <c r="BJ44" s="16"/>
      <c r="BK44" s="345" t="str">
        <f ca="1">$K44</f>
        <v>1Q13</v>
      </c>
      <c r="BL44" s="847">
        <f ca="1">AL44</f>
        <v>16.0512</v>
      </c>
      <c r="BM44" s="778">
        <v>19.5893812359237</v>
      </c>
      <c r="BN44" s="778">
        <v>19.1582548172462</v>
      </c>
      <c r="BO44" s="778">
        <v>15.8492421790324</v>
      </c>
      <c r="BP44" s="778">
        <v>17.5627157944909</v>
      </c>
      <c r="BQ44" s="848">
        <v>16.7394614065933</v>
      </c>
      <c r="BR44" s="847">
        <f ca="1">AR44</f>
        <v>14.2569</v>
      </c>
      <c r="BS44" s="778">
        <v>17.939423231835</v>
      </c>
      <c r="BT44" s="778">
        <v>15.6957719099303</v>
      </c>
      <c r="BU44" s="778">
        <v>14.3829034104478</v>
      </c>
      <c r="BV44" s="778">
        <v>14.8263081664242</v>
      </c>
      <c r="BW44" s="848">
        <v>15.7693740685544</v>
      </c>
      <c r="BX44" s="847">
        <f ca="1">AX44</f>
        <v>6.7773</v>
      </c>
      <c r="BY44" s="778">
        <v>9.60840326774442</v>
      </c>
      <c r="BZ44" s="778">
        <v>8.16922604900108</v>
      </c>
      <c r="CA44" s="778">
        <v>8.18729190293281</v>
      </c>
      <c r="CB44" s="778">
        <v>12.1352364269548</v>
      </c>
      <c r="CC44" s="848">
        <v>9.8779039587798</v>
      </c>
      <c r="CD44" s="847">
        <f ca="1">BD44</f>
        <v>6.5787</v>
      </c>
      <c r="CE44" s="778">
        <v>8.92820985953084</v>
      </c>
      <c r="CF44" s="778">
        <v>9.19884162373248</v>
      </c>
      <c r="CG44" s="778">
        <v>6.32416201011649</v>
      </c>
      <c r="CH44" s="778">
        <v>8.8863638105699</v>
      </c>
      <c r="CI44" s="848">
        <v>8.84993577634552</v>
      </c>
    </row>
    <row r="45" ht="14.25" customHeight="1" spans="1:87" x14ac:dyDescent="0.25">
      <c r="A45" s="16"/>
      <c r="B45" s="16"/>
      <c r="C45" s="16" t="s">
        <v>925</v>
      </c>
      <c r="D45" s="16"/>
      <c r="E45" s="724">
        <f ca="1">AVERAGE(M36:Q75)</f>
        <v>21.009599000000016</v>
      </c>
      <c r="F45" s="724">
        <f ca="1">AVERAGE(S36:W75)</f>
        <v>19.543173000000007</v>
      </c>
      <c r="G45" s="724">
        <f ca="1">AVERAGE(Y36:AC75)</f>
        <v>11.346910000000005</v>
      </c>
      <c r="H45" s="724">
        <f ca="1">AVERAGE(AE36:AI75)</f>
        <v>11.246996500000002</v>
      </c>
      <c r="I45" s="84">
        <f ca="1">IF(I44=4,1,I44+1)</f>
        <v>2</v>
      </c>
      <c r="J45" s="5">
        <f ca="1">IF(I45=1,J44+1,J44)</f>
        <v>2013</v>
      </c>
      <c r="K45" s="345" t="str">
        <f ca="1">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 ca="1">$K45</f>
        <v>2Q13</v>
      </c>
      <c r="AL45" s="847">
        <f ca="1">L45</f>
        <v>12.4786</v>
      </c>
      <c r="AM45" s="778">
        <v>10.3602506215894</v>
      </c>
      <c r="AN45" s="778">
        <v>10.610981378837</v>
      </c>
      <c r="AO45" s="778">
        <v>9.78501046318922</v>
      </c>
      <c r="AP45" s="778">
        <v>10.7532467532468</v>
      </c>
      <c r="AQ45" s="848">
        <v>11.911217487238</v>
      </c>
      <c r="AR45" s="847">
        <f ca="1">R45</f>
        <v>12.1635</v>
      </c>
      <c r="AS45" s="778">
        <v>11.1498209859543</v>
      </c>
      <c r="AT45" s="778">
        <v>10.333780360602</v>
      </c>
      <c r="AU45" s="778">
        <v>10.1321138211382</v>
      </c>
      <c r="AV45" s="778">
        <v>10.4574796519787</v>
      </c>
      <c r="AW45" s="848">
        <v>7.73058252427184</v>
      </c>
      <c r="AX45" s="847">
        <f ca="1">X45</f>
        <v>5.8519</v>
      </c>
      <c r="AY45" s="778">
        <v>5.9342711326619</v>
      </c>
      <c r="AZ45" s="778">
        <v>5.66188219786021</v>
      </c>
      <c r="BA45" s="778">
        <v>6.48128357458311</v>
      </c>
      <c r="BB45" s="778">
        <v>6.28518664402408</v>
      </c>
      <c r="BC45" s="848">
        <v>5.05828311740116</v>
      </c>
      <c r="BD45" s="847">
        <f ca="1">AD45</f>
        <v>5.8119</v>
      </c>
      <c r="BE45" s="778">
        <v>6.38573615633208</v>
      </c>
      <c r="BF45" s="778">
        <v>5.46057925530489</v>
      </c>
      <c r="BG45" s="778">
        <v>6.03688149144837</v>
      </c>
      <c r="BH45" s="778">
        <v>6.25303430168215</v>
      </c>
      <c r="BI45" s="848">
        <v>4.43980479601535</v>
      </c>
      <c r="BJ45" s="16"/>
      <c r="BK45" s="345" t="str">
        <f ca="1">$K45</f>
        <v>2Q13</v>
      </c>
      <c r="BL45" s="847">
        <f ca="1">AL45</f>
        <v>12.4786</v>
      </c>
      <c r="BM45" s="778">
        <v>16.68959147028</v>
      </c>
      <c r="BN45" s="778">
        <v>13.9808558081172</v>
      </c>
      <c r="BO45" s="778">
        <v>14.46875186873</v>
      </c>
      <c r="BP45" s="778">
        <v>16.2050489802576</v>
      </c>
      <c r="BQ45" s="848">
        <v>17.1849095098311</v>
      </c>
      <c r="BR45" s="847">
        <f ca="1">AR45</f>
        <v>12.1635</v>
      </c>
      <c r="BS45" s="778">
        <v>15.2412312097351</v>
      </c>
      <c r="BT45" s="778">
        <v>12.9049929566442</v>
      </c>
      <c r="BU45" s="778">
        <v>13.1086054981923</v>
      </c>
      <c r="BV45" s="778">
        <v>14.3004348922704</v>
      </c>
      <c r="BW45" s="848">
        <v>16.252295262578</v>
      </c>
      <c r="BX45" s="847">
        <f ca="1">AX45</f>
        <v>5.8519</v>
      </c>
      <c r="BY45" s="778">
        <v>8.36946250489108</v>
      </c>
      <c r="BZ45" s="778">
        <v>5.88717727923427</v>
      </c>
      <c r="CA45" s="778">
        <v>7.73022880757182</v>
      </c>
      <c r="CB45" s="778">
        <v>11.2146878954447</v>
      </c>
      <c r="CC45" s="848">
        <v>9.93992146414024</v>
      </c>
      <c r="CD45" s="847">
        <f ca="1">BD45</f>
        <v>5.8119</v>
      </c>
      <c r="CE45" s="778">
        <v>7.78784011197483</v>
      </c>
      <c r="CF45" s="778">
        <v>7.09815111740564</v>
      </c>
      <c r="CG45" s="778">
        <v>6.0878290524665</v>
      </c>
      <c r="CH45" s="778">
        <v>8.44947361558363</v>
      </c>
      <c r="CI45" s="848">
        <v>9.14745418425886</v>
      </c>
    </row>
    <row r="46" ht="14.25" customHeight="1" spans="1:87" x14ac:dyDescent="0.25">
      <c r="A46" s="16"/>
      <c r="B46" s="16"/>
      <c r="C46" s="16" t="s">
        <v>926</v>
      </c>
      <c r="D46" s="16"/>
      <c r="E46" s="724">
        <f ca="1">AVERAGE(M36:Q51)</f>
        <v>17.919956249999995</v>
      </c>
      <c r="F46" s="724">
        <f ca="1">AVERAGE(S36:W51)</f>
        <v>17.335633750000007</v>
      </c>
      <c r="G46" s="724">
        <f ca="1">AVERAGE(Y36:AC51)</f>
        <v>9.160100000000002</v>
      </c>
      <c r="H46" s="724">
        <f ca="1">AVERAGE(AE36:AI51)</f>
        <v>9.083377500000001</v>
      </c>
      <c r="I46" s="84">
        <f ca="1">IF(I45+1=5,1,I45+1)</f>
        <v>3</v>
      </c>
      <c r="J46" s="5">
        <f ca="1">IF(I46=1,J45+1,J45)</f>
        <v>2013</v>
      </c>
      <c r="K46" s="345" t="str">
        <f ca="1">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 ca="1">$K46</f>
        <v>3Q13</v>
      </c>
      <c r="AL46" s="847">
        <f ca="1">L46</f>
        <v>16.299</v>
      </c>
      <c r="AM46" s="778">
        <v>9.04425371771246</v>
      </c>
      <c r="AN46" s="778">
        <v>7.57659154169478</v>
      </c>
      <c r="AO46" s="778">
        <v>7.88501727102388</v>
      </c>
      <c r="AP46" s="778">
        <v>7.99251241094299</v>
      </c>
      <c r="AQ46" s="848">
        <v>9.99644720357523</v>
      </c>
      <c r="AR46" s="847">
        <f ca="1">R46</f>
        <v>15.8131</v>
      </c>
      <c r="AS46" s="778">
        <v>9.68533333333333</v>
      </c>
      <c r="AT46" s="778">
        <v>7.58726003490401</v>
      </c>
      <c r="AU46" s="778">
        <v>8.15931323617489</v>
      </c>
      <c r="AV46" s="778">
        <v>7.91898663697105</v>
      </c>
      <c r="AW46" s="848">
        <v>6.6825</v>
      </c>
      <c r="AX46" s="847">
        <f ca="1">X46</f>
        <v>7.7749</v>
      </c>
      <c r="AY46" s="778">
        <v>5.17253288820194</v>
      </c>
      <c r="AZ46" s="778">
        <v>4.19984269413635</v>
      </c>
      <c r="BA46" s="778">
        <v>4.9072512661101</v>
      </c>
      <c r="BB46" s="778">
        <v>5.11248886371017</v>
      </c>
      <c r="BC46" s="848">
        <v>4.17560435412474</v>
      </c>
      <c r="BD46" s="847">
        <f ca="1">AD46</f>
        <v>7.228</v>
      </c>
      <c r="BE46" s="778">
        <v>5.73955958020657</v>
      </c>
      <c r="BF46" s="778">
        <v>4.13814087690871</v>
      </c>
      <c r="BG46" s="778">
        <v>5.1077271800271</v>
      </c>
      <c r="BH46" s="778">
        <v>5.11346710201057</v>
      </c>
      <c r="BI46" s="848">
        <v>3.80655337899628</v>
      </c>
      <c r="BJ46" s="16"/>
      <c r="BK46" s="345" t="str">
        <f ca="1">$K46</f>
        <v>3Q13</v>
      </c>
      <c r="BL46" s="847">
        <f ca="1">AL46</f>
        <v>16.299</v>
      </c>
      <c r="BM46" s="778">
        <v>10.518527508713</v>
      </c>
      <c r="BN46" s="778">
        <v>10.5037129820166</v>
      </c>
      <c r="BO46" s="778">
        <v>12.2308782324965</v>
      </c>
      <c r="BP46" s="778">
        <v>11.8037669920092</v>
      </c>
      <c r="BQ46" s="848">
        <v>13.3534736207215</v>
      </c>
      <c r="BR46" s="847">
        <f ca="1">AR46</f>
        <v>15.8131</v>
      </c>
      <c r="BS46" s="778">
        <v>11.1121143717081</v>
      </c>
      <c r="BT46" s="778">
        <v>10.02484086322</v>
      </c>
      <c r="BU46" s="778">
        <v>10.586285316932</v>
      </c>
      <c r="BV46" s="778">
        <v>10.5668420137303</v>
      </c>
      <c r="BW46" s="848">
        <v>12.8911689263466</v>
      </c>
      <c r="BX46" s="847">
        <f ca="1">AX46</f>
        <v>7.7749</v>
      </c>
      <c r="BY46" s="778">
        <v>6.2721458318025</v>
      </c>
      <c r="BZ46" s="778">
        <v>4.42812180634823</v>
      </c>
      <c r="CA46" s="778">
        <v>6.45564856024358</v>
      </c>
      <c r="CB46" s="778">
        <v>8.29363910369546</v>
      </c>
      <c r="CC46" s="848">
        <v>7.75376264505377</v>
      </c>
      <c r="CD46" s="847">
        <f ca="1">BD46</f>
        <v>7.228</v>
      </c>
      <c r="CE46" s="778">
        <v>6.19665638883915</v>
      </c>
      <c r="CF46" s="778">
        <v>5.63644248650866</v>
      </c>
      <c r="CG46" s="778">
        <v>5.04933041465077</v>
      </c>
      <c r="CH46" s="778">
        <v>6.59517977339049</v>
      </c>
      <c r="CI46" s="848">
        <v>7.20004497573731</v>
      </c>
    </row>
    <row r="47" ht="14.25" customHeight="1" spans="1:87" x14ac:dyDescent="0.25">
      <c r="A47" s="16"/>
      <c r="B47" s="16"/>
      <c r="C47" s="16" t="s">
        <v>927</v>
      </c>
      <c r="D47" s="16"/>
      <c r="E47" s="724">
        <f ca="1">AVERAGE(M48:Q63)</f>
        <v>22.544052499999985</v>
      </c>
      <c r="F47" s="724">
        <f ca="1">AVERAGE(S48:W63)</f>
        <v>20.64053124999998</v>
      </c>
      <c r="G47" s="724">
        <f ca="1">AVERAGE(Y48:AC63)</f>
        <v>11.902354999999996</v>
      </c>
      <c r="H47" s="724">
        <f ca="1">AVERAGE(AE48:AI63)</f>
        <v>11.772934999999999</v>
      </c>
      <c r="I47" s="84">
        <f ca="1">IF(I46=4,1,I46+1)</f>
        <v>4</v>
      </c>
      <c r="J47" s="5">
        <f ca="1">IF(I47=1,J46+1,J46)</f>
        <v>2013</v>
      </c>
      <c r="K47" s="345" t="str">
        <f ca="1">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 ca="1">$K47</f>
        <v>4Q13</v>
      </c>
      <c r="AL47" s="847">
        <f ca="1">L47</f>
        <v>19.3622</v>
      </c>
      <c r="AM47" s="778">
        <v>10.2927177685897</v>
      </c>
      <c r="AN47" s="778">
        <v>7.86693684375211</v>
      </c>
      <c r="AO47" s="778">
        <v>9.19345748111427</v>
      </c>
      <c r="AP47" s="778">
        <v>9.16962241204287</v>
      </c>
      <c r="AQ47" s="848">
        <v>7.68521613491045</v>
      </c>
      <c r="AR47" s="847">
        <f ca="1">R47</f>
        <v>17.0729</v>
      </c>
      <c r="AS47" s="778">
        <v>10.6363397317907</v>
      </c>
      <c r="AT47" s="778">
        <v>8.33998859098688</v>
      </c>
      <c r="AU47" s="778">
        <v>9.57830132647001</v>
      </c>
      <c r="AV47" s="778">
        <v>9.17265193370166</v>
      </c>
      <c r="AW47" s="848">
        <v>7.09203980099503</v>
      </c>
      <c r="AX47" s="847">
        <f ca="1">X47</f>
        <v>9.4056</v>
      </c>
      <c r="AY47" s="778">
        <v>5.07278733970358</v>
      </c>
      <c r="AZ47" s="778">
        <v>4.24756283297713</v>
      </c>
      <c r="BA47" s="778">
        <v>5.34768426856692</v>
      </c>
      <c r="BB47" s="778">
        <v>5.64292679516856</v>
      </c>
      <c r="BC47" s="848">
        <v>4.66421621992631</v>
      </c>
      <c r="BD47" s="847">
        <f ca="1">AD47</f>
        <v>8.4288</v>
      </c>
      <c r="BE47" s="778">
        <v>6.07540150394393</v>
      </c>
      <c r="BF47" s="778">
        <v>4.65268102660666</v>
      </c>
      <c r="BG47" s="778">
        <v>5.46753756842904</v>
      </c>
      <c r="BH47" s="778">
        <v>5.31948909525611</v>
      </c>
      <c r="BI47" s="848">
        <v>4.19598269631482</v>
      </c>
      <c r="BJ47" s="16"/>
      <c r="BK47" s="345" t="str">
        <f ca="1">$K47</f>
        <v>4Q13</v>
      </c>
      <c r="BL47" s="847">
        <f ca="1">AL47</f>
        <v>19.3622</v>
      </c>
      <c r="BM47" s="778">
        <v>11.136940235073</v>
      </c>
      <c r="BN47" s="778">
        <v>11.6666666666667</v>
      </c>
      <c r="BO47" s="778">
        <v>17.1928194605477</v>
      </c>
      <c r="BP47" s="778">
        <v>19.4974550891937</v>
      </c>
      <c r="BQ47" s="848">
        <v>13.7129944740891</v>
      </c>
      <c r="BR47" s="847">
        <f ca="1">AR47</f>
        <v>17.0729</v>
      </c>
      <c r="BS47" s="778">
        <v>13.3372589430296</v>
      </c>
      <c r="BT47" s="778">
        <v>9.89889941131303</v>
      </c>
      <c r="BU47" s="778">
        <v>12.5756118144631</v>
      </c>
      <c r="BV47" s="778">
        <v>12.8358552339463</v>
      </c>
      <c r="BW47" s="848">
        <v>13.3302936348714</v>
      </c>
      <c r="BX47" s="847">
        <f ca="1">AX47</f>
        <v>9.4056</v>
      </c>
      <c r="BY47" s="778">
        <v>6.85328618451584</v>
      </c>
      <c r="BZ47" s="778">
        <v>4.81163814208943</v>
      </c>
      <c r="CA47" s="778">
        <v>7.47677448960995</v>
      </c>
      <c r="CB47" s="778">
        <v>13.0253702514268</v>
      </c>
      <c r="CC47" s="848">
        <v>7.88061779049841</v>
      </c>
      <c r="CD47" s="847">
        <f ca="1">BD47</f>
        <v>8.4288</v>
      </c>
      <c r="CE47" s="778">
        <v>5.85992946565517</v>
      </c>
      <c r="CF47" s="778">
        <v>5.4586822092923</v>
      </c>
      <c r="CG47" s="778">
        <v>6.43430463007913</v>
      </c>
      <c r="CH47" s="778">
        <v>7.21769284670727</v>
      </c>
      <c r="CI47" s="848">
        <v>6.87365323404273</v>
      </c>
    </row>
    <row r="48" ht="14.25" customHeight="1" spans="1:87" x14ac:dyDescent="0.25">
      <c r="A48" s="16"/>
      <c r="B48" s="16"/>
      <c r="C48" s="16" t="s">
        <v>928</v>
      </c>
      <c r="D48" s="16"/>
      <c r="E48" s="724">
        <f ca="1">AVERAGE(M60:Q75)</f>
        <v>23.288192500000008</v>
      </c>
      <c r="F48" s="724">
        <f ca="1">AVERAGE(S60:W75)</f>
        <v>21.26408625</v>
      </c>
      <c r="G48" s="724">
        <f ca="1">AVERAGE(Y60:AC75)</f>
        <v>13.299392499999996</v>
      </c>
      <c r="H48" s="724">
        <f ca="1">AVERAGE(AE60:AI75)</f>
        <v>13.18874625</v>
      </c>
      <c r="I48" s="84">
        <f ca="1">I44</f>
        <v>1</v>
      </c>
      <c r="J48" s="5">
        <f ca="1">IF(I48=1,J47+1,J47)</f>
        <v>2014</v>
      </c>
      <c r="K48" s="345" t="str">
        <f ca="1">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 ca="1">$K48</f>
        <v>1Q14</v>
      </c>
      <c r="AL48" s="847">
        <f ca="1">L48</f>
        <v>16.5283</v>
      </c>
      <c r="AM48" s="778">
        <v>10.8005768320536</v>
      </c>
      <c r="AN48" s="778">
        <v>7.90818529546226</v>
      </c>
      <c r="AO48" s="778">
        <v>9.5463149108266</v>
      </c>
      <c r="AP48" s="778">
        <v>10.2308964708008</v>
      </c>
      <c r="AQ48" s="848">
        <v>8.08416807737511</v>
      </c>
      <c r="AR48" s="847">
        <f ca="1">R48</f>
        <v>15.575</v>
      </c>
      <c r="AS48" s="778">
        <v>11.4122428244856</v>
      </c>
      <c r="AT48" s="778">
        <v>9.2925604746691</v>
      </c>
      <c r="AU48" s="778">
        <v>10.414364640884</v>
      </c>
      <c r="AV48" s="778">
        <v>10.0027262813522</v>
      </c>
      <c r="AW48" s="848">
        <v>7.40493827160494</v>
      </c>
      <c r="AX48" s="847">
        <f ca="1">X48</f>
        <v>8.0008</v>
      </c>
      <c r="AY48" s="778">
        <v>5.45960287918951</v>
      </c>
      <c r="AZ48" s="778">
        <v>4.38531826368266</v>
      </c>
      <c r="BA48" s="778">
        <v>5.63891016583893</v>
      </c>
      <c r="BB48" s="778">
        <v>6.34456824794384</v>
      </c>
      <c r="BC48" s="848">
        <v>4.89789496193626</v>
      </c>
      <c r="BD48" s="847">
        <f ca="1">AD48</f>
        <v>7.3711</v>
      </c>
      <c r="BE48" s="778">
        <v>6.72381189121008</v>
      </c>
      <c r="BF48" s="778">
        <v>5.03245583564808</v>
      </c>
      <c r="BG48" s="778">
        <v>6.03177403608887</v>
      </c>
      <c r="BH48" s="778">
        <v>6.08587259966105</v>
      </c>
      <c r="BI48" s="848">
        <v>4.49590768173475</v>
      </c>
      <c r="BJ48" s="16"/>
      <c r="BK48" s="345" t="str">
        <f ca="1">$K48</f>
        <v>1Q14</v>
      </c>
      <c r="BL48" s="847">
        <f ca="1">AL48</f>
        <v>16.5283</v>
      </c>
      <c r="BM48" s="778">
        <v>12.2734575189388</v>
      </c>
      <c r="BN48" s="778">
        <v>12.0208023774146</v>
      </c>
      <c r="BO48" s="778">
        <v>18.8921422410501</v>
      </c>
      <c r="BP48" s="778">
        <v>20.5661114791311</v>
      </c>
      <c r="BQ48" s="848">
        <v>15.5022531910082</v>
      </c>
      <c r="BR48" s="847">
        <f ca="1">AR48</f>
        <v>15.575</v>
      </c>
      <c r="BS48" s="778">
        <v>11.1855507718156</v>
      </c>
      <c r="BT48" s="778">
        <v>10.1049213090182</v>
      </c>
      <c r="BU48" s="778">
        <v>12.5356176725146</v>
      </c>
      <c r="BV48" s="778">
        <v>13.0753090608726</v>
      </c>
      <c r="BW48" s="848">
        <v>15.0280847979706</v>
      </c>
      <c r="BX48" s="847">
        <f ca="1">AX48</f>
        <v>8.0008</v>
      </c>
      <c r="BY48" s="778">
        <v>7.56652201636161</v>
      </c>
      <c r="BZ48" s="778">
        <v>5.69160000786954</v>
      </c>
      <c r="CA48" s="778">
        <v>8.57187044792342</v>
      </c>
      <c r="CB48" s="778">
        <v>13.8815772921564</v>
      </c>
      <c r="CC48" s="848">
        <v>8.77225038791144</v>
      </c>
      <c r="CD48" s="847">
        <f ca="1">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 ca="1">IF(I48=4,1,I48+1)</f>
        <v>2</v>
      </c>
      <c r="J49" s="5">
        <f ca="1">IF(I49=1,J48+1,J48)</f>
        <v>2014</v>
      </c>
      <c r="K49" s="345" t="str">
        <f ca="1">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 ca="1">$K49</f>
        <v>2Q14</v>
      </c>
      <c r="AL49" s="847">
        <f ca="1">L49</f>
        <v>17.9097</v>
      </c>
      <c r="AM49" s="778">
        <v>10.1080216461171</v>
      </c>
      <c r="AN49" s="778">
        <v>8.18487580198375</v>
      </c>
      <c r="AO49" s="778">
        <v>9.8608863994173</v>
      </c>
      <c r="AP49" s="778">
        <v>9.13270838802435</v>
      </c>
      <c r="AQ49" s="848">
        <v>8.1531872577492</v>
      </c>
      <c r="AR49" s="847">
        <f ca="1">R49</f>
        <v>18.2719</v>
      </c>
      <c r="AS49" s="778">
        <v>11.0437539632213</v>
      </c>
      <c r="AT49" s="778">
        <v>9.24358788581365</v>
      </c>
      <c r="AU49" s="778">
        <v>10.886879569065</v>
      </c>
      <c r="AV49" s="778">
        <v>9.19559459082671</v>
      </c>
      <c r="AW49" s="848">
        <v>7.12592592592593</v>
      </c>
      <c r="AX49" s="847">
        <f ca="1">X49</f>
        <v>8.6037</v>
      </c>
      <c r="AY49" s="778">
        <v>5.09384229041825</v>
      </c>
      <c r="AZ49" s="778">
        <v>4.51621775796576</v>
      </c>
      <c r="BA49" s="778">
        <v>5.9616220191104</v>
      </c>
      <c r="BB49" s="778">
        <v>5.74067742761281</v>
      </c>
      <c r="BC49" s="848">
        <v>4.69190112304688</v>
      </c>
      <c r="BD49" s="847">
        <f ca="1">AD49</f>
        <v>8.2363</v>
      </c>
      <c r="BE49" s="778">
        <v>6.36674768430075</v>
      </c>
      <c r="BF49" s="778">
        <v>4.98548193136238</v>
      </c>
      <c r="BG49" s="778">
        <v>6.42986450834854</v>
      </c>
      <c r="BH49" s="778">
        <v>5.61897147902472</v>
      </c>
      <c r="BI49" s="848">
        <v>4.2346854791345</v>
      </c>
      <c r="BJ49" s="16"/>
      <c r="BK49" s="345" t="str">
        <f ca="1">$K49</f>
        <v>2Q14</v>
      </c>
      <c r="BL49" s="847">
        <f ca="1">AL49</f>
        <v>17.9097</v>
      </c>
      <c r="BM49" s="778">
        <v>9.0476464984031</v>
      </c>
      <c r="BN49" s="778">
        <v>11.2008310249307</v>
      </c>
      <c r="BO49" s="778">
        <v>19.0565186308401</v>
      </c>
      <c r="BP49" s="778">
        <v>17.7444200779301</v>
      </c>
      <c r="BQ49" s="848">
        <v>13.557266662622</v>
      </c>
      <c r="BR49" s="847">
        <f ca="1">AR49</f>
        <v>18.2719</v>
      </c>
      <c r="BS49" s="778">
        <v>8.73829371205104</v>
      </c>
      <c r="BT49" s="778">
        <v>9.80123621379227</v>
      </c>
      <c r="BU49" s="778">
        <v>12.9325236772111</v>
      </c>
      <c r="BV49" s="778">
        <v>11.7818741310035</v>
      </c>
      <c r="BW49" s="848">
        <v>13.7377228082939</v>
      </c>
      <c r="BX49" s="847">
        <f ca="1">AX49</f>
        <v>8.6037</v>
      </c>
      <c r="BY49" s="778">
        <v>5.60872942522665</v>
      </c>
      <c r="BZ49" s="778">
        <v>4.98025707935359</v>
      </c>
      <c r="CA49" s="778">
        <v>9.22266505630733</v>
      </c>
      <c r="CB49" s="778">
        <v>12.458154399644</v>
      </c>
      <c r="CC49" s="848">
        <v>9.2789607868955</v>
      </c>
      <c r="CD49" s="847">
        <f ca="1">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 ca="1">Comparables!S89</f>
        <v>Defense Peer Group</v>
      </c>
      <c r="D50" s="110"/>
      <c r="E50" s="110"/>
      <c r="F50" s="110"/>
      <c r="G50" s="110"/>
      <c r="H50" s="111"/>
      <c r="I50" s="84">
        <f ca="1">IF(I49+1=5,1,I49+1)</f>
        <v>3</v>
      </c>
      <c r="J50" s="5">
        <f ca="1">IF(I50=1,J49+1,J49)</f>
        <v>2014</v>
      </c>
      <c r="K50" s="345" t="str">
        <f ca="1">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 ca="1">$K50</f>
        <v>3Q14</v>
      </c>
      <c r="AL50" s="847">
        <f ca="1">L50</f>
        <v>20.0442</v>
      </c>
      <c r="AM50" s="778">
        <v>10.6045068586335</v>
      </c>
      <c r="AN50" s="778">
        <v>8.56758558525328</v>
      </c>
      <c r="AO50" s="778">
        <v>9.80641929304912</v>
      </c>
      <c r="AP50" s="778">
        <v>9.34626997319944</v>
      </c>
      <c r="AQ50" s="848">
        <v>9.18434226435989</v>
      </c>
      <c r="AR50" s="847">
        <f ca="1">R50</f>
        <v>20.5913</v>
      </c>
      <c r="AS50" s="778">
        <v>11.5326664196616</v>
      </c>
      <c r="AT50" s="778">
        <v>9.20465567410281</v>
      </c>
      <c r="AU50" s="778">
        <v>10.7262150497279</v>
      </c>
      <c r="AV50" s="778">
        <v>9.3113645965357</v>
      </c>
      <c r="AW50" s="848">
        <v>8.02716049382716</v>
      </c>
      <c r="AX50" s="847">
        <f ca="1">X50</f>
        <v>9.2169</v>
      </c>
      <c r="AY50" s="778">
        <v>5.20991143288719</v>
      </c>
      <c r="AZ50" s="778">
        <v>4.63203413299972</v>
      </c>
      <c r="BA50" s="778">
        <v>5.67915444963531</v>
      </c>
      <c r="BB50" s="778">
        <v>5.66900012121866</v>
      </c>
      <c r="BC50" s="848">
        <v>5.23832863134496</v>
      </c>
      <c r="BD50" s="847">
        <f ca="1">AD50</f>
        <v>9.2309</v>
      </c>
      <c r="BE50" s="778">
        <v>6.40014317784417</v>
      </c>
      <c r="BF50" s="778">
        <v>4.83632597350223</v>
      </c>
      <c r="BG50" s="778">
        <v>6.17153294639134</v>
      </c>
      <c r="BH50" s="778">
        <v>5.47483447978444</v>
      </c>
      <c r="BI50" s="848">
        <v>4.73882668145305</v>
      </c>
      <c r="BJ50" s="16"/>
      <c r="BK50" s="345" t="str">
        <f ca="1">$K50</f>
        <v>3Q14</v>
      </c>
      <c r="BL50" s="847">
        <f ca="1">AL50</f>
        <v>20.0442</v>
      </c>
      <c r="BM50" s="778">
        <v>8.7278773820466</v>
      </c>
      <c r="BN50" s="778">
        <v>10.9813581890812</v>
      </c>
      <c r="BO50" s="778">
        <v>18.6636395296049</v>
      </c>
      <c r="BP50" s="778">
        <v>17.1441961813853</v>
      </c>
      <c r="BQ50" s="848">
        <v>14.213143045327</v>
      </c>
      <c r="BR50" s="847">
        <f ca="1">AR50</f>
        <v>20.5913</v>
      </c>
      <c r="BS50" s="778">
        <v>9.06829679595278</v>
      </c>
      <c r="BT50" s="778">
        <v>10.6098031648012</v>
      </c>
      <c r="BU50" s="778">
        <v>14.1845479493177</v>
      </c>
      <c r="BV50" s="778">
        <v>12.6292508009654</v>
      </c>
      <c r="BW50" s="848">
        <v>14.7355543007717</v>
      </c>
      <c r="BX50" s="847">
        <f ca="1">AX50</f>
        <v>9.2169</v>
      </c>
      <c r="BY50" s="778">
        <v>5.20222161078648</v>
      </c>
      <c r="BZ50" s="778">
        <v>4.88940153984057</v>
      </c>
      <c r="CA50" s="778">
        <v>10.3988669282679</v>
      </c>
      <c r="CB50" s="778">
        <v>12.060953090903</v>
      </c>
      <c r="CC50" s="848">
        <v>10.4329188660323</v>
      </c>
      <c r="CD50" s="847">
        <f ca="1">BD50</f>
        <v>9.2309</v>
      </c>
      <c r="CE50" s="778">
        <v>5.40052665911043</v>
      </c>
      <c r="CF50" s="778">
        <v>6.01212995806737</v>
      </c>
      <c r="CG50" s="778">
        <v>9.28148033731055</v>
      </c>
      <c r="CH50" s="778">
        <v>7.9211118503344</v>
      </c>
      <c r="CI50" s="848">
        <v>10.09882653422</v>
      </c>
    </row>
    <row r="51" ht="14.25" customHeight="1" spans="1:87" x14ac:dyDescent="0.25">
      <c r="A51" s="16"/>
      <c r="B51" s="16"/>
      <c r="C51" s="846" t="s">
        <v>915</v>
      </c>
      <c r="D51" s="846"/>
      <c r="E51" s="846"/>
      <c r="F51" s="846"/>
      <c r="G51" s="846"/>
      <c r="H51" s="846"/>
      <c r="I51" s="84">
        <f ca="1">IF(I50=4,1,I50+1)</f>
        <v>4</v>
      </c>
      <c r="J51" s="5">
        <f ca="1">IF(I51=1,J50+1,J50)</f>
        <v>2014</v>
      </c>
      <c r="K51" s="345" t="str">
        <f ca="1">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 ca="1">$K51</f>
        <v>4Q14</v>
      </c>
      <c r="AL51" s="847">
        <f ca="1">L51</f>
        <v>21.6796</v>
      </c>
      <c r="AM51" s="778">
        <v>10.939313538814</v>
      </c>
      <c r="AN51" s="778">
        <v>8.65965505408376</v>
      </c>
      <c r="AO51" s="778">
        <v>10.0778388743355</v>
      </c>
      <c r="AP51" s="778">
        <v>10.9430778279215</v>
      </c>
      <c r="AQ51" s="848">
        <v>11.5336818429242</v>
      </c>
      <c r="AR51" s="847">
        <f ca="1">R51</f>
        <v>18.1696</v>
      </c>
      <c r="AS51" s="778">
        <v>10.9842894548917</v>
      </c>
      <c r="AT51" s="778">
        <v>9.13737155219037</v>
      </c>
      <c r="AU51" s="778">
        <v>10.4030363274896</v>
      </c>
      <c r="AV51" s="778">
        <v>9.9056199056199</v>
      </c>
      <c r="AW51" s="848">
        <v>8.48614609571788</v>
      </c>
      <c r="AX51" s="847">
        <f ca="1">X51</f>
        <v>9.7542</v>
      </c>
      <c r="AY51" s="778">
        <v>6.32126177836678</v>
      </c>
      <c r="AZ51" s="778">
        <v>4.57695008741106</v>
      </c>
      <c r="BA51" s="778">
        <v>5.76020463790628</v>
      </c>
      <c r="BB51" s="778">
        <v>17.2533686233174</v>
      </c>
      <c r="BC51" s="848">
        <v>4.84202675761119</v>
      </c>
      <c r="BD51" s="847">
        <f ca="1">AD51</f>
        <v>8.9329</v>
      </c>
      <c r="BE51" s="778">
        <v>6.78215566248927</v>
      </c>
      <c r="BF51" s="778">
        <v>5.09924907976123</v>
      </c>
      <c r="BG51" s="778">
        <v>6.10279206481292</v>
      </c>
      <c r="BH51" s="778">
        <v>5.62315387593203</v>
      </c>
      <c r="BI51" s="848">
        <v>4.41711007599884</v>
      </c>
      <c r="BJ51" s="16"/>
      <c r="BK51" s="345" t="str">
        <f ca="1">$K51</f>
        <v>4Q14</v>
      </c>
      <c r="BL51" s="847">
        <f ca="1">AL51</f>
        <v>21.6796</v>
      </c>
      <c r="BM51" s="778">
        <v>10.410691881697</v>
      </c>
      <c r="BN51" s="778">
        <v>11.1961858862244</v>
      </c>
      <c r="BO51" s="778">
        <v>14.1480637413155</v>
      </c>
      <c r="BP51" s="778">
        <v>14.8818083973992</v>
      </c>
      <c r="BQ51" s="848">
        <v>15.0859111459884</v>
      </c>
      <c r="BR51" s="847">
        <f ca="1">AR51</f>
        <v>18.1696</v>
      </c>
      <c r="BS51" s="778">
        <v>9.84059960465627</v>
      </c>
      <c r="BT51" s="778">
        <v>10.3459834789896</v>
      </c>
      <c r="BU51" s="778">
        <v>13.4242627318696</v>
      </c>
      <c r="BV51" s="778">
        <v>13.4783838217687</v>
      </c>
      <c r="BW51" s="848">
        <v>15.4038317054846</v>
      </c>
      <c r="BX51" s="847">
        <f ca="1">AX51</f>
        <v>9.7542</v>
      </c>
      <c r="BY51" s="778">
        <v>5.78148773705291</v>
      </c>
      <c r="BZ51" s="778">
        <v>4.72035075619799</v>
      </c>
      <c r="CA51" s="778">
        <v>9.15838226846345</v>
      </c>
      <c r="CB51" s="778">
        <v>9.03030245541161</v>
      </c>
      <c r="CC51" s="848">
        <v>10.3128599049214</v>
      </c>
      <c r="CD51" s="847">
        <f ca="1">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910</v>
      </c>
      <c r="F52" s="84" t="s">
        <v>911</v>
      </c>
      <c r="G52" s="84" t="s">
        <v>912</v>
      </c>
      <c r="H52" s="84" t="s">
        <v>913</v>
      </c>
      <c r="I52" s="84">
        <f ca="1">I48</f>
        <v>1</v>
      </c>
      <c r="J52" s="5">
        <f ca="1">IF(I52=1,J51+1,J51)</f>
        <v>2015</v>
      </c>
      <c r="K52" s="345" t="str">
        <f ca="1">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 ca="1">$K52</f>
        <v>1Q15</v>
      </c>
      <c r="AL52" s="847">
        <f ca="1">L52</f>
        <v>22.7334</v>
      </c>
      <c r="AM52" s="778">
        <v>10.9747005408781</v>
      </c>
      <c r="AN52" s="778">
        <v>8.90906102941755</v>
      </c>
      <c r="AO52" s="778">
        <v>9.99584455790109</v>
      </c>
      <c r="AP52" s="778">
        <v>11.0516739030497</v>
      </c>
      <c r="AQ52" s="848">
        <v>13.4987555674236</v>
      </c>
      <c r="AR52" s="847">
        <f ca="1">R52</f>
        <v>19.6163</v>
      </c>
      <c r="AS52" s="778">
        <v>10.7964205816555</v>
      </c>
      <c r="AT52" s="778">
        <v>9.9545906059316</v>
      </c>
      <c r="AU52" s="778">
        <v>11.0217472815898</v>
      </c>
      <c r="AV52" s="778">
        <v>10.4104532703381</v>
      </c>
      <c r="AW52" s="848">
        <v>9.43301435406699</v>
      </c>
      <c r="AX52" s="847">
        <f ca="1">X52</f>
        <v>9.9684</v>
      </c>
      <c r="AY52" s="778">
        <v>6.25222651321006</v>
      </c>
      <c r="AZ52" s="778">
        <v>4.83952787353108</v>
      </c>
      <c r="BA52" s="778">
        <v>5.83587531857158</v>
      </c>
      <c r="BB52" s="778">
        <v>17.5958788491898</v>
      </c>
      <c r="BC52" s="848">
        <v>5.68527472329238</v>
      </c>
      <c r="BD52" s="847">
        <f ca="1">AD52</f>
        <v>9.254</v>
      </c>
      <c r="BE52" s="778">
        <v>6.40065941153131</v>
      </c>
      <c r="BF52" s="778">
        <v>5.38918917105491</v>
      </c>
      <c r="BG52" s="778">
        <v>6.37096811530985</v>
      </c>
      <c r="BH52" s="778">
        <v>6.06595367790709</v>
      </c>
      <c r="BI52" s="848">
        <v>5.2266664649216</v>
      </c>
      <c r="BJ52" s="16"/>
      <c r="BK52" s="345" t="str">
        <f ca="1">$K52</f>
        <v>1Q15</v>
      </c>
      <c r="BL52" s="847">
        <f ca="1">AL52</f>
        <v>22.7334</v>
      </c>
      <c r="BM52" s="778">
        <v>11.3979492341081</v>
      </c>
      <c r="BN52" s="778">
        <v>10.6559916715208</v>
      </c>
      <c r="BO52" s="778">
        <v>16.3110862969049</v>
      </c>
      <c r="BP52" s="778">
        <v>16.9422737201693</v>
      </c>
      <c r="BQ52" s="848">
        <v>16.5946552528309</v>
      </c>
      <c r="BR52" s="847">
        <f ca="1">AR52</f>
        <v>19.6163</v>
      </c>
      <c r="BS52" s="778">
        <v>10.8617459722743</v>
      </c>
      <c r="BT52" s="778">
        <v>10.0128100617212</v>
      </c>
      <c r="BU52" s="778">
        <v>13.2523150673822</v>
      </c>
      <c r="BV52" s="778">
        <v>14.4974502069346</v>
      </c>
      <c r="BW52" s="848">
        <v>15.2838213643056</v>
      </c>
      <c r="BX52" s="847">
        <f ca="1">AX52</f>
        <v>9.9684</v>
      </c>
      <c r="BY52" s="778">
        <v>6.17824326026236</v>
      </c>
      <c r="BZ52" s="778">
        <v>5.36871235891615</v>
      </c>
      <c r="CA52" s="778">
        <v>9.74395550475693</v>
      </c>
      <c r="CB52" s="778">
        <v>10.5591287033373</v>
      </c>
      <c r="CC52" s="848">
        <v>10.940341244788</v>
      </c>
      <c r="CD52" s="847">
        <f ca="1">BD52</f>
        <v>9.254</v>
      </c>
      <c r="CE52" s="778">
        <v>6.05796027145949</v>
      </c>
      <c r="CF52" s="778">
        <v>6.03868418220498</v>
      </c>
      <c r="CG52" s="778">
        <v>7.77903050962802</v>
      </c>
      <c r="CH52" s="778">
        <v>9.0216648635804</v>
      </c>
      <c r="CI52" s="848">
        <v>9.76738277151971</v>
      </c>
    </row>
    <row r="53" ht="14.25" customHeight="1" spans="1:87" x14ac:dyDescent="0.25">
      <c r="A53" s="16"/>
      <c r="B53" s="16"/>
      <c r="C53" s="16" t="s">
        <v>884</v>
      </c>
      <c r="D53" s="16"/>
      <c r="E53" s="724">
        <f ca="1">AVERAGE(AM81:AQ86)</f>
        <v>16.2811317957635</v>
      </c>
      <c r="F53" s="724">
        <f ca="1">AVERAGE(AS81:AW86)</f>
        <v>16.207046180263625</v>
      </c>
      <c r="G53" s="724">
        <f ca="1">AVERAGE(AY81:BC86)</f>
        <v>12.026952580590283</v>
      </c>
      <c r="H53" s="724">
        <f ca="1">AVERAGE(BE81:BI86)</f>
        <v>12.189450395723325</v>
      </c>
      <c r="I53" s="84">
        <f ca="1">IF(I52=4,1,I52+1)</f>
        <v>2</v>
      </c>
      <c r="J53" s="5">
        <f ca="1">IF(I53=1,J52+1,J52)</f>
        <v>2015</v>
      </c>
      <c r="K53" s="345" t="str">
        <f ca="1">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 ca="1">$K53</f>
        <v>2Q15</v>
      </c>
      <c r="AL53" s="847">
        <f ca="1">L53</f>
        <v>23.4712</v>
      </c>
      <c r="AM53" s="778">
        <v>11.9782130374776</v>
      </c>
      <c r="AN53" s="778">
        <v>10.1920161063397</v>
      </c>
      <c r="AO53" s="778">
        <v>11.0652994919033</v>
      </c>
      <c r="AP53" s="778">
        <v>12.1382016308239</v>
      </c>
      <c r="AQ53" s="848">
        <v>13.1569455274973</v>
      </c>
      <c r="AR53" s="847">
        <f ca="1">R53</f>
        <v>21.8094</v>
      </c>
      <c r="AS53" s="778">
        <v>12.041745309204</v>
      </c>
      <c r="AT53" s="778">
        <v>11.5031953320367</v>
      </c>
      <c r="AU53" s="778">
        <v>12.081125525306</v>
      </c>
      <c r="AV53" s="778">
        <v>11.6027255221449</v>
      </c>
      <c r="AW53" s="848">
        <v>9.05437352245863</v>
      </c>
      <c r="AX53" s="847">
        <f ca="1">X53</f>
        <v>10.4997</v>
      </c>
      <c r="AY53" s="778">
        <v>6.78063849169565</v>
      </c>
      <c r="AZ53" s="778">
        <v>5.66684750026189</v>
      </c>
      <c r="BA53" s="778">
        <v>6.6173009488542</v>
      </c>
      <c r="BB53" s="778">
        <v>19.9828410370048</v>
      </c>
      <c r="BC53" s="848">
        <v>6.51827173074468</v>
      </c>
      <c r="BD53" s="847">
        <f ca="1">AD53</f>
        <v>10.1421</v>
      </c>
      <c r="BE53" s="778">
        <v>7.09397312761365</v>
      </c>
      <c r="BF53" s="778">
        <v>6.33862033674069</v>
      </c>
      <c r="BG53" s="778">
        <v>7.28432496531872</v>
      </c>
      <c r="BH53" s="778">
        <v>6.68105898371528</v>
      </c>
      <c r="BI53" s="848">
        <v>5.73741529842785</v>
      </c>
      <c r="BJ53" s="16"/>
      <c r="BK53" s="345" t="str">
        <f ca="1">$K53</f>
        <v>2Q15</v>
      </c>
      <c r="BL53" s="847">
        <f ca="1">AL53</f>
        <v>23.4712</v>
      </c>
      <c r="BM53" s="778">
        <v>12.7998713961279</v>
      </c>
      <c r="BN53" s="778">
        <v>9.88599170185066</v>
      </c>
      <c r="BO53" s="778">
        <v>16.8796644924156</v>
      </c>
      <c r="BP53" s="778">
        <v>17.1543540948171</v>
      </c>
      <c r="BQ53" s="848">
        <v>16.2968345494295</v>
      </c>
      <c r="BR53" s="847">
        <f ca="1">AR53</f>
        <v>21.8094</v>
      </c>
      <c r="BS53" s="778">
        <v>12.0599415204678</v>
      </c>
      <c r="BT53" s="778">
        <v>9.54310547333803</v>
      </c>
      <c r="BU53" s="778">
        <v>13.4285662445783</v>
      </c>
      <c r="BV53" s="778">
        <v>15.2589643125916</v>
      </c>
      <c r="BW53" s="848">
        <v>15.2111292962357</v>
      </c>
      <c r="BX53" s="847">
        <f ca="1">AX53</f>
        <v>10.4997</v>
      </c>
      <c r="BY53" s="778">
        <v>8.31815669163724</v>
      </c>
      <c r="BZ53" s="778">
        <v>4.36124069424063</v>
      </c>
      <c r="CA53" s="778">
        <v>9.98979284446393</v>
      </c>
      <c r="CB53" s="778">
        <v>10.9047396522652</v>
      </c>
      <c r="CC53" s="848">
        <v>10.2848031066489</v>
      </c>
      <c r="CD53" s="847">
        <f ca="1">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886</v>
      </c>
      <c r="D54" s="16"/>
      <c r="E54" s="724">
        <f ca="1">AVERAGE(AM77:AQ86)</f>
        <v>16.167189775700525</v>
      </c>
      <c r="F54" s="724">
        <f ca="1">AVERAGE(AS77:AW86)</f>
        <v>16.123041845273583</v>
      </c>
      <c r="G54" s="724">
        <f ca="1">AVERAGE(AY77:BC86)</f>
        <v>11.95618302887918</v>
      </c>
      <c r="H54" s="724">
        <f ca="1">AVERAGE(BE77:BI86)</f>
        <v>12.1269722740679</v>
      </c>
      <c r="I54" s="84">
        <f ca="1">IF(I53+1=5,1,I53+1)</f>
        <v>3</v>
      </c>
      <c r="J54" s="5">
        <f ca="1">IF(I54=1,J53+1,J53)</f>
        <v>2015</v>
      </c>
      <c r="K54" s="345" t="str">
        <f ca="1">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 ca="1">$K54</f>
        <v>3Q15</v>
      </c>
      <c r="AL54" s="847">
        <f ca="1">L54</f>
        <v>23.5402</v>
      </c>
      <c r="AM54" s="778">
        <v>13.61392571717</v>
      </c>
      <c r="AN54" s="778">
        <v>11.2813752145605</v>
      </c>
      <c r="AO54" s="778">
        <v>12.8588618530776</v>
      </c>
      <c r="AP54" s="778">
        <v>13.2005714616677</v>
      </c>
      <c r="AQ54" s="848">
        <v>15.6097024743989</v>
      </c>
      <c r="AR54" s="847">
        <f ca="1">R54</f>
        <v>22.8236</v>
      </c>
      <c r="AS54" s="778">
        <v>13.3532244556114</v>
      </c>
      <c r="AT54" s="778">
        <v>12.3698221010258</v>
      </c>
      <c r="AU54" s="778">
        <v>13.5614992081647</v>
      </c>
      <c r="AV54" s="778">
        <v>12.5729061916391</v>
      </c>
      <c r="AW54" s="848">
        <v>10.6168224299065</v>
      </c>
      <c r="AX54" s="847">
        <f ca="1">X54</f>
        <v>10.6759</v>
      </c>
      <c r="AY54" s="778">
        <v>7.77708057929062</v>
      </c>
      <c r="AZ54" s="778">
        <v>6.25430883142553</v>
      </c>
      <c r="BA54" s="778">
        <v>7.53946972682942</v>
      </c>
      <c r="BB54" s="778">
        <v>21.4577285987806</v>
      </c>
      <c r="BC54" s="848">
        <v>7.61177518320519</v>
      </c>
      <c r="BD54" s="847">
        <f ca="1">AD54</f>
        <v>10.6153</v>
      </c>
      <c r="BE54" s="778">
        <v>7.84948878142277</v>
      </c>
      <c r="BF54" s="778">
        <v>6.6309938124452</v>
      </c>
      <c r="BG54" s="778">
        <v>7.96930082065482</v>
      </c>
      <c r="BH54" s="778">
        <v>7.18444358023124</v>
      </c>
      <c r="BI54" s="848">
        <v>6.62350163338909</v>
      </c>
      <c r="BJ54" s="16"/>
      <c r="BK54" s="345" t="str">
        <f ca="1">$K54</f>
        <v>3Q15</v>
      </c>
      <c r="BL54" s="847">
        <f ca="1">AL54</f>
        <v>23.5402</v>
      </c>
      <c r="BM54" s="778">
        <v>14.9862401518031</v>
      </c>
      <c r="BN54" s="778">
        <v>9.13300318819126</v>
      </c>
      <c r="BO54" s="778">
        <v>17.6015046977109</v>
      </c>
      <c r="BP54" s="778">
        <v>17.71647607207</v>
      </c>
      <c r="BQ54" s="848">
        <v>18.2145269890738</v>
      </c>
      <c r="BR54" s="847">
        <f ca="1">AR54</f>
        <v>22.8236</v>
      </c>
      <c r="BS54" s="778">
        <v>13.2654684269127</v>
      </c>
      <c r="BT54" s="778">
        <v>9.18415707515233</v>
      </c>
      <c r="BU54" s="778">
        <v>13.8673284698068</v>
      </c>
      <c r="BV54" s="778">
        <v>15.9802470919811</v>
      </c>
      <c r="BW54" s="848">
        <v>17.5203119922002</v>
      </c>
      <c r="BX54" s="847">
        <f ca="1">AX54</f>
        <v>10.6759</v>
      </c>
      <c r="BY54" s="778">
        <v>7.22081451044756</v>
      </c>
      <c r="BZ54" s="778">
        <v>4.05393973980648</v>
      </c>
      <c r="CA54" s="778">
        <v>10.6003988879441</v>
      </c>
      <c r="CB54" s="778">
        <v>11.0192322082175</v>
      </c>
      <c r="CC54" s="848">
        <v>11.2008098892945</v>
      </c>
      <c r="CD54" s="847">
        <f ca="1">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881</v>
      </c>
      <c r="D55" s="16"/>
      <c r="E55" s="724">
        <f ca="1">AVERAGE(AM73:AQ86)</f>
        <v>16.693825092020955</v>
      </c>
      <c r="F55" s="724">
        <f ca="1">AVERAGE(AS73:AW86)</f>
        <v>16.078511393647254</v>
      </c>
      <c r="G55" s="724">
        <f ca="1">AVERAGE(AY73:BC86)</f>
        <v>11.965668501832177</v>
      </c>
      <c r="H55" s="724">
        <f ca="1">AVERAGE(BE73:BI86)</f>
        <v>11.89400826050088</v>
      </c>
      <c r="I55" s="84">
        <f ca="1">IF(I54=4,1,I54+1)</f>
        <v>4</v>
      </c>
      <c r="J55" s="5">
        <f ca="1">IF(I55=1,J54+1,J54)</f>
        <v>2015</v>
      </c>
      <c r="K55" s="345" t="str">
        <f ca="1">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 ca="1">$K55</f>
        <v>4Q15</v>
      </c>
      <c r="AL55" s="847">
        <f ca="1">L55</f>
        <v>22.6923</v>
      </c>
      <c r="AM55" s="778">
        <v>14.899093867298</v>
      </c>
      <c r="AN55" s="778">
        <v>13.4652467749377</v>
      </c>
      <c r="AO55" s="778">
        <v>14.8842735424243</v>
      </c>
      <c r="AP55" s="778">
        <v>13.4577711198626</v>
      </c>
      <c r="AQ55" s="848">
        <v>83.6538461538461</v>
      </c>
      <c r="AR55" s="847">
        <f ca="1">R55</f>
        <v>18.5932</v>
      </c>
      <c r="AS55" s="778">
        <v>15.3669629935911</v>
      </c>
      <c r="AT55" s="778">
        <v>14.1145320197044</v>
      </c>
      <c r="AU55" s="778">
        <v>15.56547108289</v>
      </c>
      <c r="AV55" s="778">
        <v>13.5956175298805</v>
      </c>
      <c r="AW55" s="848">
        <v>10.0694444444444</v>
      </c>
      <c r="AX55" s="847">
        <f ca="1">X55</f>
        <v>10.6981</v>
      </c>
      <c r="AY55" s="778">
        <v>9.30880362696557</v>
      </c>
      <c r="AZ55" s="778">
        <v>7.2477448823506</v>
      </c>
      <c r="BA55" s="778">
        <v>8.74227284277257</v>
      </c>
      <c r="BB55" s="778">
        <v>7.69023648176773</v>
      </c>
      <c r="BC55" s="848">
        <v>6.98574669803306</v>
      </c>
      <c r="BD55" s="847">
        <f ca="1">AD55</f>
        <v>9.6794</v>
      </c>
      <c r="BE55" s="778">
        <v>8.47633778801312</v>
      </c>
      <c r="BF55" s="778">
        <v>7.47266848603473</v>
      </c>
      <c r="BG55" s="778">
        <v>8.54010978861887</v>
      </c>
      <c r="BH55" s="778">
        <v>7.44769376803239</v>
      </c>
      <c r="BI55" s="848">
        <v>6.37364243076596</v>
      </c>
      <c r="BJ55" s="16"/>
      <c r="BK55" s="345" t="str">
        <f ca="1">$K55</f>
        <v>4Q15</v>
      </c>
      <c r="BL55" s="847">
        <f ca="1">AL55</f>
        <v>22.6923</v>
      </c>
      <c r="BM55" s="778">
        <v>16.2012154925796</v>
      </c>
      <c r="BN55" s="778">
        <v>9.78991294877581</v>
      </c>
      <c r="BO55" s="778">
        <v>20.0747118434189</v>
      </c>
      <c r="BP55" s="778">
        <v>16.4086024096269</v>
      </c>
      <c r="BQ55" s="848">
        <v>18.1950160365563</v>
      </c>
      <c r="BR55" s="847">
        <f ca="1">AR55</f>
        <v>18.5932</v>
      </c>
      <c r="BS55" s="778">
        <v>16.6014625228519</v>
      </c>
      <c r="BT55" s="778">
        <v>10.9508393285372</v>
      </c>
      <c r="BU55" s="778">
        <v>16.4593016139279</v>
      </c>
      <c r="BV55" s="778">
        <v>17.5868302999988</v>
      </c>
      <c r="BW55" s="848">
        <v>18.5040650406504</v>
      </c>
      <c r="BX55" s="847">
        <f ca="1">AX55</f>
        <v>10.6981</v>
      </c>
      <c r="BY55" s="778">
        <v>7.11789902474014</v>
      </c>
      <c r="BZ55" s="778">
        <v>4.28902815945814</v>
      </c>
      <c r="CA55" s="778">
        <v>15.144914733762</v>
      </c>
      <c r="CB55" s="778">
        <v>11.4352152994917</v>
      </c>
      <c r="CC55" s="848">
        <v>11.1025976069489</v>
      </c>
      <c r="CD55" s="847">
        <f ca="1">BD55</f>
        <v>9.6794</v>
      </c>
      <c r="CE55" s="778">
        <v>7.513322197713</v>
      </c>
      <c r="CF55" s="778">
        <v>5.63279108316854</v>
      </c>
      <c r="CG55" s="778">
        <v>9.16310246193321</v>
      </c>
      <c r="CH55" s="778">
        <v>9.45976313593936</v>
      </c>
      <c r="CI55" s="848">
        <v>10.199800616474</v>
      </c>
    </row>
    <row r="56" ht="14.25" customHeight="1" spans="1:87" x14ac:dyDescent="0.25">
      <c r="A56" s="16"/>
      <c r="B56" s="16"/>
      <c r="C56" s="16" t="s">
        <v>887</v>
      </c>
      <c r="D56" s="16"/>
      <c r="E56" s="724">
        <f ca="1">AVERAGE(AM65:AQ86)</f>
        <v>18.270614828253066</v>
      </c>
      <c r="F56" s="724">
        <f ca="1">AVERAGE(AS65:AW86)</f>
        <v>17.344062816540788</v>
      </c>
      <c r="G56" s="724">
        <f ca="1">AVERAGE(AY65:BC86)</f>
        <v>12.110641773518143</v>
      </c>
      <c r="H56" s="724">
        <f ca="1">AVERAGE(BE65:BI86)</f>
        <v>11.961096449914985</v>
      </c>
      <c r="I56" s="84">
        <f ca="1">I52</f>
        <v>1</v>
      </c>
      <c r="J56" s="5">
        <f ca="1">IF(I56=1,J55+1,J55)</f>
        <v>2016</v>
      </c>
      <c r="K56" s="345" t="str">
        <f ca="1">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 ca="1">$K56</f>
        <v>1Q16</v>
      </c>
      <c r="AL56" s="847">
        <f ca="1">L56</f>
        <v>20.9599</v>
      </c>
      <c r="AM56" s="778">
        <v>15.6067765380931</v>
      </c>
      <c r="AN56" s="778">
        <v>13.8939188373522</v>
      </c>
      <c r="AO56" s="778">
        <v>15.8564149382548</v>
      </c>
      <c r="AP56" s="778">
        <v>15.0353292967643</v>
      </c>
      <c r="AQ56" s="848">
        <v>79.6538461538461</v>
      </c>
      <c r="AR56" s="847">
        <f ca="1">R56</f>
        <v>18.3448</v>
      </c>
      <c r="AS56" s="778">
        <v>15.3854853911404</v>
      </c>
      <c r="AT56" s="778">
        <v>13.9113767053783</v>
      </c>
      <c r="AU56" s="778">
        <v>14.2184801381693</v>
      </c>
      <c r="AV56" s="778">
        <v>15.1026067665003</v>
      </c>
      <c r="AW56" s="848">
        <v>10.5394402035623</v>
      </c>
      <c r="AX56" s="847">
        <f ca="1">X56</f>
        <v>9.8367</v>
      </c>
      <c r="AY56" s="778">
        <v>9.52318541881982</v>
      </c>
      <c r="AZ56" s="778">
        <v>7.77289795350423</v>
      </c>
      <c r="BA56" s="778">
        <v>9.07602320303267</v>
      </c>
      <c r="BB56" s="778">
        <v>8.82115813258258</v>
      </c>
      <c r="BC56" s="848">
        <v>6.58313719115977</v>
      </c>
      <c r="BD56" s="847">
        <f ca="1">AD56</f>
        <v>9.1363</v>
      </c>
      <c r="BE56" s="778">
        <v>8.75561902375599</v>
      </c>
      <c r="BF56" s="778">
        <v>7.91193042025454</v>
      </c>
      <c r="BG56" s="778">
        <v>8.47813366479963</v>
      </c>
      <c r="BH56" s="778">
        <v>8.76916252515342</v>
      </c>
      <c r="BI56" s="848">
        <v>6.39860235563282</v>
      </c>
      <c r="BJ56" s="16"/>
      <c r="BK56" s="345" t="str">
        <f ca="1">$K56</f>
        <v>1Q16</v>
      </c>
      <c r="BL56" s="847">
        <f ca="1">AL56</f>
        <v>20.9599</v>
      </c>
      <c r="BM56" s="778">
        <v>17.0516310759413</v>
      </c>
      <c r="BN56" s="778">
        <v>9.49964789575999</v>
      </c>
      <c r="BO56" s="778">
        <v>18.027276007093</v>
      </c>
      <c r="BP56" s="778">
        <v>16.5223404454521</v>
      </c>
      <c r="BQ56" s="848">
        <v>18.3451782515745</v>
      </c>
      <c r="BR56" s="847">
        <f ca="1">AR56</f>
        <v>18.3448</v>
      </c>
      <c r="BS56" s="778">
        <v>17.1121060788703</v>
      </c>
      <c r="BT56" s="778">
        <v>10.8172504169645</v>
      </c>
      <c r="BU56" s="778">
        <v>14.6651730972304</v>
      </c>
      <c r="BV56" s="778">
        <v>15.9141730133627</v>
      </c>
      <c r="BW56" s="848">
        <v>17.0868675051185</v>
      </c>
      <c r="BX56" s="847">
        <f ca="1">AX56</f>
        <v>9.8367</v>
      </c>
      <c r="BY56" s="778">
        <v>7.61704507988604</v>
      </c>
      <c r="BZ56" s="778">
        <v>4.9037833624296</v>
      </c>
      <c r="CA56" s="778">
        <v>13.7003339232748</v>
      </c>
      <c r="CB56" s="778">
        <v>11.524812180156</v>
      </c>
      <c r="CC56" s="848">
        <v>11.2269030250655</v>
      </c>
      <c r="CD56" s="847">
        <f ca="1">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916</v>
      </c>
      <c r="D57" s="846"/>
      <c r="E57" s="846"/>
      <c r="F57" s="846"/>
      <c r="G57" s="846"/>
      <c r="H57" s="846"/>
      <c r="I57" s="84">
        <f ca="1">IF(I56=4,1,I56+1)</f>
        <v>2</v>
      </c>
      <c r="J57" s="5">
        <f ca="1">IF(I57=1,J56+1,J56)</f>
        <v>2016</v>
      </c>
      <c r="K57" s="345" t="str">
        <f ca="1">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 ca="1">$K57</f>
        <v>2Q16</v>
      </c>
      <c r="AL57" s="847">
        <f ca="1">L57</f>
        <v>21.5976</v>
      </c>
      <c r="AM57" s="778">
        <v>15.1925047159338</v>
      </c>
      <c r="AN57" s="778">
        <v>13.1171174490227</v>
      </c>
      <c r="AO57" s="778">
        <v>14.5572995033791</v>
      </c>
      <c r="AP57" s="778">
        <v>16.0071527457314</v>
      </c>
      <c r="AQ57" s="848">
        <v>72.15</v>
      </c>
      <c r="AR57" s="847">
        <f ca="1">R57</f>
        <v>20.16</v>
      </c>
      <c r="AS57" s="778">
        <v>14.6771984293672</v>
      </c>
      <c r="AT57" s="778">
        <v>13.0886214442013</v>
      </c>
      <c r="AU57" s="778">
        <v>13.2886776145203</v>
      </c>
      <c r="AV57" s="778">
        <v>15.9069196123925</v>
      </c>
      <c r="AW57" s="848">
        <v>11.1285347043702</v>
      </c>
      <c r="AX57" s="847">
        <f ca="1">X57</f>
        <v>10.1552</v>
      </c>
      <c r="AY57" s="778">
        <v>9.04341450295343</v>
      </c>
      <c r="AZ57" s="778">
        <v>7.56549925881769</v>
      </c>
      <c r="BA57" s="778">
        <v>8.56850789299641</v>
      </c>
      <c r="BB57" s="778">
        <v>9.53762607969839</v>
      </c>
      <c r="BC57" s="848">
        <v>7.3059059511382</v>
      </c>
      <c r="BD57" s="847">
        <f ca="1">AD57</f>
        <v>9.7479</v>
      </c>
      <c r="BE57" s="778">
        <v>8.34191205536816</v>
      </c>
      <c r="BF57" s="778">
        <v>7.68678470437694</v>
      </c>
      <c r="BG57" s="778">
        <v>8.01440888453109</v>
      </c>
      <c r="BH57" s="778">
        <v>9.3871322553164</v>
      </c>
      <c r="BI57" s="848">
        <v>6.98257489680346</v>
      </c>
      <c r="BJ57" s="16"/>
      <c r="BK57" s="345" t="str">
        <f ca="1">$K57</f>
        <v>2Q16</v>
      </c>
      <c r="BL57" s="847">
        <f ca="1">AL57</f>
        <v>21.5976</v>
      </c>
      <c r="BM57" s="778">
        <v>17.5122655959803</v>
      </c>
      <c r="BN57" s="778">
        <v>9.57282674631935</v>
      </c>
      <c r="BO57" s="778">
        <v>18.8148107152353</v>
      </c>
      <c r="BP57" s="778">
        <v>16.3834695861817</v>
      </c>
      <c r="BQ57" s="848">
        <v>18.81446848108</v>
      </c>
      <c r="BR57" s="847">
        <f ca="1">AR57</f>
        <v>20.16</v>
      </c>
      <c r="BS57" s="778">
        <v>17.5330751855437</v>
      </c>
      <c r="BT57" s="778">
        <v>10.6919352934231</v>
      </c>
      <c r="BU57" s="778">
        <v>14.9212562268163</v>
      </c>
      <c r="BV57" s="778">
        <v>15.9611519686452</v>
      </c>
      <c r="BW57" s="848">
        <v>16.8392648774796</v>
      </c>
      <c r="BX57" s="847">
        <f ca="1">AX57</f>
        <v>10.1552</v>
      </c>
      <c r="BY57" s="778">
        <v>8.01713636023447</v>
      </c>
      <c r="BZ57" s="778">
        <v>4.40170908891738</v>
      </c>
      <c r="CA57" s="778">
        <v>16.4908873645734</v>
      </c>
      <c r="CB57" s="778">
        <v>11.2461348569961</v>
      </c>
      <c r="CC57" s="848">
        <v>11.2015939345566</v>
      </c>
      <c r="CD57" s="847">
        <f ca="1">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910</v>
      </c>
      <c r="F58" s="84" t="s">
        <v>911</v>
      </c>
      <c r="G58" s="84" t="s">
        <v>912</v>
      </c>
      <c r="H58" s="84" t="s">
        <v>913</v>
      </c>
      <c r="I58" s="84">
        <f ca="1">IF(I57+1=5,1,I57+1)</f>
        <v>3</v>
      </c>
      <c r="J58" s="5">
        <f ca="1">IF(I58=1,J57+1,J57)</f>
        <v>2016</v>
      </c>
      <c r="K58" s="345" t="str">
        <f ca="1">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 ca="1">$K58</f>
        <v>3Q16</v>
      </c>
      <c r="AL58" s="847">
        <f ca="1">L58</f>
        <v>26.8605</v>
      </c>
      <c r="AM58" s="778">
        <v>16.971911291818</v>
      </c>
      <c r="AN58" s="778">
        <v>14.2595180334852</v>
      </c>
      <c r="AO58" s="778">
        <v>15.677518897643</v>
      </c>
      <c r="AP58" s="778">
        <v>17.0492565080697</v>
      </c>
      <c r="AQ58" s="848">
        <v>78.5833333333333</v>
      </c>
      <c r="AR58" s="847">
        <f ca="1">R58</f>
        <v>25.7389</v>
      </c>
      <c r="AS58" s="778">
        <v>16.2847469707769</v>
      </c>
      <c r="AT58" s="778">
        <v>14.1723136495644</v>
      </c>
      <c r="AU58" s="778">
        <v>14.7510524023806</v>
      </c>
      <c r="AV58" s="778">
        <v>16.8219722038385</v>
      </c>
      <c r="AW58" s="848">
        <v>12.3429319371728</v>
      </c>
      <c r="AX58" s="847">
        <f ca="1">X58</f>
        <v>12.3539</v>
      </c>
      <c r="AY58" s="778">
        <v>10.0416969007958</v>
      </c>
      <c r="AZ58" s="778">
        <v>8.14425798294657</v>
      </c>
      <c r="BA58" s="778">
        <v>9.35769418461125</v>
      </c>
      <c r="BB58" s="778">
        <v>9.75761197852728</v>
      </c>
      <c r="BC58" s="848">
        <v>7.89638044866552</v>
      </c>
      <c r="BD58" s="847">
        <f ca="1">AD58</f>
        <v>12.1286</v>
      </c>
      <c r="BE58" s="778">
        <v>9.2948278991057</v>
      </c>
      <c r="BF58" s="778">
        <v>8.12215087658678</v>
      </c>
      <c r="BG58" s="778">
        <v>8.88488425961786</v>
      </c>
      <c r="BH58" s="778">
        <v>9.53304479938265</v>
      </c>
      <c r="BI58" s="848">
        <v>7.74058870834201</v>
      </c>
      <c r="BJ58" s="16"/>
      <c r="BK58" s="345" t="str">
        <f ca="1">$K58</f>
        <v>3Q16</v>
      </c>
      <c r="BL58" s="847">
        <f ca="1">AL58</f>
        <v>26.8605</v>
      </c>
      <c r="BM58" s="778">
        <v>15.332360616874</v>
      </c>
      <c r="BN58" s="778">
        <v>8.99394808981443</v>
      </c>
      <c r="BO58" s="778">
        <v>18.9573315361765</v>
      </c>
      <c r="BP58" s="778">
        <v>15.7377424098325</v>
      </c>
      <c r="BQ58" s="848">
        <v>16.4562418244736</v>
      </c>
      <c r="BR58" s="847">
        <f ca="1">AR58</f>
        <v>25.7389</v>
      </c>
      <c r="BS58" s="778">
        <v>15.7565632458234</v>
      </c>
      <c r="BT58" s="778">
        <v>9.79218917950555</v>
      </c>
      <c r="BU58" s="778">
        <v>14.7116253691756</v>
      </c>
      <c r="BV58" s="778">
        <v>16.0047782864145</v>
      </c>
      <c r="BW58" s="848">
        <v>15.4003208400175</v>
      </c>
      <c r="BX58" s="847">
        <f ca="1">AX58</f>
        <v>12.3539</v>
      </c>
      <c r="BY58" s="778">
        <v>7.57544625043682</v>
      </c>
      <c r="BZ58" s="778">
        <v>4.05603816119173</v>
      </c>
      <c r="CA58" s="778">
        <v>17.7328149474707</v>
      </c>
      <c r="CB58" s="778">
        <v>10.9756319204545</v>
      </c>
      <c r="CC58" s="848">
        <v>10.1415569877265</v>
      </c>
      <c r="CD58" s="847">
        <f ca="1">BD58</f>
        <v>12.1286</v>
      </c>
      <c r="CE58" s="778">
        <v>7.96799593359051</v>
      </c>
      <c r="CF58" s="778">
        <v>5.3607663011855</v>
      </c>
      <c r="CG58" s="778">
        <v>9.67451431715901</v>
      </c>
      <c r="CH58" s="778">
        <v>9.9254800396092</v>
      </c>
      <c r="CI58" s="848">
        <v>9.51600454033976</v>
      </c>
    </row>
    <row r="59" ht="14.25" customHeight="1" spans="1:87" x14ac:dyDescent="0.25">
      <c r="A59" s="16"/>
      <c r="B59" s="16"/>
      <c r="C59" s="16" t="s">
        <v>917</v>
      </c>
      <c r="D59" s="16"/>
      <c r="E59" s="724">
        <f ca="1">AVERAGE(AM8:AQ75)</f>
        <v>17.45184436944251</v>
      </c>
      <c r="F59" s="724">
        <f ca="1">AVERAGE(AS8:AW75)</f>
        <v>14.789390590177238</v>
      </c>
      <c r="G59" s="724">
        <f ca="1">AVERAGE(AY8:BC75)</f>
        <v>9.073633064438093</v>
      </c>
      <c r="H59" s="724">
        <f ca="1">AVERAGE(BE8:BI75)</f>
        <v>8.246703176081793</v>
      </c>
      <c r="I59" s="84">
        <f ca="1">IF(I58=4,1,I58+1)</f>
        <v>4</v>
      </c>
      <c r="J59" s="5">
        <f ca="1">IF(I59=1,J58+1,J58)</f>
        <v>2016</v>
      </c>
      <c r="K59" s="345" t="str">
        <f ca="1">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 ca="1">$K59</f>
        <v>4Q16</v>
      </c>
      <c r="AL59" s="847">
        <f ca="1">L59</f>
        <v>27.2129</v>
      </c>
      <c r="AM59" s="778">
        <v>16.6817556410833</v>
      </c>
      <c r="AN59" s="778">
        <v>15.918574316111</v>
      </c>
      <c r="AO59" s="778">
        <v>15.8996603114082</v>
      </c>
      <c r="AP59" s="778">
        <v>17.4549775223724</v>
      </c>
      <c r="AQ59" s="848">
        <v>20.1709401709402</v>
      </c>
      <c r="AR59" s="847">
        <f ca="1">R59</f>
        <v>22.4675</v>
      </c>
      <c r="AS59" s="778">
        <v>17.1983567026882</v>
      </c>
      <c r="AT59" s="778">
        <v>15.7434308908353</v>
      </c>
      <c r="AU59" s="778">
        <v>15.7041231126597</v>
      </c>
      <c r="AV59" s="778">
        <v>17.745970341715</v>
      </c>
      <c r="AW59" s="848">
        <v>12.4867724867725</v>
      </c>
      <c r="AX59" s="847">
        <f ca="1">X59</f>
        <v>12.7884</v>
      </c>
      <c r="AY59" s="778">
        <v>9.95045705434438</v>
      </c>
      <c r="AZ59" s="778">
        <v>8.70357416548189</v>
      </c>
      <c r="BA59" s="778">
        <v>9.4411740744081</v>
      </c>
      <c r="BB59" s="778">
        <v>10.2711420804772</v>
      </c>
      <c r="BC59" s="848">
        <v>8.48781093666622</v>
      </c>
      <c r="BD59" s="847">
        <f ca="1">AD59</f>
        <v>11.5241</v>
      </c>
      <c r="BE59" s="778">
        <v>9.93486989815585</v>
      </c>
      <c r="BF59" s="778">
        <v>9.36741340683429</v>
      </c>
      <c r="BG59" s="778">
        <v>9.33322544205644</v>
      </c>
      <c r="BH59" s="778">
        <v>9.84506720804911</v>
      </c>
      <c r="BI59" s="848">
        <v>7.50290457326061</v>
      </c>
      <c r="BJ59" s="16"/>
      <c r="BK59" s="345" t="str">
        <f ca="1">$K59</f>
        <v>4Q16</v>
      </c>
      <c r="BL59" s="847">
        <f ca="1">AL59</f>
        <v>27.2129</v>
      </c>
      <c r="BM59" s="778">
        <v>14.3522461116201</v>
      </c>
      <c r="BN59" s="778">
        <v>10.1688766856749</v>
      </c>
      <c r="BO59" s="778">
        <v>19.5619707538714</v>
      </c>
      <c r="BP59" s="778">
        <v>16.9047152213896</v>
      </c>
      <c r="BQ59" s="848">
        <v>18.0135446191584</v>
      </c>
      <c r="BR59" s="847">
        <f ca="1">AR59</f>
        <v>22.4675</v>
      </c>
      <c r="BS59" s="778">
        <v>14.0146991272393</v>
      </c>
      <c r="BT59" s="778">
        <v>16.0300779126653</v>
      </c>
      <c r="BU59" s="778">
        <v>14.7306384948454</v>
      </c>
      <c r="BV59" s="778">
        <v>17.1642157162912</v>
      </c>
      <c r="BW59" s="848">
        <v>16.8473483738646</v>
      </c>
      <c r="BX59" s="847">
        <f ca="1">AX59</f>
        <v>12.7884</v>
      </c>
      <c r="BY59" s="778">
        <v>6.97434437524555</v>
      </c>
      <c r="BZ59" s="778">
        <v>4.08809822037653</v>
      </c>
      <c r="CA59" s="778">
        <v>14.0383531727903</v>
      </c>
      <c r="CB59" s="778">
        <v>11.5358113174269</v>
      </c>
      <c r="CC59" s="848">
        <v>10.8198573575872</v>
      </c>
      <c r="CD59" s="847">
        <f ca="1">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918</v>
      </c>
      <c r="D60" s="16"/>
      <c r="E60" s="724">
        <f t="shared" ref="E60:H60" si="36" ca="1">AVERAGE(E64,E68)</f>
        <v>16.511356338309774</v>
      </c>
      <c r="F60" s="724">
        <f ca="1">AVERAGE(F64,F68)</f>
        <v>14.249403727801335</v>
      </c>
      <c r="G60" s="724">
        <f ca="1">AVERAGE(G64,G68)</f>
        <v>8.008187979985276</v>
      </c>
      <c r="H60" s="724">
        <f ca="1">AVERAGE(H64,H68)</f>
        <v>2.7157301350125858</v>
      </c>
      <c r="I60" s="84">
        <f ca="1">I56</f>
        <v>1</v>
      </c>
      <c r="J60" s="5">
        <f ca="1">IF(I60=1,J59+1,J59)</f>
        <v>2017</v>
      </c>
      <c r="K60" s="345" t="str">
        <f ca="1">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 ca="1">$K60</f>
        <v>1Q17</v>
      </c>
      <c r="AL60" s="847">
        <f ca="1">L60</f>
        <v>23.7725</v>
      </c>
      <c r="AM60" s="778">
        <v>17.7316040068742</v>
      </c>
      <c r="AN60" s="778">
        <v>17.362804075599</v>
      </c>
      <c r="AO60" s="778">
        <v>16.7017237249017</v>
      </c>
      <c r="AP60" s="778">
        <v>17.2152601301526</v>
      </c>
      <c r="AQ60" s="848">
        <v>22.3717948717949</v>
      </c>
      <c r="AR60" s="847">
        <f ca="1">R60</f>
        <v>20.2878</v>
      </c>
      <c r="AS60" s="778">
        <v>18.1945316001793</v>
      </c>
      <c r="AT60" s="778">
        <v>16.9806941660513</v>
      </c>
      <c r="AU60" s="778">
        <v>17.0676456803624</v>
      </c>
      <c r="AV60" s="778">
        <v>16.2726291811533</v>
      </c>
      <c r="AW60" s="848">
        <v>13.2868020304569</v>
      </c>
      <c r="AX60" s="847">
        <f ca="1">X60</f>
        <v>11.059</v>
      </c>
      <c r="AY60" s="778">
        <v>10.6046500596097</v>
      </c>
      <c r="AZ60" s="778">
        <v>9.96578183599201</v>
      </c>
      <c r="BA60" s="778">
        <v>9.52725818436542</v>
      </c>
      <c r="BB60" s="778">
        <v>10.0912602544482</v>
      </c>
      <c r="BC60" s="848">
        <v>10.2362649676181</v>
      </c>
      <c r="BD60" s="847">
        <f ca="1">AD60</f>
        <v>10.2391</v>
      </c>
      <c r="BE60" s="778">
        <v>10.6614615642502</v>
      </c>
      <c r="BF60" s="778">
        <v>10.2604777628974</v>
      </c>
      <c r="BG60" s="778">
        <v>10.2780637391009</v>
      </c>
      <c r="BH60" s="778">
        <v>9.71505194619394</v>
      </c>
      <c r="BI60" s="848">
        <v>9.25020942552141</v>
      </c>
      <c r="BJ60" s="16"/>
      <c r="BK60" s="345" t="str">
        <f ca="1">$K60</f>
        <v>1Q17</v>
      </c>
      <c r="BL60" s="847">
        <f ca="1">AL60</f>
        <v>23.7725</v>
      </c>
      <c r="BM60" s="778">
        <v>11.9331635483082</v>
      </c>
      <c r="BN60" s="778">
        <v>11.0429443217241</v>
      </c>
      <c r="BO60" s="778">
        <v>20.8703264304204</v>
      </c>
      <c r="BP60" s="778">
        <v>17.1616901526493</v>
      </c>
      <c r="BQ60" s="848">
        <v>18.1428389425202</v>
      </c>
      <c r="BR60" s="847">
        <f ca="1">AR60</f>
        <v>20.2878</v>
      </c>
      <c r="BS60" s="778">
        <v>16.8236283371873</v>
      </c>
      <c r="BT60" s="778">
        <v>16.4090568862275</v>
      </c>
      <c r="BU60" s="778">
        <v>13.793318238288</v>
      </c>
      <c r="BV60" s="778">
        <v>16.2845808786291</v>
      </c>
      <c r="BW60" s="848">
        <v>16.7740088736224</v>
      </c>
      <c r="BX60" s="847">
        <f ca="1">AX60</f>
        <v>11.059</v>
      </c>
      <c r="BY60" s="778">
        <v>5.97884227127418</v>
      </c>
      <c r="BZ60" s="778">
        <v>5.09978843482164</v>
      </c>
      <c r="CA60" s="778">
        <v>16.3952157975105</v>
      </c>
      <c r="CB60" s="778">
        <v>12.1321311527739</v>
      </c>
      <c r="CC60" s="848">
        <v>11.1062594072335</v>
      </c>
      <c r="CD60" s="847">
        <f ca="1">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919</v>
      </c>
      <c r="D61" s="16"/>
      <c r="E61" s="724">
        <f t="shared" ref="E61:H61" si="37" ca="1">AVERAGE(E65,E69)</f>
        <v>18.174451528888053</v>
      </c>
      <c r="F61" s="724">
        <f ca="1">AVERAGE(F65,F69)</f>
        <v>15.177675768515218</v>
      </c>
      <c r="G61" s="724">
        <f ca="1">AVERAGE(G65,G69)</f>
        <v>9.103387224716275</v>
      </c>
      <c r="H61" s="724">
        <f ca="1">AVERAGE(H65,H69)</f>
        <v>8.16731017897481</v>
      </c>
      <c r="I61" s="84">
        <f ca="1">IF(I60=4,1,I60+1)</f>
        <v>2</v>
      </c>
      <c r="J61" s="5">
        <f ca="1">IF(I61=1,J60+1,J60)</f>
        <v>2017</v>
      </c>
      <c r="K61" s="345" t="str">
        <f ca="1">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 ca="1">$K61</f>
        <v>2Q17</v>
      </c>
      <c r="AL61" s="847">
        <f ca="1">L61</f>
        <v>23.0797</v>
      </c>
      <c r="AM61" s="778">
        <v>15.9558420569046</v>
      </c>
      <c r="AN61" s="778">
        <v>16.4547250775695</v>
      </c>
      <c r="AO61" s="778">
        <v>15.0718630779208</v>
      </c>
      <c r="AP61" s="778">
        <v>17.1537530266344</v>
      </c>
      <c r="AQ61" s="848">
        <v>20.3243243243243</v>
      </c>
      <c r="AR61" s="847">
        <f ca="1">R61</f>
        <v>20.9674</v>
      </c>
      <c r="AS61" s="778">
        <v>16.6621851752263</v>
      </c>
      <c r="AT61" s="778">
        <v>16.5153565851119</v>
      </c>
      <c r="AU61" s="778">
        <v>14.0478637498165</v>
      </c>
      <c r="AV61" s="778">
        <v>16.4813306967547</v>
      </c>
      <c r="AW61" s="848">
        <v>11.539641943734</v>
      </c>
      <c r="AX61" s="847">
        <f ca="1">X61</f>
        <v>11.0655</v>
      </c>
      <c r="AY61" s="778">
        <v>9.74219912234432</v>
      </c>
      <c r="AZ61" s="778">
        <v>9.83265391921465</v>
      </c>
      <c r="BA61" s="778">
        <v>9.13544206295131</v>
      </c>
      <c r="BB61" s="778">
        <v>10.0301823820195</v>
      </c>
      <c r="BC61" s="848">
        <v>8.55752264300847</v>
      </c>
      <c r="BD61" s="847">
        <f ca="1">AD61</f>
        <v>10.5108</v>
      </c>
      <c r="BE61" s="778">
        <v>9.69462873537993</v>
      </c>
      <c r="BF61" s="778">
        <v>10.0388522239177</v>
      </c>
      <c r="BG61" s="778">
        <v>9.46400162584521</v>
      </c>
      <c r="BH61" s="778">
        <v>9.87431638480709</v>
      </c>
      <c r="BI61" s="848">
        <v>7.56791347800371</v>
      </c>
      <c r="BJ61" s="16"/>
      <c r="BK61" s="345" t="str">
        <f ca="1">$K61</f>
        <v>2Q17</v>
      </c>
      <c r="BL61" s="847">
        <f ca="1">AL61</f>
        <v>23.0797</v>
      </c>
      <c r="BM61" s="778">
        <v>13.2951376349264</v>
      </c>
      <c r="BN61" s="778">
        <v>13.2763337893297</v>
      </c>
      <c r="BO61" s="778">
        <v>23.8012672954539</v>
      </c>
      <c r="BP61" s="778">
        <v>16.3799936683191</v>
      </c>
      <c r="BQ61" s="848">
        <v>16.5919433423949</v>
      </c>
      <c r="BR61" s="847">
        <f ca="1">AR61</f>
        <v>20.9674</v>
      </c>
      <c r="BS61" s="778">
        <v>17.0492462311558</v>
      </c>
      <c r="BT61" s="778">
        <v>17.0952968116963</v>
      </c>
      <c r="BU61" s="778">
        <v>19.7987982155039</v>
      </c>
      <c r="BV61" s="778">
        <v>15.924489582583</v>
      </c>
      <c r="BW61" s="848">
        <v>16.0419378163413</v>
      </c>
      <c r="BX61" s="847">
        <f ca="1">AX61</f>
        <v>11.0655</v>
      </c>
      <c r="BY61" s="778">
        <v>6.31985983894386</v>
      </c>
      <c r="BZ61" s="778">
        <v>4.93598776639412</v>
      </c>
      <c r="CA61" s="778">
        <v>17.3830038396827</v>
      </c>
      <c r="CB61" s="778">
        <v>11.7950653273586</v>
      </c>
      <c r="CC61" s="848">
        <v>10.3600924530421</v>
      </c>
      <c r="CD61" s="847">
        <f ca="1">BD61</f>
        <v>10.5108</v>
      </c>
      <c r="CE61" s="778">
        <v>7.72124573116795</v>
      </c>
      <c r="CF61" s="778">
        <v>9.00796693986612</v>
      </c>
      <c r="CG61" s="778">
        <v>12.531851583217</v>
      </c>
      <c r="CH61" s="778">
        <v>10.499869312052</v>
      </c>
      <c r="CI61" s="848">
        <v>9.63552154678311</v>
      </c>
    </row>
    <row r="62" ht="14.25" customHeight="1" spans="1:87" x14ac:dyDescent="0.25">
      <c r="A62" s="16"/>
      <c r="B62" s="16"/>
      <c r="C62" s="16" t="s">
        <v>920</v>
      </c>
      <c r="D62" s="16"/>
      <c r="E62" s="724">
        <f t="shared" ref="E62:H62" si="38" ca="1">AVERAGE(E66,E70)</f>
        <v>18.375615705208343</v>
      </c>
      <c r="F62" s="724">
        <f ca="1">AVERAGE(F66,F70)</f>
        <v>16.379830180926785</v>
      </c>
      <c r="G62" s="724">
        <f ca="1">AVERAGE(G66,G70)</f>
        <v>10.316037257276058</v>
      </c>
      <c r="H62" s="724">
        <f ca="1">AVERAGE(H66,H70)</f>
        <v>9.791613882469797</v>
      </c>
      <c r="I62" s="84">
        <f ca="1">IF(I61+1=5,1,I61+1)</f>
        <v>3</v>
      </c>
      <c r="J62" s="5">
        <f ca="1">IF(I62=1,J61+1,J61)</f>
        <v>2017</v>
      </c>
      <c r="K62" s="345" t="str">
        <f ca="1">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 ca="1">$K62</f>
        <v>3Q17</v>
      </c>
      <c r="AL62" s="847">
        <f ca="1">L62</f>
        <v>23.7671</v>
      </c>
      <c r="AM62" s="778">
        <v>18.277944487279</v>
      </c>
      <c r="AN62" s="778">
        <v>16.3813996536363</v>
      </c>
      <c r="AO62" s="778">
        <v>17.7732866493109</v>
      </c>
      <c r="AP62" s="778">
        <v>15.9479768786127</v>
      </c>
      <c r="AQ62" s="848">
        <v>20.1666666666667</v>
      </c>
      <c r="AR62" s="847">
        <f ca="1">R62</f>
        <v>23.0634</v>
      </c>
      <c r="AS62" s="778">
        <v>18.2426962337205</v>
      </c>
      <c r="AT62" s="778">
        <v>17.0502414466249</v>
      </c>
      <c r="AU62" s="778">
        <v>16.5320018157059</v>
      </c>
      <c r="AV62" s="778">
        <v>15.6193387681159</v>
      </c>
      <c r="AW62" s="848">
        <v>11.7815789473684</v>
      </c>
      <c r="AX62" s="847">
        <f ca="1">X62</f>
        <v>11.6577</v>
      </c>
      <c r="AY62" s="778">
        <v>10.9794454706282</v>
      </c>
      <c r="AZ62" s="778">
        <v>10.0118264817743</v>
      </c>
      <c r="BA62" s="778">
        <v>10.2252500521374</v>
      </c>
      <c r="BB62" s="778">
        <v>9.40471583009277</v>
      </c>
      <c r="BC62" s="848">
        <v>8.49838859338693</v>
      </c>
      <c r="BD62" s="847">
        <f ca="1">AD62</f>
        <v>11.4338</v>
      </c>
      <c r="BE62" s="778">
        <v>10.5132240979169</v>
      </c>
      <c r="BF62" s="778">
        <v>10.2990498453441</v>
      </c>
      <c r="BG62" s="778">
        <v>10.3206996601051</v>
      </c>
      <c r="BH62" s="778">
        <v>9.32664018346695</v>
      </c>
      <c r="BI62" s="848">
        <v>7.73541989514516</v>
      </c>
      <c r="BJ62" s="16"/>
      <c r="BK62" s="345" t="str">
        <f ca="1">$K62</f>
        <v>3Q17</v>
      </c>
      <c r="BL62" s="847">
        <f ca="1">AL62</f>
        <v>23.7671</v>
      </c>
      <c r="BM62" s="778">
        <v>11.434005530168</v>
      </c>
      <c r="BN62" s="778">
        <v>11.3671274961598</v>
      </c>
      <c r="BO62" s="778">
        <v>23.189227331859</v>
      </c>
      <c r="BP62" s="778">
        <v>14.8601513451196</v>
      </c>
      <c r="BQ62" s="848">
        <v>13.7774932517532</v>
      </c>
      <c r="BR62" s="847">
        <f ca="1">AR62</f>
        <v>23.0634</v>
      </c>
      <c r="BS62" s="778">
        <v>14.0498710232158</v>
      </c>
      <c r="BT62" s="778">
        <v>13.595443689142</v>
      </c>
      <c r="BU62" s="778">
        <v>18.6196315729647</v>
      </c>
      <c r="BV62" s="778">
        <v>14.7657839073638</v>
      </c>
      <c r="BW62" s="848">
        <v>14.3278055063597</v>
      </c>
      <c r="BX62" s="847">
        <f ca="1">AX62</f>
        <v>11.6577</v>
      </c>
      <c r="BY62" s="778">
        <v>5.46453209740034</v>
      </c>
      <c r="BZ62" s="778">
        <v>3.97258403706561</v>
      </c>
      <c r="CA62" s="778">
        <v>17.6965979263424</v>
      </c>
      <c r="CB62" s="778">
        <v>10.3345445475001</v>
      </c>
      <c r="CC62" s="848">
        <v>8.87964254717651</v>
      </c>
      <c r="CD62" s="847">
        <f ca="1">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921</v>
      </c>
      <c r="D63" s="16"/>
      <c r="E63" s="724">
        <f ca="1">AVERAGE(AM8:AQ35)</f>
        <v>19.37217418639285</v>
      </c>
      <c r="F63" s="724">
        <f ca="1">AVERAGE(AS8:AW35)</f>
        <v>16.69867055372992</v>
      </c>
      <c r="G63" s="724">
        <f ca="1">AVERAGE(AY8:BC35)</f>
        <v>9.62343980262861</v>
      </c>
      <c r="H63" s="724">
        <f ca="1">AVERAGE(BE8:BI35)</f>
        <v>8.299118515323439</v>
      </c>
      <c r="I63" s="84">
        <f ca="1">IF(I62=4,1,I62+1)</f>
        <v>4</v>
      </c>
      <c r="J63" s="5">
        <f ca="1">IF(I63=1,J62+1,J62)</f>
        <v>2017</v>
      </c>
      <c r="K63" s="345" t="str">
        <f ca="1">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 ca="1">$K63</f>
        <v>4Q17</v>
      </c>
      <c r="AL63" s="847">
        <f ca="1">L63</f>
        <v>22.8282</v>
      </c>
      <c r="AM63" s="778">
        <v>19.615028752299</v>
      </c>
      <c r="AN63" s="778">
        <v>18.7613513578504</v>
      </c>
      <c r="AO63" s="778">
        <v>20.3668719163684</v>
      </c>
      <c r="AP63" s="778">
        <v>14.7496426411567</v>
      </c>
      <c r="AQ63" s="848">
        <v>17.234896180104</v>
      </c>
      <c r="AR63" s="847">
        <f ca="1">R63</f>
        <v>18.947</v>
      </c>
      <c r="AS63" s="778">
        <v>19.1136343631723</v>
      </c>
      <c r="AT63" s="778">
        <v>19.1607469048102</v>
      </c>
      <c r="AU63" s="778">
        <v>18.625486090338</v>
      </c>
      <c r="AV63" s="778">
        <v>15.184611983197</v>
      </c>
      <c r="AW63" s="848">
        <v>13.1473684210526</v>
      </c>
      <c r="AX63" s="847">
        <f ca="1">X63</f>
        <v>12.1863</v>
      </c>
      <c r="AY63" s="778">
        <v>13.2211502199879</v>
      </c>
      <c r="AZ63" s="778">
        <v>10.8983183864816</v>
      </c>
      <c r="BA63" s="778">
        <v>11.4742241395507</v>
      </c>
      <c r="BB63" s="778">
        <v>9.2205540111037</v>
      </c>
      <c r="BC63" s="848">
        <v>9.31182324640591</v>
      </c>
      <c r="BD63" s="847">
        <f ca="1">AD63</f>
        <v>10.1705</v>
      </c>
      <c r="BE63" s="778">
        <v>11.1083674198787</v>
      </c>
      <c r="BF63" s="778">
        <v>10.8722348425467</v>
      </c>
      <c r="BG63" s="778">
        <v>10.7747774030119</v>
      </c>
      <c r="BH63" s="778">
        <v>9.13900902168595</v>
      </c>
      <c r="BI63" s="848">
        <v>8.28239172079743</v>
      </c>
      <c r="BJ63" s="16"/>
      <c r="BK63" s="345" t="str">
        <f ca="1">$K63</f>
        <v>4Q17</v>
      </c>
      <c r="BL63" s="847">
        <f ca="1">AL63</f>
        <v>22.8282</v>
      </c>
      <c r="BM63" s="778">
        <v>13.0477246062308</v>
      </c>
      <c r="BN63" s="778">
        <v>13.0830374054452</v>
      </c>
      <c r="BO63" s="778">
        <v>30.3985335335335</v>
      </c>
      <c r="BP63" s="778">
        <v>15.1654976430214</v>
      </c>
      <c r="BQ63" s="848">
        <v>16.4267964532346</v>
      </c>
      <c r="BR63" s="847">
        <f ca="1">AR63</f>
        <v>18.947</v>
      </c>
      <c r="BS63" s="778">
        <v>14.8416684865691</v>
      </c>
      <c r="BT63" s="778">
        <v>18.0734597156398</v>
      </c>
      <c r="BU63" s="778">
        <v>23.1577580123743</v>
      </c>
      <c r="BV63" s="778">
        <v>16.1584549974664</v>
      </c>
      <c r="BW63" s="848">
        <v>15.3246131759451</v>
      </c>
      <c r="BX63" s="847">
        <f ca="1">AX63</f>
        <v>12.1863</v>
      </c>
      <c r="BY63" s="778">
        <v>6.33942479775392</v>
      </c>
      <c r="BZ63" s="778">
        <v>5.39930137609857</v>
      </c>
      <c r="CA63" s="778">
        <v>29.4939880182529</v>
      </c>
      <c r="CB63" s="778">
        <v>10.9915068013633</v>
      </c>
      <c r="CC63" s="848">
        <v>10.9432052907012</v>
      </c>
      <c r="CD63" s="847">
        <f ca="1">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922</v>
      </c>
      <c r="D64" s="16"/>
      <c r="E64" s="724">
        <f ca="1">AVERAGE(AM8:AQ19)</f>
        <v>22.394953041679578</v>
      </c>
      <c r="F64" s="724">
        <f ca="1">AVERAGE(AS8:AW19)</f>
        <v>19.063007806196822</v>
      </c>
      <c r="G64" s="724">
        <f ca="1">AVERAGE(AY8:BC19)</f>
        <v>10.384988120065191</v>
      </c>
      <c r="H64" s="724">
        <f ca="1">AVERAGE(BE8:BI19)</f>
      </c>
      <c r="I64" s="84">
        <f ca="1">I60</f>
        <v>1</v>
      </c>
      <c r="J64" s="5">
        <f ca="1">IF(I64=1,J63+1,J63)</f>
        <v>2018</v>
      </c>
      <c r="K64" s="345" t="str">
        <f ca="1">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 ca="1">$K64</f>
        <v>1Q18</v>
      </c>
      <c r="AL64" s="847">
        <f ca="1">L64</f>
        <v>22.6977</v>
      </c>
      <c r="AM64" s="778">
        <v>19.997181435646</v>
      </c>
      <c r="AN64" s="778">
        <v>18.5234169124132</v>
      </c>
      <c r="AO64" s="778">
        <v>20.0561270625894</v>
      </c>
      <c r="AP64" s="778">
        <v>14.1064396750783</v>
      </c>
      <c r="AQ64" s="848">
        <v>17.5591716486648</v>
      </c>
      <c r="AR64" s="847">
        <f ca="1">R64</f>
        <v>19.6452</v>
      </c>
      <c r="AS64" s="778">
        <v>18.771186440678</v>
      </c>
      <c r="AT64" s="778">
        <v>19.3715740015662</v>
      </c>
      <c r="AU64" s="778">
        <v>17.4289368959636</v>
      </c>
      <c r="AV64" s="778">
        <v>14.0337570772353</v>
      </c>
      <c r="AW64" s="848">
        <v>13.0179028132992</v>
      </c>
      <c r="AX64" s="847">
        <f ca="1">X64</f>
        <v>11.7067</v>
      </c>
      <c r="AY64" s="778">
        <v>13.616533231839</v>
      </c>
      <c r="AZ64" s="778">
        <v>11.6710392592365</v>
      </c>
      <c r="BA64" s="778">
        <v>11.2373280992404</v>
      </c>
      <c r="BB64" s="778">
        <v>8.56363917869938</v>
      </c>
      <c r="BC64" s="848">
        <v>9.4807678314934</v>
      </c>
      <c r="BD64" s="847">
        <f ca="1">AD64</f>
        <v>10.1634</v>
      </c>
      <c r="BE64" s="778">
        <v>11.3551193037914</v>
      </c>
      <c r="BF64" s="778">
        <v>11.8464347473426</v>
      </c>
      <c r="BG64" s="778">
        <v>10.6119302617015</v>
      </c>
      <c r="BH64" s="778">
        <v>8.65438152874439</v>
      </c>
      <c r="BI64" s="848">
        <v>8.23791084216744</v>
      </c>
      <c r="BJ64" s="16"/>
      <c r="BK64" s="345" t="str">
        <f ca="1">$K64</f>
        <v>1Q18</v>
      </c>
      <c r="BL64" s="847">
        <f ca="1">AL64</f>
        <v>22.6977</v>
      </c>
      <c r="BM64" s="778">
        <v>19.3842278637006</v>
      </c>
      <c r="BN64" s="778">
        <v>13.9084771978835</v>
      </c>
      <c r="BO64" s="778">
        <v>33.2283092526121</v>
      </c>
      <c r="BP64" s="778">
        <v>16.0444901612988</v>
      </c>
      <c r="BQ64" s="848">
        <v>17.1915824104522</v>
      </c>
      <c r="BR64" s="847">
        <f ca="1">AR64</f>
        <v>19.6452</v>
      </c>
      <c r="BS64" s="778">
        <v>20.9756097560976</v>
      </c>
      <c r="BT64" s="778">
        <v>18.8101636941119</v>
      </c>
      <c r="BU64" s="778">
        <v>20.2774930364963</v>
      </c>
      <c r="BV64" s="778">
        <v>16.1550617991588</v>
      </c>
      <c r="BW64" s="848">
        <v>15.4</v>
      </c>
      <c r="BX64" s="847">
        <f ca="1">AX64</f>
        <v>11.7067</v>
      </c>
      <c r="BY64" s="778">
        <v>8.81085885582038</v>
      </c>
      <c r="BZ64" s="778">
        <v>5.73087440673644</v>
      </c>
      <c r="CA64" s="778">
        <v>31.5176125920062</v>
      </c>
      <c r="CB64" s="778">
        <v>11.8960133684471</v>
      </c>
      <c r="CC64" s="848">
        <v>11.3467411692216</v>
      </c>
      <c r="CD64" s="847">
        <f ca="1">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923</v>
      </c>
      <c r="D65" s="16"/>
      <c r="E65" s="724">
        <f ca="1">AVERAGE(AM16:AQ27)</f>
        <v>19.262472338714346</v>
      </c>
      <c r="F65" s="724">
        <f ca="1">AVERAGE(AS16:AW27)</f>
        <v>17.294949146403418</v>
      </c>
      <c r="G65" s="724">
        <f ca="1">AVERAGE(AY16:BC27)</f>
        <v>9.817765530907938</v>
      </c>
      <c r="H65" s="724">
        <f ca="1">AVERAGE(BE16:BI27)</f>
        <v>8.656236152701716</v>
      </c>
      <c r="I65" s="84">
        <f ca="1">IF(I64=4,1,I64+1)</f>
        <v>2</v>
      </c>
      <c r="J65" s="5">
        <f ca="1">IF(I65=1,J64+1,J64)</f>
        <v>2018</v>
      </c>
      <c r="K65" s="345" t="str">
        <f ca="1">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 ca="1">$K65</f>
        <v>2Q18</v>
      </c>
      <c r="AL65" s="847">
        <f ca="1">L65</f>
        <v>20.0393</v>
      </c>
      <c r="AM65" s="778">
        <v>22.4753291670761</v>
      </c>
      <c r="AN65" s="778">
        <v>20.5933531682246</v>
      </c>
      <c r="AO65" s="778">
        <v>22.0344570609292</v>
      </c>
      <c r="AP65" s="778">
        <v>15.0484698200582</v>
      </c>
      <c r="AQ65" s="848">
        <v>17.710061951419</v>
      </c>
      <c r="AR65" s="847">
        <f ca="1">R65</f>
        <v>17.9493</v>
      </c>
      <c r="AS65" s="778">
        <v>20.9585339076092</v>
      </c>
      <c r="AT65" s="778">
        <v>20.7874310296456</v>
      </c>
      <c r="AU65" s="778">
        <v>19.0193060996083</v>
      </c>
      <c r="AV65" s="778">
        <v>14.6337362059905</v>
      </c>
      <c r="AW65" s="848">
        <v>13.4704370179949</v>
      </c>
      <c r="AX65" s="847">
        <f ca="1">X65</f>
        <v>11.0237</v>
      </c>
      <c r="AY65" s="778">
        <v>14.9640761354733</v>
      </c>
      <c r="AZ65" s="778">
        <v>13.0378810681472</v>
      </c>
      <c r="BA65" s="778">
        <v>13.237373175453</v>
      </c>
      <c r="BB65" s="778">
        <v>9.442933434653</v>
      </c>
      <c r="BC65" s="848">
        <v>9.66265067327401</v>
      </c>
      <c r="BD65" s="847">
        <f ca="1">AD65</f>
        <v>9.6944</v>
      </c>
      <c r="BE65" s="778">
        <v>12.7003470026881</v>
      </c>
      <c r="BF65" s="778">
        <v>13.2737408297492</v>
      </c>
      <c r="BG65" s="778">
        <v>11.9112839944216</v>
      </c>
      <c r="BH65" s="778">
        <v>9.298047334579</v>
      </c>
      <c r="BI65" s="848">
        <v>8.67811593573978</v>
      </c>
      <c r="BJ65" s="16"/>
      <c r="BK65" s="345" t="str">
        <f ca="1">$K65</f>
        <v>2Q18</v>
      </c>
      <c r="BL65" s="847">
        <f ca="1">AL65</f>
        <v>20.0393</v>
      </c>
      <c r="BM65" s="778">
        <v>20.8351025718613</v>
      </c>
      <c r="BN65" s="778">
        <v>15.761428299699</v>
      </c>
      <c r="BO65" s="778">
        <v>32.4832851404415</v>
      </c>
      <c r="BP65" s="778">
        <v>16.1655282015733</v>
      </c>
      <c r="BQ65" s="848">
        <v>17.8036123538146</v>
      </c>
      <c r="BR65" s="847">
        <f ca="1">AR65</f>
        <v>17.9493</v>
      </c>
      <c r="BS65" s="778">
        <v>21.3368983957219</v>
      </c>
      <c r="BT65" s="778">
        <v>20.8168507577704</v>
      </c>
      <c r="BU65" s="778">
        <v>20.1064412438538</v>
      </c>
      <c r="BV65" s="778">
        <v>16.6346587750649</v>
      </c>
      <c r="BW65" s="848">
        <v>15.6780308821281</v>
      </c>
      <c r="BX65" s="847">
        <f ca="1">AX65</f>
        <v>11.0237</v>
      </c>
      <c r="BY65" s="778">
        <v>9.59620619474839</v>
      </c>
      <c r="BZ65" s="778">
        <v>5.11271417938661</v>
      </c>
      <c r="CA65" s="778">
        <v>26.051184266847</v>
      </c>
      <c r="CB65" s="778">
        <v>12.257617505758</v>
      </c>
      <c r="CC65" s="848">
        <v>11.6439186851917</v>
      </c>
      <c r="CD65" s="847">
        <f ca="1">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924</v>
      </c>
      <c r="D66" s="16"/>
      <c r="E66" s="724">
        <f ca="1">AVERAGE(AM24:AQ35)</f>
        <v>17.224511078395345</v>
      </c>
      <c r="F66" s="724">
        <f ca="1">AVERAGE(AS24:AW35)</f>
        <v>14.896640295870613</v>
      </c>
      <c r="G66" s="724">
        <f ca="1">AVERAGE(AY24:BC35)</f>
        <v>8.930783889608419</v>
      </c>
      <c r="H66" s="724">
        <f ca="1">AVERAGE(BE24:BI35)</f>
        <v>8.288132003821932</v>
      </c>
      <c r="I66" s="84">
        <f ca="1">IF(I65+1=5,1,I65+1)</f>
        <v>3</v>
      </c>
      <c r="J66" s="5">
        <f ca="1">IF(I66=1,J65+1,J65)</f>
        <v>2018</v>
      </c>
      <c r="K66" s="345" t="str">
        <f ca="1">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 ca="1">$K66</f>
        <v>3Q18</v>
      </c>
      <c r="AL66" s="847">
        <f ca="1">L66</f>
        <v>19.0098</v>
      </c>
      <c r="AM66" s="778">
        <v>20.2185342524169</v>
      </c>
      <c r="AN66" s="778">
        <v>18.7777991734784</v>
      </c>
      <c r="AO66" s="778">
        <v>19.449682429963</v>
      </c>
      <c r="AP66" s="778">
        <v>16.5720222908439</v>
      </c>
      <c r="AQ66" s="848">
        <v>17.710061951419</v>
      </c>
      <c r="AR66" s="847">
        <f ca="1">R66</f>
        <v>18.037</v>
      </c>
      <c r="AS66" s="778">
        <v>19.8855246785566</v>
      </c>
      <c r="AT66" s="778">
        <v>19.3392389044563</v>
      </c>
      <c r="AU66" s="778">
        <v>18.3909754120508</v>
      </c>
      <c r="AV66" s="778">
        <v>15.9416418370492</v>
      </c>
      <c r="AW66" s="848">
        <v>13.3333333333333</v>
      </c>
      <c r="AX66" s="847">
        <f ca="1">X66</f>
        <v>11.528</v>
      </c>
      <c r="AY66" s="778">
        <v>13.1266307559514</v>
      </c>
      <c r="AZ66" s="778">
        <v>12.3867992139277</v>
      </c>
      <c r="BA66" s="778">
        <v>11.4662626507386</v>
      </c>
      <c r="BB66" s="778">
        <v>10.68778808114</v>
      </c>
      <c r="BC66" s="848">
        <v>9.66678091753156</v>
      </c>
      <c r="BD66" s="847">
        <f ca="1">AD66</f>
        <v>9.8883</v>
      </c>
      <c r="BE66" s="778">
        <v>12.4195386896497</v>
      </c>
      <c r="BF66" s="778">
        <v>12.6633183328757</v>
      </c>
      <c r="BG66" s="778">
        <v>11.5418562781193</v>
      </c>
      <c r="BH66" s="778">
        <v>10.2055491446263</v>
      </c>
      <c r="BI66" s="848">
        <v>8.58308292297046</v>
      </c>
      <c r="BJ66" s="16"/>
      <c r="BK66" s="345" t="str">
        <f ca="1">$K66</f>
        <v>3Q18</v>
      </c>
      <c r="BL66" s="847">
        <f ca="1">AL66</f>
        <v>19.0098</v>
      </c>
      <c r="BM66" s="778">
        <v>25.8159566866585</v>
      </c>
      <c r="BN66" s="778">
        <v>17.0264463502361</v>
      </c>
      <c r="BO66" s="778">
        <v>29.0251668717398</v>
      </c>
      <c r="BP66" s="778">
        <v>16.2119049357539</v>
      </c>
      <c r="BQ66" s="848">
        <v>17.3509445420435</v>
      </c>
      <c r="BR66" s="847">
        <f ca="1">AR66</f>
        <v>18.037</v>
      </c>
      <c r="BS66" s="778">
        <v>25.1758366420873</v>
      </c>
      <c r="BT66" s="778">
        <v>19.871944121071</v>
      </c>
      <c r="BU66" s="778">
        <v>18.9310282367021</v>
      </c>
      <c r="BV66" s="778">
        <v>16.6382797367085</v>
      </c>
      <c r="BW66" s="848">
        <v>15.468940316687</v>
      </c>
      <c r="BX66" s="847">
        <f ca="1">AX66</f>
        <v>11.528</v>
      </c>
      <c r="BY66" s="778">
        <v>12.1990038422253</v>
      </c>
      <c r="BZ66" s="778">
        <v>5.03332491979714</v>
      </c>
      <c r="CA66" s="778">
        <v>24.0965972999172</v>
      </c>
      <c r="CB66" s="778">
        <v>12.3276969312074</v>
      </c>
      <c r="CC66" s="848">
        <v>11.5890282932563</v>
      </c>
      <c r="CD66" s="847">
        <f ca="1">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925</v>
      </c>
      <c r="D67" s="16"/>
      <c r="E67" s="724">
        <f ca="1">AVERAGE(AM36:AQ75)</f>
        <v>16.187707655771675</v>
      </c>
      <c r="F67" s="724">
        <f ca="1">AVERAGE(AS36:AW75)</f>
        <v>13.567451413503498</v>
      </c>
      <c r="G67" s="724">
        <f ca="1">AVERAGE(AY36:BC75)</f>
        <v>8.694266415086647</v>
      </c>
      <c r="H67" s="724">
        <f ca="1">AVERAGE(BE36:BI75)</f>
        <v>8.227833653954802</v>
      </c>
      <c r="I67" s="84">
        <f ca="1">IF(I66=4,1,I66+1)</f>
        <v>4</v>
      </c>
      <c r="J67" s="5">
        <f ca="1">IF(I67=1,J66+1,J66)</f>
        <v>2018</v>
      </c>
      <c r="K67" s="345" t="str">
        <f ca="1">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 ca="1">$K67</f>
        <v>4Q18</v>
      </c>
      <c r="AL67" s="847">
        <f ca="1">L67</f>
        <v>20.4963</v>
      </c>
      <c r="AM67" s="778">
        <v>20.6688097373794</v>
      </c>
      <c r="AN67" s="778">
        <v>15.9005325905884</v>
      </c>
      <c r="AO67" s="778">
        <v>20.3173920023305</v>
      </c>
      <c r="AP67" s="778">
        <v>20.0069524913094</v>
      </c>
      <c r="AQ67" s="848">
        <v>20.5307092900158</v>
      </c>
      <c r="AR67" s="847">
        <f ca="1">R67</f>
        <v>17.7559</v>
      </c>
      <c r="AS67" s="778">
        <v>20.4015998693984</v>
      </c>
      <c r="AT67" s="778">
        <v>19.8956372968349</v>
      </c>
      <c r="AU67" s="778">
        <v>19.1117092866756</v>
      </c>
      <c r="AV67" s="778">
        <v>17.6399673069064</v>
      </c>
      <c r="AW67" s="848">
        <v>14.7506234413965</v>
      </c>
      <c r="AX67" s="847">
        <f ca="1">X67</f>
        <v>11.641</v>
      </c>
      <c r="AY67" s="778">
        <v>12.0747234053077</v>
      </c>
      <c r="AZ67" s="778">
        <v>12.1950184249163</v>
      </c>
      <c r="BA67" s="778">
        <v>11.5692583860062</v>
      </c>
      <c r="BB67" s="778">
        <v>12.9286714914712</v>
      </c>
      <c r="BC67" s="848">
        <v>10.2228268024595</v>
      </c>
      <c r="BD67" s="847">
        <f ca="1">AD67</f>
        <v>10.2113</v>
      </c>
      <c r="BE67" s="778">
        <v>11.8871481239925</v>
      </c>
      <c r="BF67" s="778">
        <v>11.9642585493331</v>
      </c>
      <c r="BG67" s="778">
        <v>11.817655580723</v>
      </c>
      <c r="BH67" s="778">
        <v>11.2019939501488</v>
      </c>
      <c r="BI67" s="848">
        <v>8.84252885876577</v>
      </c>
      <c r="BJ67" s="16"/>
      <c r="BK67" s="345" t="str">
        <f ca="1">$K67</f>
        <v>4Q18</v>
      </c>
      <c r="BL67" s="847">
        <f ca="1">AL67</f>
        <v>20.4963</v>
      </c>
      <c r="BM67" s="778">
        <v>28.0660341670828</v>
      </c>
      <c r="BN67" s="778">
        <v>21.3074203339458</v>
      </c>
      <c r="BO67" s="778">
        <v>26.8891031283749</v>
      </c>
      <c r="BP67" s="778">
        <v>16.4232739479797</v>
      </c>
      <c r="BQ67" s="848">
        <v>17.1725751374574</v>
      </c>
      <c r="BR67" s="847">
        <f ca="1">AR67</f>
        <v>17.7559</v>
      </c>
      <c r="BS67" s="778">
        <v>28.4565817735502</v>
      </c>
      <c r="BT67" s="778">
        <v>23.0824372759857</v>
      </c>
      <c r="BU67" s="778">
        <v>20.3453075954454</v>
      </c>
      <c r="BV67" s="778">
        <v>16.8010938278978</v>
      </c>
      <c r="BW67" s="848">
        <v>16.6116078193666</v>
      </c>
      <c r="BX67" s="847">
        <f ca="1">AX67</f>
        <v>11.641</v>
      </c>
      <c r="BY67" s="778">
        <v>13.7639728827608</v>
      </c>
      <c r="BZ67" s="778">
        <v>7.55049031920011</v>
      </c>
      <c r="CA67" s="778">
        <v>23.1210793402323</v>
      </c>
      <c r="CB67" s="778">
        <v>12.2357248665092</v>
      </c>
      <c r="CC67" s="848">
        <v>10.7451877747124</v>
      </c>
      <c r="CD67" s="847">
        <f ca="1">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926</v>
      </c>
      <c r="D68" s="16"/>
      <c r="E68" s="724">
        <f ca="1">AVERAGE(AM36:AQ51)</f>
        <v>10.627759634939974</v>
      </c>
      <c r="F68" s="724">
        <f ca="1">AVERAGE(AS36:AW51)</f>
        <v>9.435799649405848</v>
      </c>
      <c r="G68" s="724">
        <f ca="1">AVERAGE(AY36:BC51)</f>
        <v>5.631387839905361</v>
      </c>
      <c r="H68" s="724">
        <f ca="1">AVERAGE(BE36:BI51)</f>
        <v>5.4314602700251715</v>
      </c>
      <c r="I68" s="84">
        <f ca="1">I64</f>
        <v>1</v>
      </c>
      <c r="J68" s="5">
        <f ca="1">IF(I68=1,J67+1,J67)</f>
        <v>2019</v>
      </c>
      <c r="K68" s="345" t="str">
        <f ca="1">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 ca="1">$K68</f>
        <v>1Q19</v>
      </c>
      <c r="AL68" s="847">
        <f ca="1">L68</f>
        <v>18.5863</v>
      </c>
      <c r="AM68" s="778">
        <v>21.5919408806849</v>
      </c>
      <c r="AN68" s="778">
        <v>16.3220713054363</v>
      </c>
      <c r="AO68" s="778">
        <v>20.9216903189234</v>
      </c>
      <c r="AP68" s="778">
        <v>20.7308970099668</v>
      </c>
      <c r="AQ68" s="848">
        <v>22.3008972423248</v>
      </c>
      <c r="AR68" s="847">
        <f ca="1">R68</f>
        <v>16.6911</v>
      </c>
      <c r="AS68" s="778">
        <v>21.1090952118009</v>
      </c>
      <c r="AT68" s="778">
        <v>20.0168321831342</v>
      </c>
      <c r="AU68" s="778">
        <v>20.5969746083198</v>
      </c>
      <c r="AV68" s="778">
        <v>19.1940941248847</v>
      </c>
      <c r="AW68" s="848">
        <v>14.7025171624714</v>
      </c>
      <c r="AX68" s="847">
        <f ca="1">X68</f>
        <v>10.719</v>
      </c>
      <c r="AY68" s="778">
        <v>12.2299186581744</v>
      </c>
      <c r="AZ68" s="778">
        <v>12.2332703953318</v>
      </c>
      <c r="BA68" s="778">
        <v>11.5069141760127</v>
      </c>
      <c r="BB68" s="778">
        <v>13.5947942570683</v>
      </c>
      <c r="BC68" s="848">
        <v>11.0410116059098</v>
      </c>
      <c r="BD68" s="847">
        <f ca="1">AD68</f>
        <v>9.4314</v>
      </c>
      <c r="BE68" s="778">
        <v>12.6639328350543</v>
      </c>
      <c r="BF68" s="778">
        <v>12.5960409466614</v>
      </c>
      <c r="BG68" s="778">
        <v>12.3328687695918</v>
      </c>
      <c r="BH68" s="778">
        <v>12.4744740331326</v>
      </c>
      <c r="BI68" s="848">
        <v>9.49871843920386</v>
      </c>
      <c r="BJ68" s="16"/>
      <c r="BK68" s="345" t="str">
        <f ca="1">$K68</f>
        <v>1Q19</v>
      </c>
      <c r="BL68" s="847">
        <f ca="1">AL68</f>
        <v>18.5863</v>
      </c>
      <c r="BM68" s="778">
        <v>23.6974210277568</v>
      </c>
      <c r="BN68" s="778">
        <v>23.5895257824892</v>
      </c>
      <c r="BO68" s="778">
        <v>25.7915588945533</v>
      </c>
      <c r="BP68" s="778">
        <v>17.3070234376427</v>
      </c>
      <c r="BQ68" s="848">
        <v>17.53752845101</v>
      </c>
      <c r="BR68" s="847">
        <f ca="1">AR68</f>
        <v>16.6911</v>
      </c>
      <c r="BS68" s="778">
        <v>29.6168582375479</v>
      </c>
      <c r="BT68" s="778">
        <v>22.7455077308817</v>
      </c>
      <c r="BU68" s="778">
        <v>17.6495944054221</v>
      </c>
      <c r="BV68" s="778">
        <v>16.9873599113953</v>
      </c>
      <c r="BW68" s="848">
        <v>17.1286826438712</v>
      </c>
      <c r="BX68" s="847">
        <f ca="1">AX68</f>
        <v>10.719</v>
      </c>
      <c r="BY68" s="778">
        <v>13.8194579192422</v>
      </c>
      <c r="BZ68" s="778">
        <v>7.99421889014724</v>
      </c>
      <c r="CA68" s="778">
        <v>22.0261974275927</v>
      </c>
      <c r="CB68" s="778">
        <v>13.3849672643896</v>
      </c>
      <c r="CC68" s="848">
        <v>10.5374575768322</v>
      </c>
      <c r="CD68" s="847">
        <f ca="1">BD68</f>
        <v>9.4314</v>
      </c>
      <c r="CE68" s="778">
        <v>10.8109945315616</v>
      </c>
      <c r="CF68" s="778">
        <v>11.5073082924952</v>
      </c>
      <c r="CG68" s="778">
        <v>16.0718960793361</v>
      </c>
      <c r="CH68" s="778">
        <v>11.6798602720559</v>
      </c>
      <c r="CI68" s="848">
        <v>10.218256912726</v>
      </c>
    </row>
    <row r="69" ht="14.25" customHeight="1" spans="1:87" x14ac:dyDescent="0.25">
      <c r="A69" s="16"/>
      <c r="B69" s="16"/>
      <c r="C69" s="16" t="s">
        <v>927</v>
      </c>
      <c r="D69" s="16"/>
      <c r="E69" s="724">
        <f ca="1">AVERAGE(AM48:AQ63)</f>
        <v>17.08643071906176</v>
      </c>
      <c r="F69" s="724">
        <f ca="1">AVERAGE(AS48:AW63)</f>
        <v>13.060402390627019</v>
      </c>
      <c r="G69" s="724">
        <f ca="1">AVERAGE(AY48:BC63)</f>
        <v>8.389008918524613</v>
      </c>
      <c r="H69" s="724">
        <f ca="1">AVERAGE(BE48:BI63)</f>
        <v>7.678384205247906</v>
      </c>
      <c r="I69" s="84">
        <f ca="1">IF(I68=4,1,I68+1)</f>
        <v>2</v>
      </c>
      <c r="J69" s="5">
        <f ca="1">IF(I69=1,J68+1,J68)</f>
        <v>2019</v>
      </c>
      <c r="K69" s="345" t="str">
        <f ca="1">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 ca="1">$K69</f>
        <v>2Q19</v>
      </c>
      <c r="AL69" s="847">
        <f ca="1">L69</f>
        <v>18.0924</v>
      </c>
      <c r="AM69" s="778">
        <v>21.7844169029372</v>
      </c>
      <c r="AN69" s="778">
        <v>17.2500685406486</v>
      </c>
      <c r="AO69" s="778">
        <v>22.1205479452055</v>
      </c>
      <c r="AP69" s="778">
        <v>21.5795206971678</v>
      </c>
      <c r="AQ69" s="848">
        <v>18.7367829520415</v>
      </c>
      <c r="AR69" s="847">
        <f ca="1">R69</f>
        <v>17.7763</v>
      </c>
      <c r="AS69" s="778">
        <v>22.1397240609299</v>
      </c>
      <c r="AT69" s="778">
        <v>20.8148868888348</v>
      </c>
      <c r="AU69" s="778">
        <v>21.5594125500668</v>
      </c>
      <c r="AV69" s="778">
        <v>20.2039775624681</v>
      </c>
      <c r="AW69" s="848">
        <v>14.4305239179954</v>
      </c>
      <c r="AX69" s="847">
        <f ca="1">X69</f>
        <v>10.4598</v>
      </c>
      <c r="AY69" s="778">
        <v>12.0202300603609</v>
      </c>
      <c r="AZ69" s="778">
        <v>12.6144758164482</v>
      </c>
      <c r="BA69" s="778">
        <v>11.7393095004713</v>
      </c>
      <c r="BB69" s="778">
        <v>14.2659952164131</v>
      </c>
      <c r="BC69" s="848">
        <v>10.3526050422766</v>
      </c>
      <c r="BD69" s="847">
        <f ca="1">AD69</f>
        <v>9.8543</v>
      </c>
      <c r="BE69" s="778">
        <v>13.3289772635557</v>
      </c>
      <c r="BF69" s="778">
        <v>13.1897408687117</v>
      </c>
      <c r="BG69" s="778">
        <v>12.8497335792121</v>
      </c>
      <c r="BH69" s="778">
        <v>13.133248032386</v>
      </c>
      <c r="BI69" s="848">
        <v>9.40870102313227</v>
      </c>
      <c r="BJ69" s="16"/>
      <c r="BK69" s="345" t="str">
        <f ca="1">$K69</f>
        <v>2Q19</v>
      </c>
      <c r="BL69" s="847">
        <f ca="1">AL69</f>
        <v>18.0924</v>
      </c>
      <c r="BM69" s="778">
        <v>24.742040170703</v>
      </c>
      <c r="BN69" s="778">
        <v>24.0214920341708</v>
      </c>
      <c r="BO69" s="778">
        <v>23.4933771233793</v>
      </c>
      <c r="BP69" s="778">
        <v>18.0285981640464</v>
      </c>
      <c r="BQ69" s="848">
        <v>18.3791047444912</v>
      </c>
      <c r="BR69" s="847">
        <f ca="1">AR69</f>
        <v>17.7763</v>
      </c>
      <c r="BS69" s="778">
        <v>25.9627929451558</v>
      </c>
      <c r="BT69" s="778">
        <v>19.6392817416177</v>
      </c>
      <c r="BU69" s="778">
        <v>15.870049091687</v>
      </c>
      <c r="BV69" s="778">
        <v>18.0227065984269</v>
      </c>
      <c r="BW69" s="848">
        <v>18.5239684466019</v>
      </c>
      <c r="BX69" s="847">
        <f ca="1">AX69</f>
        <v>10.4598</v>
      </c>
      <c r="BY69" s="778">
        <v>14.3264244041204</v>
      </c>
      <c r="BZ69" s="778">
        <v>7.1606597322999</v>
      </c>
      <c r="CA69" s="778">
        <v>25.6475468440842</v>
      </c>
      <c r="CB69" s="778">
        <v>14.752252083434</v>
      </c>
      <c r="CC69" s="848">
        <v>11.3109397504525</v>
      </c>
      <c r="CD69" s="847">
        <f ca="1">BD69</f>
        <v>9.8543</v>
      </c>
      <c r="CE69" s="778">
        <v>11.112001785687</v>
      </c>
      <c r="CF69" s="778">
        <v>11.7841043437958</v>
      </c>
      <c r="CG69" s="778">
        <v>15.9469374086928</v>
      </c>
      <c r="CH69" s="778">
        <v>12.6190343687216</v>
      </c>
      <c r="CI69" s="848">
        <v>10.944111913627</v>
      </c>
    </row>
    <row r="70" ht="14.25" customHeight="1" spans="1:87" x14ac:dyDescent="0.25">
      <c r="A70" s="16"/>
      <c r="B70" s="16"/>
      <c r="C70" s="16" t="s">
        <v>928</v>
      </c>
      <c r="D70" s="16"/>
      <c r="E70" s="724">
        <f ca="1">AVERAGE(AM60:AQ75)</f>
        <v>19.52672033202134</v>
      </c>
      <c r="F70" s="724">
        <f ca="1">AVERAGE(AS60:AW75)</f>
        <v>17.86302006598296</v>
      </c>
      <c r="G70" s="724">
        <f ca="1">AVERAGE(AY60:BC75)</f>
        <v>11.701290624943695</v>
      </c>
      <c r="H70" s="724">
        <f ca="1">AVERAGE(BE60:BI75)</f>
        <v>11.295095761117661</v>
      </c>
      <c r="I70" s="84">
        <f ca="1">IF(I69+1=5,1,I69+1)</f>
        <v>3</v>
      </c>
      <c r="J70" s="5">
        <f ca="1">IF(I70=1,J69+1,J69)</f>
        <v>2019</v>
      </c>
      <c r="K70" s="345" t="str">
        <f ca="1">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 ca="1">$K70</f>
        <v>3Q19</v>
      </c>
      <c r="AL70" s="847">
        <f ca="1">L70</f>
        <v>20.4988</v>
      </c>
      <c r="AM70" s="778">
        <v>24.2456302934027</v>
      </c>
      <c r="AN70" s="778">
        <v>18.9268554528184</v>
      </c>
      <c r="AO70" s="778">
        <v>25.1117092866756</v>
      </c>
      <c r="AP70" s="778">
        <v>22.0107066381156</v>
      </c>
      <c r="AQ70" s="848">
        <v>18.6776297304092</v>
      </c>
      <c r="AR70" s="847">
        <f ca="1">R70</f>
        <v>20.3905</v>
      </c>
      <c r="AS70" s="778">
        <v>24.5599176824442</v>
      </c>
      <c r="AT70" s="778">
        <v>22.8985276561878</v>
      </c>
      <c r="AU70" s="778">
        <v>24.5758693361433</v>
      </c>
      <c r="AV70" s="778">
        <v>20.9839746861284</v>
      </c>
      <c r="AW70" s="848">
        <v>14.7202797202797</v>
      </c>
      <c r="AX70" s="847">
        <f ca="1">X70</f>
        <v>11.1172</v>
      </c>
      <c r="AY70" s="778">
        <v>12.9700972455721</v>
      </c>
      <c r="AZ70" s="778">
        <v>13.7961004266903</v>
      </c>
      <c r="BA70" s="778">
        <v>12.5893754769231</v>
      </c>
      <c r="BB70" s="778">
        <v>14.538753651645</v>
      </c>
      <c r="BC70" s="848">
        <v>10.3251758897163</v>
      </c>
      <c r="BD70" s="847">
        <f ca="1">AD70</f>
        <v>11.2417</v>
      </c>
      <c r="BE70" s="778">
        <v>14.4037001752278</v>
      </c>
      <c r="BF70" s="778">
        <v>14.5728760844369</v>
      </c>
      <c r="BG70" s="778">
        <v>14.6792074636279</v>
      </c>
      <c r="BH70" s="778">
        <v>13.6358243911247</v>
      </c>
      <c r="BI70" s="848">
        <v>9.46012259866141</v>
      </c>
      <c r="BJ70" s="16"/>
      <c r="BK70" s="345" t="str">
        <f ca="1">$K70</f>
        <v>3Q19</v>
      </c>
      <c r="BL70" s="847">
        <f ca="1">AL70</f>
        <v>20.4988</v>
      </c>
      <c r="BM70" s="778">
        <v>22.9110920659941</v>
      </c>
      <c r="BN70" s="778">
        <v>22.684546980981</v>
      </c>
      <c r="BO70" s="778">
        <v>23.0472722740321</v>
      </c>
      <c r="BP70" s="778">
        <v>18.5624804884841</v>
      </c>
      <c r="BQ70" s="848">
        <v>17.196000181915</v>
      </c>
      <c r="BR70" s="847">
        <f ca="1">AR70</f>
        <v>20.3905</v>
      </c>
      <c r="BS70" s="778">
        <v>24.1967403958091</v>
      </c>
      <c r="BT70" s="778">
        <v>19.2504598405886</v>
      </c>
      <c r="BU70" s="778">
        <v>14.9761977139175</v>
      </c>
      <c r="BV70" s="778">
        <v>19.154446768158</v>
      </c>
      <c r="BW70" s="848">
        <v>17.6816450875857</v>
      </c>
      <c r="BX70" s="847">
        <f ca="1">AX70</f>
        <v>11.1172</v>
      </c>
      <c r="BY70" s="778">
        <v>13.6676931552284</v>
      </c>
      <c r="BZ70" s="778">
        <v>7.45034129457223</v>
      </c>
      <c r="CA70" s="778">
        <v>30.1140879312756</v>
      </c>
      <c r="CB70" s="778">
        <v>15.5163968058044</v>
      </c>
      <c r="CC70" s="848">
        <v>11.1544756048268</v>
      </c>
      <c r="CD70" s="847">
        <f ca="1">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 ca="1">IF(I70=4,1,I70+1)</f>
        <v>4</v>
      </c>
      <c r="J71" s="5">
        <f ca="1">IF(I71=1,J70+1,J70)</f>
        <v>2019</v>
      </c>
      <c r="K71" s="345" t="str">
        <f ca="1">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 ca="1">$K71</f>
        <v>4Q19</v>
      </c>
      <c r="AL71" s="847">
        <f ca="1">L71</f>
        <v>19.7102</v>
      </c>
      <c r="AM71" s="778">
        <v>24.5982132219553</v>
      </c>
      <c r="AN71" s="778">
        <v>21.8626218691042</v>
      </c>
      <c r="AO71" s="778">
        <v>24.9480221869395</v>
      </c>
      <c r="AP71" s="778">
        <v>21.303664921466</v>
      </c>
      <c r="AQ71" s="848">
        <v>22.0380377300437</v>
      </c>
      <c r="AR71" s="847">
        <f ca="1">R71</f>
        <v>15.9545</v>
      </c>
      <c r="AS71" s="778">
        <v>24.5001526251526</v>
      </c>
      <c r="AT71" s="778">
        <v>23.2895735316436</v>
      </c>
      <c r="AU71" s="778">
        <v>24.6166950596252</v>
      </c>
      <c r="AV71" s="778">
        <v>20.70737913486</v>
      </c>
      <c r="AW71" s="848">
        <v>13.4192037470726</v>
      </c>
      <c r="AX71" s="847">
        <f ca="1">X71</f>
        <v>10.9166</v>
      </c>
      <c r="AY71" s="778">
        <v>13.0409382554541</v>
      </c>
      <c r="AZ71" s="778">
        <v>15.5527575607632</v>
      </c>
      <c r="BA71" s="778">
        <v>11.8107075820958</v>
      </c>
      <c r="BB71" s="778">
        <v>13.2019857913941</v>
      </c>
      <c r="BC71" s="848">
        <v>9.3627293419853</v>
      </c>
      <c r="BD71" s="847">
        <f ca="1">AD71</f>
        <v>10.8542</v>
      </c>
      <c r="BE71" s="778">
        <v>14.3633208455077</v>
      </c>
      <c r="BF71" s="778">
        <v>13.5977377549885</v>
      </c>
      <c r="BG71" s="778">
        <v>13.6092786505394</v>
      </c>
      <c r="BH71" s="778">
        <v>12.6617017462373</v>
      </c>
      <c r="BI71" s="848">
        <v>8.08378705222728</v>
      </c>
      <c r="BJ71" s="16"/>
      <c r="BK71" s="345" t="str">
        <f ca="1">$K71</f>
        <v>4Q19</v>
      </c>
      <c r="BL71" s="847">
        <f ca="1">AL71</f>
        <v>19.7102</v>
      </c>
      <c r="BM71" s="778">
        <v>22.9411991646364</v>
      </c>
      <c r="BN71" s="778">
        <v>25.1826307908707</v>
      </c>
      <c r="BO71" s="778">
        <v>742.467994422803</v>
      </c>
      <c r="BP71" s="778">
        <v>51.5397345560592</v>
      </c>
      <c r="BQ71" s="848">
        <v>18.7735294559135</v>
      </c>
      <c r="BR71" s="847">
        <f ca="1">AR71</f>
        <v>15.9545</v>
      </c>
      <c r="BS71" s="778">
        <v>24.4120836560806</v>
      </c>
      <c r="BT71" s="778">
        <v>19.3150684931507</v>
      </c>
      <c r="BU71" s="778">
        <v>15.7500816244131</v>
      </c>
      <c r="BV71" s="778">
        <v>20.6897066816639</v>
      </c>
      <c r="BW71" s="848">
        <v>19.2529429520072</v>
      </c>
      <c r="BX71" s="847">
        <f ca="1">AX71</f>
        <v>10.9166</v>
      </c>
      <c r="BY71" s="778">
        <v>12.8627005385798</v>
      </c>
      <c r="BZ71" s="778">
        <v>8.35257679501803</v>
      </c>
      <c r="CA71" s="778">
        <v>24.2403751473379</v>
      </c>
      <c r="CB71" s="778">
        <v>16.7295227167314</v>
      </c>
      <c r="CC71" s="848">
        <v>11.7565902366369</v>
      </c>
      <c r="CD71" s="847">
        <f ca="1">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 ca="1">Comparables!S90</f>
        <v>Cap. Goods Peer Group</v>
      </c>
      <c r="D72" s="110"/>
      <c r="E72" s="110"/>
      <c r="F72" s="110"/>
      <c r="G72" s="110"/>
      <c r="H72" s="111"/>
      <c r="I72" s="84">
        <f ca="1">I68</f>
        <v>1</v>
      </c>
      <c r="J72" s="5">
        <f ca="1">IF(I72=1,J71+1,J71)</f>
        <v>2020</v>
      </c>
      <c r="K72" s="345" t="str">
        <f ca="1">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 ca="1">$K72</f>
        <v>1Q20</v>
      </c>
      <c r="AL72" s="847">
        <f ca="1">L72</f>
        <v>20.7337</v>
      </c>
      <c r="AM72" s="778">
        <v>24.1509383260948</v>
      </c>
      <c r="AN72" s="778">
        <v>22.0227858117546</v>
      </c>
      <c r="AO72" s="778">
        <v>26.9786634548615</v>
      </c>
      <c r="AP72" s="778">
        <v>22.7263374485597</v>
      </c>
      <c r="AQ72" s="848">
        <v>22.3611084402223</v>
      </c>
      <c r="AR72" s="847">
        <f ca="1">R72</f>
        <v>17.539</v>
      </c>
      <c r="AS72" s="778">
        <v>21.6760744066709</v>
      </c>
      <c r="AT72" s="778">
        <v>22.4139702105804</v>
      </c>
      <c r="AU72" s="778">
        <v>22.2540730047432</v>
      </c>
      <c r="AV72" s="778">
        <v>19.7144132083891</v>
      </c>
      <c r="AW72" s="848">
        <v>13.3655172413793</v>
      </c>
      <c r="AX72" s="847">
        <f ca="1">X72</f>
        <v>11.4662</v>
      </c>
      <c r="AY72" s="778">
        <v>13.1406935347941</v>
      </c>
      <c r="AZ72" s="778">
        <v>17.7530299203028</v>
      </c>
      <c r="BA72" s="778">
        <v>13.3347745275671</v>
      </c>
      <c r="BB72" s="778">
        <v>14.6630133422256</v>
      </c>
      <c r="BC72" s="848">
        <v>9.50060170826765</v>
      </c>
      <c r="BD72" s="847">
        <f ca="1">AD72</f>
        <v>11.3381</v>
      </c>
      <c r="BE72" s="778">
        <v>13.4225475232659</v>
      </c>
      <c r="BF72" s="778">
        <v>15.691728942063</v>
      </c>
      <c r="BG72" s="778">
        <v>13.1858626537768</v>
      </c>
      <c r="BH72" s="778">
        <v>14.2275973172747</v>
      </c>
      <c r="BI72" s="848">
        <v>8.7443957905331</v>
      </c>
      <c r="BJ72" s="16"/>
      <c r="BK72" s="345" t="str">
        <f ca="1">$K72</f>
        <v>1Q20</v>
      </c>
      <c r="BL72" s="847">
        <f ca="1">AL72</f>
        <v>20.7337</v>
      </c>
      <c r="BM72" s="778">
        <v>17.5267411238021</v>
      </c>
      <c r="BN72" s="778">
        <v>22.2618223649331</v>
      </c>
      <c r="BO72" s="778">
        <v>649.507211629073</v>
      </c>
      <c r="BP72" s="778">
        <v>42.8914940993145</v>
      </c>
      <c r="BQ72" s="848">
        <v>17.7342126112493</v>
      </c>
      <c r="BR72" s="847">
        <f ca="1">AR72</f>
        <v>17.539</v>
      </c>
      <c r="BS72" s="778">
        <v>16.1123865748333</v>
      </c>
      <c r="BT72" s="778">
        <v>16.481324278438</v>
      </c>
      <c r="BU72" s="778">
        <v>13.6540241011591</v>
      </c>
      <c r="BV72" s="778">
        <v>17.3537435803074</v>
      </c>
      <c r="BW72" s="848">
        <v>17.7736968498375</v>
      </c>
      <c r="BX72" s="847">
        <f ca="1">AX72</f>
        <v>11.4662</v>
      </c>
      <c r="BY72" s="778">
        <v>9.86145266460381</v>
      </c>
      <c r="BZ72" s="778">
        <v>8.91440884436263</v>
      </c>
      <c r="CA72" s="778"/>
      <c r="CB72" s="778">
        <v>15.2716598940273</v>
      </c>
      <c r="CC72" s="848">
        <v>11.9371984794053</v>
      </c>
      <c r="CD72" s="847">
        <f ca="1">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915</v>
      </c>
      <c r="D73" s="846"/>
      <c r="E73" s="846"/>
      <c r="F73" s="846"/>
      <c r="G73" s="846"/>
      <c r="H73" s="846"/>
      <c r="I73" s="84">
        <f ca="1">IF(I72=4,1,I72+1)</f>
        <v>2</v>
      </c>
      <c r="J73" s="5">
        <f ca="1">IF(I73=1,J72+1,J72)</f>
        <v>2020</v>
      </c>
      <c r="K73" s="345" t="str">
        <f ca="1">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 ca="1">$K73</f>
        <v>2Q20</v>
      </c>
      <c r="AL73" s="847">
        <f ca="1">L73</f>
        <v>21.4403</v>
      </c>
      <c r="AM73" s="778">
        <v>19.6597714281227</v>
      </c>
      <c r="AN73" s="778">
        <v>17.897159906267</v>
      </c>
      <c r="AO73" s="778">
        <v>22.5695103649992</v>
      </c>
      <c r="AP73" s="778">
        <v>18.5036143640697</v>
      </c>
      <c r="AQ73" s="848">
        <v>28.2439248051353</v>
      </c>
      <c r="AR73" s="847">
        <f ca="1">R73</f>
        <v>22.3038</v>
      </c>
      <c r="AS73" s="778">
        <v>18.4068535825545</v>
      </c>
      <c r="AT73" s="778">
        <v>18.7006199100523</v>
      </c>
      <c r="AU73" s="778">
        <v>19.4875416120246</v>
      </c>
      <c r="AV73" s="778">
        <v>16.7891560839413</v>
      </c>
      <c r="AW73" s="848">
        <v>14.9032258064516</v>
      </c>
      <c r="AX73" s="847">
        <f ca="1">X73</f>
        <v>13.5961</v>
      </c>
      <c r="AY73" s="778">
        <v>11.7060983861026</v>
      </c>
      <c r="AZ73" s="778">
        <v>18.2101294010831</v>
      </c>
      <c r="BA73" s="778">
        <v>11.7567860040568</v>
      </c>
      <c r="BB73" s="778">
        <v>14.219845002532</v>
      </c>
      <c r="BC73" s="848">
        <v>11.6540606664239</v>
      </c>
      <c r="BD73" s="847">
        <f ca="1">AD73</f>
        <v>13.8093</v>
      </c>
      <c r="BE73" s="778">
        <v>11.8571842051646</v>
      </c>
      <c r="BF73" s="778">
        <v>15.8835936734414</v>
      </c>
      <c r="BG73" s="778">
        <v>11.2725510514067</v>
      </c>
      <c r="BH73" s="778">
        <v>13.1408227441087</v>
      </c>
      <c r="BI73" s="848">
        <v>10.252465604512</v>
      </c>
      <c r="BJ73" s="16"/>
      <c r="BK73" s="345" t="str">
        <f ca="1">$K73</f>
        <v>2Q20</v>
      </c>
      <c r="BL73" s="847">
        <f ca="1">AL73</f>
        <v>21.4403</v>
      </c>
      <c r="BM73" s="778">
        <v>13.7596348884381</v>
      </c>
      <c r="BN73" s="778">
        <v>17.5804740540875</v>
      </c>
      <c r="BO73" s="778">
        <v>666.371271278196</v>
      </c>
      <c r="BP73" s="778">
        <v>37.9065386167391</v>
      </c>
      <c r="BQ73" s="848">
        <v>17.3187216863556</v>
      </c>
      <c r="BR73" s="847">
        <f ca="1">AR73</f>
        <v>22.3038</v>
      </c>
      <c r="BS73" s="778">
        <v>12.5249261447563</v>
      </c>
      <c r="BT73" s="778">
        <v>14.5337353155214</v>
      </c>
      <c r="BU73" s="778">
        <v>13.9771704636752</v>
      </c>
      <c r="BV73" s="778">
        <v>17.160752720791</v>
      </c>
      <c r="BW73" s="848">
        <v>17.5161109554497</v>
      </c>
      <c r="BX73" s="847">
        <f ca="1">AX73</f>
        <v>13.5961</v>
      </c>
      <c r="BY73" s="778">
        <v>8.15101099180971</v>
      </c>
      <c r="BZ73" s="778">
        <v>7.56118596743218</v>
      </c>
      <c r="CA73" s="778"/>
      <c r="CB73" s="778">
        <v>14.7275249455244</v>
      </c>
      <c r="CC73" s="848">
        <v>10.9446678157627</v>
      </c>
      <c r="CD73" s="847">
        <f ca="1">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910</v>
      </c>
      <c r="F74" s="84" t="s">
        <v>911</v>
      </c>
      <c r="G74" s="84" t="s">
        <v>912</v>
      </c>
      <c r="H74" s="84" t="s">
        <v>913</v>
      </c>
      <c r="I74" s="84">
        <f ca="1">IF(I73+1=5,1,I73+1)</f>
        <v>3</v>
      </c>
      <c r="J74" s="5">
        <f ca="1">IF(I74=1,J73+1,J73)</f>
        <v>2020</v>
      </c>
      <c r="K74" s="345" t="str">
        <f ca="1">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 ca="1">$K74</f>
        <v>3Q20</v>
      </c>
      <c r="AL74" s="847">
        <f ca="1">L74</f>
        <v>16.8606</v>
      </c>
      <c r="AM74" s="778">
        <v>20.5352447802246</v>
      </c>
      <c r="AN74" s="778">
        <v>15.8189298015738</v>
      </c>
      <c r="AO74" s="778">
        <v>23.3795868128089</v>
      </c>
      <c r="AP74" s="778">
        <v>19.6012197335797</v>
      </c>
      <c r="AQ74" s="848">
        <v>27.5015829348704</v>
      </c>
      <c r="AR74" s="847">
        <f ca="1">R74</f>
        <v>17.927</v>
      </c>
      <c r="AS74" s="778">
        <v>20.2398642719242</v>
      </c>
      <c r="AT74" s="778">
        <v>18.7604185139209</v>
      </c>
      <c r="AU74" s="778">
        <v>20.7677620339664</v>
      </c>
      <c r="AV74" s="778">
        <v>18.4233261339093</v>
      </c>
      <c r="AW74" s="848">
        <v>14.6806526806527</v>
      </c>
      <c r="AX74" s="847">
        <f ca="1">X74</f>
        <v>12.0673</v>
      </c>
      <c r="AY74" s="778">
        <v>13.0649532302836</v>
      </c>
      <c r="AZ74" s="778">
        <v>16.5122274222826</v>
      </c>
      <c r="BA74" s="778">
        <v>12.5234131462926</v>
      </c>
      <c r="BB74" s="778">
        <v>14.6980062164592</v>
      </c>
      <c r="BC74" s="848">
        <v>11.3790542079959</v>
      </c>
      <c r="BD74" s="847">
        <f ca="1">AD74</f>
        <v>11.5529</v>
      </c>
      <c r="BE74" s="778">
        <v>13.2572136445254</v>
      </c>
      <c r="BF74" s="778">
        <v>16.3477708057932</v>
      </c>
      <c r="BG74" s="778">
        <v>12.1225667507274</v>
      </c>
      <c r="BH74" s="778">
        <v>13.9077997746548</v>
      </c>
      <c r="BI74" s="848">
        <v>10.0727315724473</v>
      </c>
      <c r="BJ74" s="16"/>
      <c r="BK74" s="345" t="str">
        <f ca="1">$K74</f>
        <v>3Q20</v>
      </c>
      <c r="BL74" s="847">
        <f ca="1">AL74</f>
        <v>16.8606</v>
      </c>
      <c r="BM74" s="778">
        <v>13.9515096065874</v>
      </c>
      <c r="BN74" s="778">
        <v>17.179660415722</v>
      </c>
      <c r="BO74" s="778"/>
      <c r="BP74" s="778">
        <v>39.4152294902726</v>
      </c>
      <c r="BQ74" s="848">
        <v>18.420867479112</v>
      </c>
      <c r="BR74" s="847">
        <f ca="1">AR74</f>
        <v>17.927</v>
      </c>
      <c r="BS74" s="778">
        <v>13.1434235476642</v>
      </c>
      <c r="BT74" s="778">
        <v>15.7926252757643</v>
      </c>
      <c r="BU74" s="778">
        <v>11.5207306857749</v>
      </c>
      <c r="BV74" s="778">
        <v>19.5772945706592</v>
      </c>
      <c r="BW74" s="848">
        <v>19.3481871021312</v>
      </c>
      <c r="BX74" s="847">
        <f ca="1">AX74</f>
        <v>12.0673</v>
      </c>
      <c r="BY74" s="778">
        <v>8.64752299415454</v>
      </c>
      <c r="BZ74" s="778">
        <v>7.56630329639244</v>
      </c>
      <c r="CA74" s="778"/>
      <c r="CB74" s="778">
        <v>16.3985899726758</v>
      </c>
      <c r="CC74" s="848">
        <v>13.0317764934829</v>
      </c>
      <c r="CD74" s="847">
        <f ca="1">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884</v>
      </c>
      <c r="D75" s="16"/>
      <c r="E75" s="724">
        <f ca="1">AVERAGE(BM81:BQ86)</f>
        <v>15.683339457774522</v>
      </c>
      <c r="F75" s="724">
        <f ca="1">AVERAGE(BS81:BW86)</f>
        <v>16.168745623234717</v>
      </c>
      <c r="G75" s="724">
        <f ca="1">AVERAGE(BY81:CC86)</f>
        <v>10.768373282856134</v>
      </c>
      <c r="H75" s="724">
        <f ca="1">AVERAGE(CE81:CI86)</f>
        <v>11.620890184734101</v>
      </c>
      <c r="I75" s="84">
        <f ca="1">IF(I74=4,1,I74+1)</f>
        <v>4</v>
      </c>
      <c r="J75" s="5">
        <f ca="1">IF(I75=1,J74+1,J74)</f>
        <v>2020</v>
      </c>
      <c r="K75" s="345" t="str">
        <f ca="1">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 ca="1">$K75</f>
        <v>4Q20</v>
      </c>
      <c r="AL75" s="847">
        <f ca="1">L75</f>
        <v>19.0572</v>
      </c>
      <c r="AM75" s="778">
        <v>14.4221283831607</v>
      </c>
      <c r="AN75" s="778">
        <v>10.8122994961928</v>
      </c>
      <c r="AO75" s="778">
        <v>15.6007113151191</v>
      </c>
      <c r="AP75" s="778">
        <v>13.7731368724422</v>
      </c>
      <c r="AQ75" s="848">
        <v>14.6417832875778</v>
      </c>
      <c r="AR75" s="847">
        <f ca="1">R75</f>
        <v>18.0554</v>
      </c>
      <c r="AS75" s="778">
        <v>14.8865768377963</v>
      </c>
      <c r="AT75" s="778">
        <v>12.8079075362167</v>
      </c>
      <c r="AU75" s="778">
        <v>15.1771575613618</v>
      </c>
      <c r="AV75" s="778">
        <v>14.1033461918005</v>
      </c>
      <c r="AW75" s="848">
        <v>10.7540983606557</v>
      </c>
      <c r="AX75" s="847">
        <f ca="1">X75</f>
        <v>18.3811</v>
      </c>
      <c r="AY75" s="778">
        <v>10.34267476703</v>
      </c>
      <c r="AZ75" s="778">
        <v>12.1148132616025</v>
      </c>
      <c r="BA75" s="778">
        <v>9.03738404817861</v>
      </c>
      <c r="BB75" s="778">
        <v>11.1133530619828</v>
      </c>
      <c r="BC75" s="848">
        <v>8.3832981092452</v>
      </c>
      <c r="BD75" s="847">
        <f ca="1">AD75</f>
        <v>12.472</v>
      </c>
      <c r="BE75" s="778">
        <v>9.75558167960826</v>
      </c>
      <c r="BF75" s="778">
        <v>11.0823430725226</v>
      </c>
      <c r="BG75" s="778">
        <v>8.69455203771838</v>
      </c>
      <c r="BH75" s="778">
        <v>10.407686029648</v>
      </c>
      <c r="BI75" s="848">
        <v>6.865640275054</v>
      </c>
      <c r="BJ75" s="16"/>
      <c r="BK75" s="345" t="str">
        <f ca="1">$K75</f>
        <v>4Q20</v>
      </c>
      <c r="BL75" s="847">
        <f ca="1">AL75</f>
        <v>19.0572</v>
      </c>
      <c r="BM75" s="778">
        <v>11.1878312459125</v>
      </c>
      <c r="BN75" s="778">
        <v>15.8605218246713</v>
      </c>
      <c r="BO75" s="778">
        <v>13.074326127188</v>
      </c>
      <c r="BP75" s="778">
        <v>14.3644481864395</v>
      </c>
      <c r="BQ75" s="848">
        <v>13.5962086905669</v>
      </c>
      <c r="BR75" s="847">
        <f ca="1">AR75</f>
        <v>18.0554</v>
      </c>
      <c r="BS75" s="778">
        <v>10.9166666666667</v>
      </c>
      <c r="BT75" s="778">
        <v>13.0018303843807</v>
      </c>
      <c r="BU75" s="778">
        <v>10.3656311937322</v>
      </c>
      <c r="BV75" s="778">
        <v>16.5294632803703</v>
      </c>
      <c r="BW75" s="848">
        <v>14.8943908238915</v>
      </c>
      <c r="BX75" s="847">
        <f ca="1">AX75</f>
        <v>18.3811</v>
      </c>
      <c r="BY75" s="778">
        <v>6.87881904030835</v>
      </c>
      <c r="BZ75" s="778">
        <v>7.01023473851751</v>
      </c>
      <c r="CA75" s="778"/>
      <c r="CB75" s="778">
        <v>13.2075042312185</v>
      </c>
      <c r="CC75" s="848">
        <v>12.1601264994065</v>
      </c>
      <c r="CD75" s="847">
        <f ca="1">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886</v>
      </c>
      <c r="D76" s="16"/>
      <c r="E76" s="724">
        <f ca="1">AVERAGE(BM77:BQ86)</f>
        <v>15.757842039857469</v>
      </c>
      <c r="F76" s="724">
        <f ca="1">AVERAGE(BS77:BW86)</f>
        <v>16.211283525086312</v>
      </c>
      <c r="G76" s="724">
        <f ca="1">AVERAGE(BY77:CC86)</f>
        <v>10.797620950823877</v>
      </c>
      <c r="H76" s="724">
        <f ca="1">AVERAGE(CE77:CI86)</f>
        <v>11.601419698040905</v>
      </c>
      <c r="I76" s="84">
        <f ca="1">I72</f>
        <v>1</v>
      </c>
      <c r="J76" s="5">
        <f ca="1">IF(I76=1,J75+1,J75)</f>
        <v>2021</v>
      </c>
      <c r="K76" s="345" t="str">
        <f ca="1">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 ca="1">$K76</f>
        <v>1Q21</v>
      </c>
      <c r="AL76" s="847">
        <f ca="1">L76</f>
        <v>17.4925</v>
      </c>
      <c r="AM76" s="778">
        <v>15.0141768323488</v>
      </c>
      <c r="AN76" s="778">
        <v>11.762100009524</v>
      </c>
      <c r="AO76" s="778">
        <v>17.508231022493</v>
      </c>
      <c r="AP76" s="778">
        <v>14.9484539723962</v>
      </c>
      <c r="AQ76" s="848">
        <v>15.3815249519327</v>
      </c>
      <c r="AR76" s="847">
        <f ca="1">R76</f>
        <v>18.0842</v>
      </c>
      <c r="AS76" s="778">
        <v>15.4657873042045</v>
      </c>
      <c r="AT76" s="778">
        <v>14.2096663679966</v>
      </c>
      <c r="AU76" s="778">
        <v>15.6938458886399</v>
      </c>
      <c r="AV76" s="778">
        <v>14.4436860068259</v>
      </c>
      <c r="AW76" s="848">
        <v>10.8648648648649</v>
      </c>
      <c r="AX76" s="847">
        <f ca="1">X76</f>
        <v>15.8529</v>
      </c>
      <c r="AY76" s="778">
        <v>10.6573226693313</v>
      </c>
      <c r="AZ76" s="778">
        <v>11.9267964065934</v>
      </c>
      <c r="BA76" s="778">
        <v>10.5195834978257</v>
      </c>
      <c r="BB76" s="778">
        <v>11.1280202944651</v>
      </c>
      <c r="BC76" s="848">
        <v>8.79239651976119</v>
      </c>
      <c r="BD76" s="847">
        <f ca="1">AD76</f>
        <v>11.9975</v>
      </c>
      <c r="BE76" s="778">
        <v>10.7614328987076</v>
      </c>
      <c r="BF76" s="778">
        <v>12.3090957616733</v>
      </c>
      <c r="BG76" s="778">
        <v>10.5491686402801</v>
      </c>
      <c r="BH76" s="778">
        <v>11.7553981851193</v>
      </c>
      <c r="BI76" s="848">
        <v>7.10118619238793</v>
      </c>
      <c r="BJ76" s="16"/>
      <c r="BK76" s="345" t="str">
        <f ca="1">$K76</f>
        <v>1Q21</v>
      </c>
      <c r="BL76" s="847">
        <f ca="1">AL76</f>
        <v>17.4925</v>
      </c>
      <c r="BM76" s="778">
        <v>11.7349442544677</v>
      </c>
      <c r="BN76" s="778">
        <v>16.6874232849898</v>
      </c>
      <c r="BO76" s="778">
        <v>16.2847068834266</v>
      </c>
      <c r="BP76" s="778">
        <v>17.6336803738979</v>
      </c>
      <c r="BQ76" s="848">
        <v>16.5229079241118</v>
      </c>
      <c r="BR76" s="847">
        <f ca="1">AR76</f>
        <v>18.0842</v>
      </c>
      <c r="BS76" s="778">
        <v>11.0082872928177</v>
      </c>
      <c r="BT76" s="778">
        <v>14.28418230563</v>
      </c>
      <c r="BU76" s="778">
        <v>18.0978260869565</v>
      </c>
      <c r="BV76" s="778">
        <v>19.9272727272727</v>
      </c>
      <c r="BW76" s="848">
        <v>16.362828488003</v>
      </c>
      <c r="BX76" s="847">
        <f ca="1">AX76</f>
        <v>15.8529</v>
      </c>
      <c r="BY76" s="778">
        <v>6.9750558793406</v>
      </c>
      <c r="BZ76" s="778">
        <v>7.30111782573552</v>
      </c>
      <c r="CA76" s="778"/>
      <c r="CB76" s="778">
        <v>15.4025408311834</v>
      </c>
      <c r="CC76" s="848">
        <v>12.8108272529198</v>
      </c>
      <c r="CD76" s="847">
        <f ca="1">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881</v>
      </c>
      <c r="D77" s="16"/>
      <c r="E77" s="724">
        <f ca="1">AVERAGE(BM73:BQ86)</f>
        <v>26.530528095386988</v>
      </c>
      <c r="F77" s="724">
        <f ca="1">AVERAGE(BS73:BW86)</f>
        <v>15.846016840935276</v>
      </c>
      <c r="G77" s="724">
        <f ca="1">AVERAGE(BY73:CC86)</f>
        <v>10.720945442413932</v>
      </c>
      <c r="H77" s="724">
        <f ca="1">AVERAGE(CE73:CI86)</f>
        <v>11.2817955771977</v>
      </c>
      <c r="I77" s="84">
        <f ca="1">IF(I76=4,1,I76+1)</f>
        <v>2</v>
      </c>
      <c r="J77" s="5">
        <f ca="1">IF(I77=1,J76+1,J76)</f>
        <v>2021</v>
      </c>
      <c r="K77" s="345" t="str">
        <f ca="1">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 ca="1">$K77</f>
        <v>2Q21</v>
      </c>
      <c r="AL77" s="847">
        <f ca="1">L77</f>
        <v>19.4823</v>
      </c>
      <c r="AM77" s="778">
        <v>17.3634726868954</v>
      </c>
      <c r="AN77" s="778">
        <v>13.7604420785299</v>
      </c>
      <c r="AO77" s="778">
        <v>15.9963201471941</v>
      </c>
      <c r="AP77" s="778">
        <v>16.1045172719221</v>
      </c>
      <c r="AQ77" s="848">
        <v>11.9194558530206</v>
      </c>
      <c r="AR77" s="847">
        <f ca="1">R77</f>
        <v>19.4276</v>
      </c>
      <c r="AS77" s="778">
        <v>17.6974004478629</v>
      </c>
      <c r="AT77" s="778">
        <v>16.781448010803</v>
      </c>
      <c r="AU77" s="778">
        <v>14.9961190168176</v>
      </c>
      <c r="AV77" s="778">
        <v>15.4753596050728</v>
      </c>
      <c r="AW77" s="848">
        <v>11.1576576576577</v>
      </c>
      <c r="AX77" s="847">
        <f ca="1">X77</f>
        <v>16.3737</v>
      </c>
      <c r="AY77" s="778">
        <v>12.2283175827312</v>
      </c>
      <c r="AZ77" s="778">
        <v>13.1078993174288</v>
      </c>
      <c r="BA77" s="778">
        <v>9.71872496814218</v>
      </c>
      <c r="BB77" s="778">
        <v>11.9214193883622</v>
      </c>
      <c r="BC77" s="848">
        <v>9.20228078793905</v>
      </c>
      <c r="BD77" s="847">
        <f ca="1">AD77</f>
        <v>12.8453</v>
      </c>
      <c r="BE77" s="778">
        <v>12.4269354419136</v>
      </c>
      <c r="BF77" s="778">
        <v>13.9990817601658</v>
      </c>
      <c r="BG77" s="778">
        <v>10.1973626177734</v>
      </c>
      <c r="BH77" s="778">
        <v>12.5116255609596</v>
      </c>
      <c r="BI77" s="848">
        <v>8.28856515319408</v>
      </c>
      <c r="BJ77" s="16"/>
      <c r="BK77" s="345" t="str">
        <f ca="1">$K77</f>
        <v>2Q21</v>
      </c>
      <c r="BL77" s="847">
        <f ca="1">AL77</f>
        <v>19.4823</v>
      </c>
      <c r="BM77" s="778">
        <v>11.792353858178</v>
      </c>
      <c r="BN77" s="778">
        <v>16.6425212350074</v>
      </c>
      <c r="BO77" s="778">
        <v>17.2716685418764</v>
      </c>
      <c r="BP77" s="778">
        <v>19.7359258736756</v>
      </c>
      <c r="BQ77" s="848">
        <v>16.2270045772118</v>
      </c>
      <c r="BR77" s="847">
        <f ca="1">AR77</f>
        <v>19.4276</v>
      </c>
      <c r="BS77" s="778">
        <v>11.0490474260235</v>
      </c>
      <c r="BT77" s="778">
        <v>16.1259244842351</v>
      </c>
      <c r="BU77" s="778">
        <v>18.1034482758621</v>
      </c>
      <c r="BV77" s="778">
        <v>21.5383666419936</v>
      </c>
      <c r="BW77" s="848">
        <v>16.3219255359158</v>
      </c>
      <c r="BX77" s="847">
        <f ca="1">AX77</f>
        <v>16.3737</v>
      </c>
      <c r="BY77" s="778">
        <v>6.96557670431564</v>
      </c>
      <c r="BZ77" s="778">
        <v>7.30308788720167</v>
      </c>
      <c r="CA77" s="778"/>
      <c r="CB77" s="778">
        <v>16.9369454545127</v>
      </c>
      <c r="CC77" s="848">
        <v>12.7204185574551</v>
      </c>
      <c r="CD77" s="847">
        <f ca="1">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887</v>
      </c>
      <c r="D78" s="16"/>
      <c r="E78" s="724">
        <f ca="1">AVERAGE(BM65:BQ86)</f>
        <v>37.96256935397822</v>
      </c>
      <c r="F78" s="724">
        <f ca="1">AVERAGE(BS65:BW86)</f>
        <v>17.18236554677514</v>
      </c>
      <c r="G78" s="724">
        <f ca="1">AVERAGE(BY65:CC86)</f>
        <v>12.017610025365714</v>
      </c>
      <c r="H78" s="724">
        <f ca="1">AVERAGE(CE65:CI86)</f>
        <v>11.514027269594164</v>
      </c>
      <c r="I78" s="84">
        <f ca="1">IF(I77+1=5,1,I77+1)</f>
        <v>3</v>
      </c>
      <c r="J78" s="5">
        <f ca="1">IF(I78=1,J77+1,J77)</f>
        <v>2021</v>
      </c>
      <c r="K78" s="345" t="str">
        <f ca="1">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 ca="1">$K78</f>
        <v>3Q21</v>
      </c>
      <c r="AL78" s="847">
        <f ca="1">L78</f>
        <v>20.1793</v>
      </c>
      <c r="AM78" s="778">
        <v>18.6301264131882</v>
      </c>
      <c r="AN78" s="778">
        <v>15.9613632713695</v>
      </c>
      <c r="AO78" s="778">
        <v>18.048758049678</v>
      </c>
      <c r="AP78" s="778">
        <v>16.185119574845</v>
      </c>
      <c r="AQ78" s="848">
        <v>13.7143517081586</v>
      </c>
      <c r="AR78" s="847">
        <f ca="1">R78</f>
        <v>21.0253</v>
      </c>
      <c r="AS78" s="778">
        <v>18.3782510365624</v>
      </c>
      <c r="AT78" s="778">
        <v>19.0626112608718</v>
      </c>
      <c r="AU78" s="778">
        <v>16.9392160248662</v>
      </c>
      <c r="AV78" s="778">
        <v>15.3839030139754</v>
      </c>
      <c r="AW78" s="848">
        <v>12.4183006535948</v>
      </c>
      <c r="AX78" s="847">
        <f ca="1">X78</f>
        <v>17.2551</v>
      </c>
      <c r="AY78" s="778">
        <v>13.0108331657086</v>
      </c>
      <c r="AZ78" s="778">
        <v>14.7207664372533</v>
      </c>
      <c r="BA78" s="778">
        <v>10.8634721764166</v>
      </c>
      <c r="BB78" s="778">
        <v>11.9670120353024</v>
      </c>
      <c r="BC78" s="848">
        <v>10.344170119619</v>
      </c>
      <c r="BD78" s="847">
        <f ca="1">AD78</f>
        <v>13.9125</v>
      </c>
      <c r="BE78" s="778">
        <v>12.9638305850015</v>
      </c>
      <c r="BF78" s="778">
        <v>15.8491313030872</v>
      </c>
      <c r="BG78" s="778">
        <v>11.268157797573</v>
      </c>
      <c r="BH78" s="778">
        <v>12.4472527602547</v>
      </c>
      <c r="BI78" s="848">
        <v>9.13104550281631</v>
      </c>
      <c r="BJ78" s="16"/>
      <c r="BK78" s="345" t="str">
        <f ca="1">$K78</f>
        <v>3Q21</v>
      </c>
      <c r="BL78" s="847">
        <f ca="1">AL78</f>
        <v>20.1793</v>
      </c>
      <c r="BM78" s="778">
        <v>10.9288444920865</v>
      </c>
      <c r="BN78" s="778">
        <v>16.7407934072159</v>
      </c>
      <c r="BO78" s="778">
        <v>14.7055920727976</v>
      </c>
      <c r="BP78" s="778">
        <v>19.126631867953</v>
      </c>
      <c r="BQ78" s="848">
        <v>17.0146748454758</v>
      </c>
      <c r="BR78" s="847">
        <f ca="1">AR78</f>
        <v>21.0253</v>
      </c>
      <c r="BS78" s="778">
        <v>10.6852212164791</v>
      </c>
      <c r="BT78" s="778">
        <v>16.9204534055572</v>
      </c>
      <c r="BU78" s="778">
        <v>14.9748743718593</v>
      </c>
      <c r="BV78" s="778">
        <v>20.8811551277305</v>
      </c>
      <c r="BW78" s="848">
        <v>17.0012453300125</v>
      </c>
      <c r="BX78" s="847">
        <f ca="1">AX78</f>
        <v>17.2551</v>
      </c>
      <c r="BY78" s="778">
        <v>6.35997189641845</v>
      </c>
      <c r="BZ78" s="778">
        <v>7.48257527449524</v>
      </c>
      <c r="CA78" s="778"/>
      <c r="CB78" s="778">
        <v>16.2659380049987</v>
      </c>
      <c r="CC78" s="848">
        <v>13.1653885302904</v>
      </c>
      <c r="CD78" s="847">
        <f ca="1">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916</v>
      </c>
      <c r="D79" s="846"/>
      <c r="E79" s="846"/>
      <c r="F79" s="846"/>
      <c r="G79" s="846"/>
      <c r="H79" s="846"/>
      <c r="I79" s="84">
        <f ca="1">IF(I78=4,1,I78+1)</f>
        <v>4</v>
      </c>
      <c r="J79" s="5">
        <f ca="1">IF(I79=1,J78+1,J78)</f>
        <v>2021</v>
      </c>
      <c r="K79" s="345" t="str">
        <f ca="1">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 ca="1">$K79</f>
        <v>4Q21</v>
      </c>
      <c r="AL79" s="847">
        <f ca="1">L79</f>
        <v>14.6386</v>
      </c>
      <c r="AM79" s="778">
        <v>18.285283104649</v>
      </c>
      <c r="AN79" s="778">
        <v>15.531229783089</v>
      </c>
      <c r="AO79" s="778">
        <v>18.4342230802955</v>
      </c>
      <c r="AP79" s="778">
        <v>15.7918506010747</v>
      </c>
      <c r="AQ79" s="848">
        <v>13.3630724097093</v>
      </c>
      <c r="AR79" s="847">
        <f ca="1">R79</f>
        <v>14.0284</v>
      </c>
      <c r="AS79" s="778">
        <v>18.0372200865908</v>
      </c>
      <c r="AT79" s="778">
        <v>18.548904045644</v>
      </c>
      <c r="AU79" s="778">
        <v>17.3009847075473</v>
      </c>
      <c r="AV79" s="778">
        <v>15.0214839738927</v>
      </c>
      <c r="AW79" s="848">
        <v>12.1266380876433</v>
      </c>
      <c r="AX79" s="847">
        <f ca="1">X79</f>
        <v>10.6949</v>
      </c>
      <c r="AY79" s="778">
        <v>12.7963238557254</v>
      </c>
      <c r="AZ79" s="778">
        <v>14.3983930880516</v>
      </c>
      <c r="BA79" s="778">
        <v>11.0784790142357</v>
      </c>
      <c r="BB79" s="778">
        <v>11.7401868085495</v>
      </c>
      <c r="BC79" s="848">
        <v>10.1213801363892</v>
      </c>
      <c r="BD79" s="847">
        <f ca="1">AD79</f>
        <v>10.1357</v>
      </c>
      <c r="BE79" s="778">
        <v>12.7838345671624</v>
      </c>
      <c r="BF79" s="778">
        <v>15.5062457521629</v>
      </c>
      <c r="BG79" s="778">
        <v>11.4931908863573</v>
      </c>
      <c r="BH79" s="778">
        <v>12.2156576237082</v>
      </c>
      <c r="BI79" s="848">
        <v>8.94832314922583</v>
      </c>
      <c r="BJ79" s="16"/>
      <c r="BK79" s="849" t="str">
        <f ca="1">$K79</f>
        <v>4Q21</v>
      </c>
      <c r="BL79" s="847">
        <f ca="1">AL79</f>
        <v>14.6386</v>
      </c>
      <c r="BM79" s="778">
        <v>11.2645577634905</v>
      </c>
      <c r="BN79" s="778">
        <v>16.9769983363012</v>
      </c>
      <c r="BO79" s="778">
        <v>14.6397946127696</v>
      </c>
      <c r="BP79" s="778">
        <v>18.4969909334805</v>
      </c>
      <c r="BQ79" s="848">
        <v>17.0383556428308</v>
      </c>
      <c r="BR79" s="847">
        <f ca="1">AR79</f>
        <v>14.0284</v>
      </c>
      <c r="BS79" s="778">
        <v>11.0988919387388</v>
      </c>
      <c r="BT79" s="778">
        <v>17.1678038497184</v>
      </c>
      <c r="BU79" s="778">
        <v>15.3184158666614</v>
      </c>
      <c r="BV79" s="778">
        <v>20.2337090247079</v>
      </c>
      <c r="BW79" s="848">
        <v>17.0249074363471</v>
      </c>
      <c r="BX79" s="847">
        <f ca="1">AX79</f>
        <v>10.6949</v>
      </c>
      <c r="BY79" s="778">
        <v>6.55210704601697</v>
      </c>
      <c r="BZ79" s="778">
        <v>7.58057147914367</v>
      </c>
      <c r="CA79" s="778"/>
      <c r="CB79" s="778">
        <v>15.7600485469973</v>
      </c>
      <c r="CC79" s="848">
        <v>13.1807660592666</v>
      </c>
      <c r="CD79" s="847">
        <f ca="1">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910</v>
      </c>
      <c r="F80" s="84" t="s">
        <v>911</v>
      </c>
      <c r="G80" s="84" t="s">
        <v>912</v>
      </c>
      <c r="H80" s="84" t="s">
        <v>913</v>
      </c>
      <c r="I80" s="84">
        <f ca="1">I76</f>
        <v>1</v>
      </c>
      <c r="J80" s="5">
        <f ca="1">IF(I80=1,J79+1,J79)</f>
        <v>2022</v>
      </c>
      <c r="K80" s="345" t="str">
        <f ca="1">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 ca="1">$K80</f>
        <v>1Q22</v>
      </c>
      <c r="AL80" s="847">
        <f ca="1">L80</f>
        <v>20.9623</v>
      </c>
      <c r="AM80" s="778">
        <v>18.285283104649</v>
      </c>
      <c r="AN80" s="778">
        <v>15.531229783089</v>
      </c>
      <c r="AO80" s="778">
        <v>18.4342230802955</v>
      </c>
      <c r="AP80" s="778">
        <v>15.7918506010747</v>
      </c>
      <c r="AQ80" s="848">
        <v>13.3630724097093</v>
      </c>
      <c r="AR80" s="847">
        <f ca="1">R80</f>
        <v>20.1822</v>
      </c>
      <c r="AS80" s="778">
        <v>18.0372200865908</v>
      </c>
      <c r="AT80" s="778">
        <v>18.548904045644</v>
      </c>
      <c r="AU80" s="778">
        <v>17.3009847075473</v>
      </c>
      <c r="AV80" s="778">
        <v>15.0214839738927</v>
      </c>
      <c r="AW80" s="848">
        <v>12.1266380876433</v>
      </c>
      <c r="AX80" s="847">
        <f ca="1">X80</f>
        <v>14.0976</v>
      </c>
      <c r="AY80" s="778">
        <v>12.7963238557254</v>
      </c>
      <c r="AZ80" s="778">
        <v>14.3983930880516</v>
      </c>
      <c r="BA80" s="778">
        <v>11.0784790142357</v>
      </c>
      <c r="BB80" s="778">
        <v>11.7401868085495</v>
      </c>
      <c r="BC80" s="848">
        <v>10.1213801363892</v>
      </c>
      <c r="BD80" s="847">
        <f ca="1">AD80</f>
        <v>13.2943</v>
      </c>
      <c r="BE80" s="778">
        <v>12.7838345671624</v>
      </c>
      <c r="BF80" s="778">
        <v>15.5062457521629</v>
      </c>
      <c r="BG80" s="778">
        <v>11.4931908863573</v>
      </c>
      <c r="BH80" s="778">
        <v>12.2156576237082</v>
      </c>
      <c r="BI80" s="848">
        <v>8.94832314922583</v>
      </c>
      <c r="BJ80" s="16"/>
      <c r="BK80" s="849" t="str">
        <f ca="1">$K80</f>
        <v>1Q22</v>
      </c>
      <c r="BL80" s="847">
        <f ca="1">AL80</f>
        <v>20.9623</v>
      </c>
      <c r="BM80" s="778">
        <v>11.2645577634905</v>
      </c>
      <c r="BN80" s="778">
        <v>16.9769983363012</v>
      </c>
      <c r="BO80" s="778">
        <v>14.6397946127696</v>
      </c>
      <c r="BP80" s="778">
        <v>18.4969909334805</v>
      </c>
      <c r="BQ80" s="848">
        <v>17.0383556428308</v>
      </c>
      <c r="BR80" s="847">
        <f ca="1">AR80</f>
        <v>20.1822</v>
      </c>
      <c r="BS80" s="778">
        <v>11.0988919387388</v>
      </c>
      <c r="BT80" s="778">
        <v>17.1678038497184</v>
      </c>
      <c r="BU80" s="778">
        <v>15.3184158666614</v>
      </c>
      <c r="BV80" s="778">
        <v>20.2337090247079</v>
      </c>
      <c r="BW80" s="848">
        <v>17.0249074363471</v>
      </c>
      <c r="BX80" s="847">
        <f ca="1">AX80</f>
        <v>14.0976</v>
      </c>
      <c r="BY80" s="778">
        <v>6.55210704601697</v>
      </c>
      <c r="BZ80" s="778">
        <v>7.58057147914367</v>
      </c>
      <c r="CA80" s="778"/>
      <c r="CB80" s="778">
        <v>15.7600485469973</v>
      </c>
      <c r="CC80" s="848">
        <v>13.1807660592666</v>
      </c>
      <c r="CD80" s="847">
        <f ca="1">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917</v>
      </c>
      <c r="D81" s="16"/>
      <c r="E81" s="724">
        <f ca="1">AVERAGE(BM8:BQ75)</f>
        <v>23.989111745649577</v>
      </c>
      <c r="F81" s="724">
        <f ca="1">AVERAGE(BS8:BW75)</f>
        <v>16.203546988432574</v>
      </c>
      <c r="G81" s="724">
        <f ca="1">AVERAGE(BY8:CC75)</f>
        <v>9.86611312349788</v>
      </c>
      <c r="H81" s="724">
        <f ca="1">AVERAGE(CE8:CI75)</f>
        <v>9.244146434411277</v>
      </c>
      <c r="I81" s="84">
        <f ca="1">IF(I80=4,1,I80+1)</f>
        <v>2</v>
      </c>
      <c r="J81" s="5">
        <f ca="1">IF(I81=1,J80+1,J80)</f>
        <v>2022</v>
      </c>
      <c r="K81" s="345" t="str">
        <f ca="1">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 ca="1">$K81</f>
        <v>2Q22</v>
      </c>
      <c r="AL81" s="847">
        <f ca="1">L81</f>
        <v>20.5549</v>
      </c>
      <c r="AM81" s="778">
        <v>18.285283104649</v>
      </c>
      <c r="AN81" s="778">
        <v>15.531229783089</v>
      </c>
      <c r="AO81" s="778">
        <v>18.4342230802955</v>
      </c>
      <c r="AP81" s="778">
        <v>15.7918506010747</v>
      </c>
      <c r="AQ81" s="848">
        <v>13.3630724097093</v>
      </c>
      <c r="AR81" s="847">
        <f ca="1">R81</f>
        <v>19.4215</v>
      </c>
      <c r="AS81" s="778">
        <v>18.0372200865908</v>
      </c>
      <c r="AT81" s="778">
        <v>18.548904045644</v>
      </c>
      <c r="AU81" s="778">
        <v>17.3009847075473</v>
      </c>
      <c r="AV81" s="778">
        <v>15.0214839738927</v>
      </c>
      <c r="AW81" s="848">
        <v>12.1266380876433</v>
      </c>
      <c r="AX81" s="847">
        <f ca="1">X81</f>
        <v>13.7608</v>
      </c>
      <c r="AY81" s="778">
        <v>12.7963238557254</v>
      </c>
      <c r="AZ81" s="778">
        <v>14.3983930880516</v>
      </c>
      <c r="BA81" s="778">
        <v>11.0784790142357</v>
      </c>
      <c r="BB81" s="778">
        <v>11.7401868085495</v>
      </c>
      <c r="BC81" s="848">
        <v>10.1213801363892</v>
      </c>
      <c r="BD81" s="847">
        <f ca="1">AD81</f>
        <v>12.475</v>
      </c>
      <c r="BE81" s="778">
        <v>12.7838345671624</v>
      </c>
      <c r="BF81" s="778">
        <v>15.5062457521629</v>
      </c>
      <c r="BG81" s="778">
        <v>11.4931908863573</v>
      </c>
      <c r="BH81" s="778">
        <v>12.2156576237082</v>
      </c>
      <c r="BI81" s="848">
        <v>8.94832314922583</v>
      </c>
      <c r="BJ81" s="16"/>
      <c r="BK81" s="849" t="str">
        <f ca="1">$K81</f>
        <v>2Q22</v>
      </c>
      <c r="BL81" s="847">
        <f ca="1">AL81</f>
        <v>20.5549</v>
      </c>
      <c r="BM81" s="778">
        <v>11.2645577634905</v>
      </c>
      <c r="BN81" s="778">
        <v>16.9769983363012</v>
      </c>
      <c r="BO81" s="778">
        <v>14.6397946127696</v>
      </c>
      <c r="BP81" s="778">
        <v>18.4969909334805</v>
      </c>
      <c r="BQ81" s="848">
        <v>17.0383556428308</v>
      </c>
      <c r="BR81" s="847">
        <f ca="1">AR81</f>
        <v>19.4215</v>
      </c>
      <c r="BS81" s="778">
        <v>11.0988919387388</v>
      </c>
      <c r="BT81" s="778">
        <v>17.1678038497184</v>
      </c>
      <c r="BU81" s="778">
        <v>15.3184158666614</v>
      </c>
      <c r="BV81" s="778">
        <v>20.2337090247079</v>
      </c>
      <c r="BW81" s="848">
        <v>17.0249074363471</v>
      </c>
      <c r="BX81" s="847">
        <f ca="1">AX81</f>
        <v>13.7608</v>
      </c>
      <c r="BY81" s="778">
        <v>6.55210704601697</v>
      </c>
      <c r="BZ81" s="778">
        <v>7.58057147914367</v>
      </c>
      <c r="CA81" s="778"/>
      <c r="CB81" s="778">
        <v>15.7600485469973</v>
      </c>
      <c r="CC81" s="848">
        <v>13.1807660592666</v>
      </c>
      <c r="CD81" s="847">
        <f ca="1">BD81</f>
        <v>12.475</v>
      </c>
      <c r="CE81" s="778">
        <v>6.6876218938895</v>
      </c>
      <c r="CF81" s="778">
        <v>13.0119608316293</v>
      </c>
      <c r="CG81" s="778">
        <v>12.4521138558247</v>
      </c>
      <c r="CH81" s="778">
        <v>14.1638045774507</v>
      </c>
      <c r="CI81" s="848">
        <v>11.7889497648763</v>
      </c>
    </row>
    <row r="82" ht="14.25" customHeight="1" spans="1:87" x14ac:dyDescent="0.25">
      <c r="A82" s="16"/>
      <c r="B82" s="16"/>
      <c r="C82" s="16" t="s">
        <v>918</v>
      </c>
      <c r="D82" s="16"/>
      <c r="E82" s="724">
        <f t="shared" ref="E82:H82" si="39" ca="1">AVERAGE(E86,E90)</f>
        <v>20.103998318150133</v>
      </c>
      <c r="F82" s="724">
        <f ca="1">AVERAGE(F86,F90)</f>
        <v>16.997209724820074</v>
      </c>
      <c r="G82" s="724">
        <f ca="1">AVERAGE(G86,G90)</f>
        <v>9.076301266902977</v>
      </c>
      <c r="H82" s="724">
        <f ca="1">AVERAGE(H86,H90)</f>
        <v>3.8575153583678086</v>
      </c>
      <c r="I82" s="84">
        <f ca="1">IF(I81+1=5,1,I81+1)</f>
        <v>3</v>
      </c>
      <c r="J82" s="5">
        <f ca="1">IF(I82=1,J81+1,J81)</f>
        <v>2022</v>
      </c>
      <c r="K82" s="345" t="str">
        <f ca="1">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 ca="1">$K82</f>
        <v>3Q22</v>
      </c>
      <c r="AL82" s="847">
        <f ca="1">L82</f>
        <v>18.6243</v>
      </c>
      <c r="AM82" s="778">
        <v>18.285283104649</v>
      </c>
      <c r="AN82" s="778">
        <v>15.531229783089</v>
      </c>
      <c r="AO82" s="778">
        <v>18.4342230802955</v>
      </c>
      <c r="AP82" s="778">
        <v>15.7918506010747</v>
      </c>
      <c r="AQ82" s="848">
        <v>13.3630724097093</v>
      </c>
      <c r="AR82" s="847">
        <f ca="1">R82</f>
        <v>18.5239</v>
      </c>
      <c r="AS82" s="778">
        <v>18.0372200865908</v>
      </c>
      <c r="AT82" s="778">
        <v>18.548904045644</v>
      </c>
      <c r="AU82" s="778">
        <v>17.3009847075473</v>
      </c>
      <c r="AV82" s="778">
        <v>15.0214839738927</v>
      </c>
      <c r="AW82" s="848">
        <v>12.1266380876433</v>
      </c>
      <c r="AX82" s="847">
        <f ca="1">X82</f>
        <v>12.4247</v>
      </c>
      <c r="AY82" s="778">
        <v>12.7963238557254</v>
      </c>
      <c r="AZ82" s="778">
        <v>14.3983930880516</v>
      </c>
      <c r="BA82" s="778">
        <v>11.0784790142357</v>
      </c>
      <c r="BB82" s="778">
        <v>11.7401868085495</v>
      </c>
      <c r="BC82" s="848">
        <v>10.1213801363892</v>
      </c>
      <c r="BD82" s="847">
        <f ca="1">AD82</f>
        <v>11.7318</v>
      </c>
      <c r="BE82" s="778">
        <v>12.7838345671624</v>
      </c>
      <c r="BF82" s="778">
        <v>15.5062457521629</v>
      </c>
      <c r="BG82" s="778">
        <v>11.4931908863573</v>
      </c>
      <c r="BH82" s="778">
        <v>12.2156576237082</v>
      </c>
      <c r="BI82" s="848">
        <v>8.94832314922583</v>
      </c>
      <c r="BJ82" s="16"/>
      <c r="BK82" s="849" t="str">
        <f ca="1">$K82</f>
        <v>3Q22</v>
      </c>
      <c r="BL82" s="847">
        <f ca="1">AL82</f>
        <v>18.6243</v>
      </c>
      <c r="BM82" s="778">
        <v>11.2645577634905</v>
      </c>
      <c r="BN82" s="778">
        <v>16.9769983363012</v>
      </c>
      <c r="BO82" s="778">
        <v>14.6397946127696</v>
      </c>
      <c r="BP82" s="778">
        <v>18.4969909334805</v>
      </c>
      <c r="BQ82" s="848">
        <v>17.0383556428308</v>
      </c>
      <c r="BR82" s="847">
        <f ca="1">AR82</f>
        <v>18.5239</v>
      </c>
      <c r="BS82" s="778">
        <v>11.0988919387388</v>
      </c>
      <c r="BT82" s="778">
        <v>17.1678038497184</v>
      </c>
      <c r="BU82" s="778">
        <v>15.3184158666614</v>
      </c>
      <c r="BV82" s="778">
        <v>20.2337090247079</v>
      </c>
      <c r="BW82" s="848">
        <v>17.0249074363471</v>
      </c>
      <c r="BX82" s="847">
        <f ca="1">AX82</f>
        <v>12.4247</v>
      </c>
      <c r="BY82" s="778">
        <v>6.55210704601697</v>
      </c>
      <c r="BZ82" s="778">
        <v>7.58057147914367</v>
      </c>
      <c r="CA82" s="778"/>
      <c r="CB82" s="778">
        <v>15.7600485469973</v>
      </c>
      <c r="CC82" s="848">
        <v>13.1807660592666</v>
      </c>
      <c r="CD82" s="847">
        <f ca="1">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919</v>
      </c>
      <c r="D83" s="16"/>
      <c r="E83" s="724">
        <f t="shared" ref="E83:H83" si="40" ca="1">AVERAGE(E87,E91)</f>
        <v>16.107894681806094</v>
      </c>
      <c r="F83" s="724">
        <f ca="1">AVERAGE(F87,F91)</f>
        <v>15.30298364494367</v>
      </c>
      <c r="G83" s="724">
        <f ca="1">AVERAGE(G87,G91)</f>
        <v>9.975123228525447</v>
      </c>
      <c r="H83" s="724">
        <f ca="1">AVERAGE(H87,H91)</f>
        <v>9.37575884948865</v>
      </c>
      <c r="I83" s="84">
        <f ca="1">IF(I82=4,1,I82+1)</f>
        <v>4</v>
      </c>
      <c r="J83" s="5">
        <f ca="1">IF(I83=1,J82+1,J82)</f>
        <v>2022</v>
      </c>
      <c r="K83" s="345" t="str">
        <f ca="1">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 ca="1">$K83</f>
        <v>4Q22</v>
      </c>
      <c r="AL83" s="847">
        <f ca="1">L83</f>
        <v>21.1868</v>
      </c>
      <c r="AM83" s="778">
        <v>18.285283104649</v>
      </c>
      <c r="AN83" s="778">
        <v>15.531229783089</v>
      </c>
      <c r="AO83" s="778">
        <v>18.4342230802955</v>
      </c>
      <c r="AP83" s="778">
        <v>15.7918506010747</v>
      </c>
      <c r="AQ83" s="848">
        <v>13.3630724097093</v>
      </c>
      <c r="AR83" s="847">
        <f ca="1">R83</f>
        <v>19.582</v>
      </c>
      <c r="AS83" s="778">
        <v>18.0372200865908</v>
      </c>
      <c r="AT83" s="778">
        <v>18.548904045644</v>
      </c>
      <c r="AU83" s="778">
        <v>17.3009847075473</v>
      </c>
      <c r="AV83" s="778">
        <v>15.0214839738927</v>
      </c>
      <c r="AW83" s="848">
        <v>12.1266380876433</v>
      </c>
      <c r="AX83" s="847">
        <f ca="1">X83</f>
        <v>14.012</v>
      </c>
      <c r="AY83" s="778">
        <v>12.7963238557254</v>
      </c>
      <c r="AZ83" s="778">
        <v>14.3983930880516</v>
      </c>
      <c r="BA83" s="778">
        <v>11.0784790142357</v>
      </c>
      <c r="BB83" s="778">
        <v>11.7401868085495</v>
      </c>
      <c r="BC83" s="848">
        <v>10.1213801363892</v>
      </c>
      <c r="BD83" s="847">
        <f ca="1">AD83</f>
        <v>13.2317</v>
      </c>
      <c r="BE83" s="778">
        <v>12.7838345671624</v>
      </c>
      <c r="BF83" s="778">
        <v>15.5062457521629</v>
      </c>
      <c r="BG83" s="778">
        <v>11.4931908863573</v>
      </c>
      <c r="BH83" s="778">
        <v>12.2156576237082</v>
      </c>
      <c r="BI83" s="848">
        <v>8.94832314922583</v>
      </c>
      <c r="BJ83" s="16"/>
      <c r="BK83" s="849" t="str">
        <f ca="1">$K83</f>
        <v>4Q22</v>
      </c>
      <c r="BL83" s="847">
        <f ca="1">AL83</f>
        <v>21.1868</v>
      </c>
      <c r="BM83" s="778">
        <v>11.2645577634905</v>
      </c>
      <c r="BN83" s="778">
        <v>16.9769983363012</v>
      </c>
      <c r="BO83" s="778">
        <v>14.6397946127696</v>
      </c>
      <c r="BP83" s="778">
        <v>18.4969909334805</v>
      </c>
      <c r="BQ83" s="848">
        <v>17.0383556428308</v>
      </c>
      <c r="BR83" s="847">
        <f ca="1">AR83</f>
        <v>19.582</v>
      </c>
      <c r="BS83" s="778">
        <v>11.0988919387388</v>
      </c>
      <c r="BT83" s="778">
        <v>17.1678038497184</v>
      </c>
      <c r="BU83" s="778">
        <v>15.3184158666614</v>
      </c>
      <c r="BV83" s="778">
        <v>20.2337090247079</v>
      </c>
      <c r="BW83" s="848">
        <v>17.0249074363471</v>
      </c>
      <c r="BX83" s="847">
        <f ca="1">AX83</f>
        <v>14.012</v>
      </c>
      <c r="BY83" s="778">
        <v>6.55210704601697</v>
      </c>
      <c r="BZ83" s="778">
        <v>7.58057147914367</v>
      </c>
      <c r="CA83" s="778"/>
      <c r="CB83" s="778">
        <v>15.7600485469973</v>
      </c>
      <c r="CC83" s="848">
        <v>13.1807660592666</v>
      </c>
      <c r="CD83" s="847">
        <f ca="1">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920</v>
      </c>
      <c r="D84" s="16"/>
      <c r="E84" s="724">
        <f t="shared" ref="E84:H84" si="41" ca="1">AVERAGE(E88,E92)</f>
        <v>30.136895572954842</v>
      </c>
      <c r="F84" s="724">
        <f ca="1">AVERAGE(F88,F92)</f>
        <v>16.117007849523496</v>
      </c>
      <c r="G84" s="724">
        <f ca="1">AVERAGE(G88,G92)</f>
        <v>10.637190256202512</v>
      </c>
      <c r="H84" s="724">
        <f ca="1">AVERAGE(H88,H92)</f>
        <v>9.995452299174545</v>
      </c>
      <c r="I84" s="84">
        <f ca="1">I80</f>
        <v>1</v>
      </c>
      <c r="J84" s="5">
        <f ca="1">IF(I84=1,J83+1,J83)</f>
        <v>2023</v>
      </c>
      <c r="K84" s="345" t="str">
        <f ca="1">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 ca="1">$K84</f>
        <v>1Q23</v>
      </c>
      <c r="AL84" s="847">
        <f ca="1">L84</f>
        <v>18.6831</v>
      </c>
      <c r="AM84" s="778">
        <v>18.285283104649</v>
      </c>
      <c r="AN84" s="778">
        <v>15.531229783089</v>
      </c>
      <c r="AO84" s="778">
        <v>18.4342230802955</v>
      </c>
      <c r="AP84" s="778">
        <v>15.7918506010747</v>
      </c>
      <c r="AQ84" s="848">
        <v>13.3630724097093</v>
      </c>
      <c r="AR84" s="847">
        <f ca="1">R84</f>
        <v>17.5443</v>
      </c>
      <c r="AS84" s="778">
        <v>18.0372200865908</v>
      </c>
      <c r="AT84" s="778">
        <v>18.548904045644</v>
      </c>
      <c r="AU84" s="778">
        <v>17.3009847075473</v>
      </c>
      <c r="AV84" s="778">
        <v>15.0214839738927</v>
      </c>
      <c r="AW84" s="848">
        <v>12.1266380876433</v>
      </c>
      <c r="AX84" s="847">
        <f ca="1">X84</f>
        <v>12.5499</v>
      </c>
      <c r="AY84" s="778">
        <v>12.7963238557254</v>
      </c>
      <c r="AZ84" s="778">
        <v>14.3983930880516</v>
      </c>
      <c r="BA84" s="778">
        <v>11.0784790142357</v>
      </c>
      <c r="BB84" s="778">
        <v>11.7401868085495</v>
      </c>
      <c r="BC84" s="848">
        <v>10.1213801363892</v>
      </c>
      <c r="BD84" s="847">
        <f ca="1">AD84</f>
        <v>12.047</v>
      </c>
      <c r="BE84" s="778">
        <v>12.7838345671624</v>
      </c>
      <c r="BF84" s="778">
        <v>15.5062457521629</v>
      </c>
      <c r="BG84" s="778">
        <v>11.4931908863573</v>
      </c>
      <c r="BH84" s="778">
        <v>12.2156576237082</v>
      </c>
      <c r="BI84" s="848">
        <v>8.94832314922583</v>
      </c>
      <c r="BJ84" s="16"/>
      <c r="BK84" s="849" t="str">
        <f ca="1">$K84</f>
        <v>1Q23</v>
      </c>
      <c r="BL84" s="847">
        <f ca="1">AL84</f>
        <v>18.6831</v>
      </c>
      <c r="BM84" s="778">
        <v>11.2645577634905</v>
      </c>
      <c r="BN84" s="778">
        <v>16.9769983363012</v>
      </c>
      <c r="BO84" s="778">
        <v>14.6397946127696</v>
      </c>
      <c r="BP84" s="778">
        <v>18.4969909334805</v>
      </c>
      <c r="BQ84" s="848">
        <v>17.0383556428308</v>
      </c>
      <c r="BR84" s="847">
        <f ca="1">AR84</f>
        <v>17.5443</v>
      </c>
      <c r="BS84" s="778">
        <v>11.0988919387388</v>
      </c>
      <c r="BT84" s="778">
        <v>17.1678038497184</v>
      </c>
      <c r="BU84" s="778">
        <v>15.3184158666614</v>
      </c>
      <c r="BV84" s="778">
        <v>20.2337090247079</v>
      </c>
      <c r="BW84" s="848">
        <v>17.0249074363471</v>
      </c>
      <c r="BX84" s="847">
        <f ca="1">AX84</f>
        <v>12.5499</v>
      </c>
      <c r="BY84" s="778">
        <v>6.55210704601697</v>
      </c>
      <c r="BZ84" s="778">
        <v>7.58057147914367</v>
      </c>
      <c r="CA84" s="778"/>
      <c r="CB84" s="778">
        <v>15.7600485469973</v>
      </c>
      <c r="CC84" s="848">
        <v>13.1807660592666</v>
      </c>
      <c r="CD84" s="847">
        <f ca="1">BD84</f>
        <v>12.047</v>
      </c>
      <c r="CE84" s="778">
        <v>6.6876218938895</v>
      </c>
      <c r="CF84" s="778">
        <v>13.0119608316293</v>
      </c>
      <c r="CG84" s="778">
        <v>12.4521138558247</v>
      </c>
      <c r="CH84" s="778">
        <v>14.1638045774507</v>
      </c>
      <c r="CI84" s="848">
        <v>11.7889497648763</v>
      </c>
    </row>
    <row r="85" ht="14.25" customHeight="1" spans="1:87" x14ac:dyDescent="0.25">
      <c r="A85" s="16"/>
      <c r="B85" s="16"/>
      <c r="C85" s="16" t="s">
        <v>921</v>
      </c>
      <c r="D85" s="16"/>
      <c r="E85" s="724">
        <f ca="1">AVERAGE(BM8:BQ35)</f>
        <v>19.419899684661807</v>
      </c>
      <c r="F85" s="724">
        <f ca="1">AVERAGE(BS8:BW35)</f>
        <v>16.743680586508308</v>
      </c>
      <c r="G85" s="724">
        <f ca="1">AVERAGE(BY8:CC35)</f>
        <v>9.540420082667024</v>
      </c>
      <c r="H85" s="724">
        <f ca="1">AVERAGE(CE8:CI35)</f>
        <v>9.363814673822663</v>
      </c>
      <c r="I85" s="84">
        <f ca="1">IF(I84=4,1,I84+1)</f>
        <v>2</v>
      </c>
      <c r="J85" s="5">
        <f ca="1">IF(I85=1,J84+1,J84)</f>
        <v>2023</v>
      </c>
      <c r="K85" s="345" t="str">
        <f ca="1">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922</v>
      </c>
      <c r="D86" s="16"/>
      <c r="E86" s="724">
        <f ca="1">AVERAGE(BM8:BQ19)</f>
        <v>25.08153198498405</v>
      </c>
      <c r="F86" s="724">
        <f ca="1">AVERAGE(BS8:BW19)</f>
        <v>19.390935509155117</v>
      </c>
      <c r="G86" s="724">
        <f ca="1">AVERAGE(BY8:CC19)</f>
        <v>9.982036835170295</v>
      </c>
      <c r="H86" s="724">
        <f ca="1">AVERAGE(CE8:CI19)</f>
      </c>
      <c r="I86" s="84"/>
      <c r="J86" s="5"/>
      <c r="K86" s="849" t="s">
        <v>528</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 ca="1">$K86</f>
        <v>Current</v>
      </c>
      <c r="AL86" s="847">
        <f ca="1">L86</f>
        <v>19.439</v>
      </c>
      <c r="AM86" s="778">
        <v>18.285283104649</v>
      </c>
      <c r="AN86" s="778">
        <v>15.531229783089</v>
      </c>
      <c r="AO86" s="778">
        <v>18.4342230802955</v>
      </c>
      <c r="AP86" s="778">
        <v>15.7918506010747</v>
      </c>
      <c r="AQ86" s="848">
        <v>13.3630724097093</v>
      </c>
      <c r="AR86" s="847">
        <f ca="1">R86</f>
        <v>18.6398</v>
      </c>
      <c r="AS86" s="778">
        <v>18.0372200865908</v>
      </c>
      <c r="AT86" s="778">
        <v>18.548904045644</v>
      </c>
      <c r="AU86" s="778">
        <v>17.3009847075473</v>
      </c>
      <c r="AV86" s="778">
        <v>15.0214839738927</v>
      </c>
      <c r="AW86" s="848">
        <v>12.1266380876433</v>
      </c>
      <c r="AX86" s="847">
        <f ca="1">X86</f>
        <v>12.9339</v>
      </c>
      <c r="AY86" s="778">
        <v>12.7963238557254</v>
      </c>
      <c r="AZ86" s="778">
        <v>14.3983930880516</v>
      </c>
      <c r="BA86" s="778">
        <v>11.0784790142357</v>
      </c>
      <c r="BB86" s="778">
        <v>11.7401868085495</v>
      </c>
      <c r="BC86" s="848">
        <v>10.1213801363892</v>
      </c>
      <c r="BD86" s="847">
        <f ca="1">AD86</f>
        <v>12.4849</v>
      </c>
      <c r="BE86" s="778">
        <v>12.7838345671624</v>
      </c>
      <c r="BF86" s="778">
        <v>15.5062457521629</v>
      </c>
      <c r="BG86" s="778">
        <v>11.4931908863573</v>
      </c>
      <c r="BH86" s="778">
        <v>12.2156576237082</v>
      </c>
      <c r="BI86" s="848">
        <v>8.94832314922583</v>
      </c>
      <c r="BJ86" s="16"/>
      <c r="BK86" s="849" t="str">
        <f ca="1">$K86</f>
        <v>Current</v>
      </c>
      <c r="BL86" s="847">
        <f ca="1">AL86</f>
        <v>19.439</v>
      </c>
      <c r="BM86" s="778">
        <v>11.2645577634905</v>
      </c>
      <c r="BN86" s="778">
        <v>16.9769983363012</v>
      </c>
      <c r="BO86" s="778">
        <v>14.6397946127696</v>
      </c>
      <c r="BP86" s="778">
        <v>18.4969909334805</v>
      </c>
      <c r="BQ86" s="848">
        <v>17.0383556428308</v>
      </c>
      <c r="BR86" s="847">
        <f ca="1">AR86</f>
        <v>18.6398</v>
      </c>
      <c r="BS86" s="778">
        <v>11.0988919387388</v>
      </c>
      <c r="BT86" s="778">
        <v>17.1678038497184</v>
      </c>
      <c r="BU86" s="778">
        <v>15.3184158666614</v>
      </c>
      <c r="BV86" s="778">
        <v>20.2337090247079</v>
      </c>
      <c r="BW86" s="848">
        <v>17.0249074363471</v>
      </c>
      <c r="BX86" s="847">
        <f ca="1">AX86</f>
        <v>12.9339</v>
      </c>
      <c r="BY86" s="778">
        <v>6.55210704601697</v>
      </c>
      <c r="BZ86" s="778">
        <v>7.58057147914367</v>
      </c>
      <c r="CA86" s="778"/>
      <c r="CB86" s="778">
        <v>15.7600485469973</v>
      </c>
      <c r="CC86" s="848">
        <v>13.1807660592666</v>
      </c>
      <c r="CD86" s="847">
        <f ca="1">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923</v>
      </c>
      <c r="D87" s="16"/>
      <c r="E87" s="724">
        <f ca="1">AVERAGE(BM16:BQ27)</f>
        <v>16.855510192182262</v>
      </c>
      <c r="F87" s="724">
        <f ca="1">AVERAGE(BS16:BW27)</f>
        <v>16.195028889155573</v>
      </c>
      <c r="G87" s="724">
        <f ca="1">AVERAGE(BY16:CC27)</f>
        <v>10.485944434620379</v>
      </c>
      <c r="H87" s="724">
        <f ca="1">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924</v>
      </c>
      <c r="D88" s="16"/>
      <c r="E88" s="724">
        <f ca="1">AVERAGE(BM24:BQ35)</f>
        <v>14.892234450874573</v>
      </c>
      <c r="F88" s="724">
        <f ca="1">AVERAGE(BS24:BW35)</f>
        <v>14.540423109972403</v>
      </c>
      <c r="G88" s="724">
        <f ca="1">AVERAGE(BY24:CC35)</f>
        <v>8.87013984911078</v>
      </c>
      <c r="H88" s="724">
        <f ca="1">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925</v>
      </c>
      <c r="D89" s="16"/>
      <c r="E89" s="724">
        <f ca="1">AVERAGE(BM36:BQ75)</f>
        <v>27.20363279358067</v>
      </c>
      <c r="F89" s="724">
        <f ca="1">AVERAGE(BS36:BW75)</f>
        <v>15.825453469779573</v>
      </c>
      <c r="G89" s="724">
        <f ca="1">AVERAGE(BY36:CC75)</f>
        <v>10.073825521986931</v>
      </c>
      <c r="H89" s="724">
        <f ca="1">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926</v>
      </c>
      <c r="D90" s="16"/>
      <c r="E90" s="724">
        <f ca="1">AVERAGE(BM36:BQ51)</f>
        <v>15.126464651316216</v>
      </c>
      <c r="F90" s="724">
        <f ca="1">AVERAGE(BS36:BW51)</f>
        <v>14.60348394048503</v>
      </c>
      <c r="G90" s="724">
        <f ca="1">AVERAGE(BY36:CC51)</f>
        <v>8.170565698635658</v>
      </c>
      <c r="H90" s="724">
        <f ca="1">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927</v>
      </c>
      <c r="D91" s="16"/>
      <c r="E91" s="724">
        <f ca="1">AVERAGE(BM48:BQ63)</f>
        <v>15.360279171429923</v>
      </c>
      <c r="F91" s="724">
        <f ca="1">AVERAGE(BS48:BW63)</f>
        <v>14.410938400731766</v>
      </c>
      <c r="G91" s="724">
        <f ca="1">AVERAGE(BY48:CC63)</f>
        <v>9.464302022430516</v>
      </c>
      <c r="H91" s="724">
        <f ca="1">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928</v>
      </c>
      <c r="D92" s="16"/>
      <c r="E92" s="724">
        <f ca="1">AVERAGE(BM60:BQ75)</f>
        <v>45.38155669503511</v>
      </c>
      <c r="F92" s="724">
        <f ca="1">AVERAGE(BS60:BW75)</f>
        <v>17.69359258907459</v>
      </c>
      <c r="G92" s="724">
        <f ca="1">AVERAGE(BY60:CC75)</f>
        <v>12.404240663294244</v>
      </c>
      <c r="H92" s="724">
        <f ca="1">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G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 ca="1">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929</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 ca="1">Summary!T$6</f>
        <v>2023</v>
      </c>
      <c r="E6" s="851">
        <f ca="1">Summary!U$6</f>
        <v>2024</v>
      </c>
      <c r="F6" s="851">
        <f ca="1">Summary!V$6</f>
        <v>2025</v>
      </c>
      <c r="G6" s="851" t="str">
        <f ca="1">Summary!W$6</f>
        <v>2026e</v>
      </c>
      <c r="H6" s="851" t="str">
        <f ca="1">Summary!X$6</f>
        <v>2027e</v>
      </c>
      <c r="I6" s="852" t="str">
        <f ca="1">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 ca="1">Summary!T16</f>
        <v>0.05634632374595072</v>
      </c>
      <c r="E7" s="855">
        <f ca="1">Summary!U16</f>
        <v>0.08751455341797416</v>
      </c>
      <c r="F7" s="855">
        <f ca="1">Summary!V16</f>
        <v>0.12156657030927374</v>
      </c>
      <c r="G7" s="855">
        <f ca="1">Summary!W16</f>
        <v>0.08226262669098001</v>
      </c>
      <c r="H7" s="855">
        <f ca="1">Summary!X16</f>
        <v>-0.10015651845772622</v>
      </c>
      <c r="I7" s="855">
        <f ca="1">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 ca="1">Summary!T28</f>
        <v>0.10295460601046151</v>
      </c>
      <c r="E8" s="855">
        <f ca="1">Summary!U28</f>
        <v>0.10761906081942674</v>
      </c>
      <c r="F8" s="855">
        <f ca="1">Summary!V28</f>
        <v>0.14634273468977757</v>
      </c>
      <c r="G8" s="855">
        <f ca="1">Summary!W28</f>
        <v>-2.056461923334251</v>
      </c>
      <c r="H8" s="855">
        <f ca="1">Summary!X28</f>
        <v>-0.08728209284612236</v>
      </c>
      <c r="I8" s="855">
        <f ca="1">Summary!Y28</f>
        <v>-0.07600000000000003</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930</v>
      </c>
      <c r="D9" s="858">
        <f ca="1">Summary!T20</f>
        <v>0.03245032183875808</v>
      </c>
      <c r="E9" s="858">
        <f ca="1">Summary!U20</f>
        <v>0.059336364140378114</v>
      </c>
      <c r="F9" s="858">
        <f ca="1">Summary!V20</f>
        <v>0.06512494837996807</v>
      </c>
      <c r="G9" s="858">
        <f ca="1">Summary!W20</f>
        <v>-1.6084228142922035</v>
      </c>
      <c r="H9" s="858">
        <f ca="1">Summary!X20</f>
        <v>-0.0847327825692951</v>
      </c>
      <c r="I9" s="858">
        <f ca="1">Summary!Y20</f>
        <v>-0.0790190508344941</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 ca="1">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3" x14ac:dyDescent="0.25">
      <c r="A28" s="17"/>
      <c r="B28" s="16"/>
      <c r="C28" s="110" t="str">
        <f ca="1">'Revenue Build'!$C$32</f>
        <v>Home Improvement Retail Revenue</v>
      </c>
      <c r="D28" s="110"/>
      <c r="E28" s="110"/>
      <c r="F28" s="110"/>
      <c r="G28" s="110"/>
      <c r="H28" s="110"/>
      <c r="I28" s="110"/>
      <c r="J28" s="16"/>
      <c r="K28" s="110" t="str">
        <f ca="1">'Revenue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 ca="1">D6</f>
        <v>2023</v>
      </c>
      <c r="E30" s="851">
        <f ca="1">E6</f>
        <v>2024</v>
      </c>
      <c r="F30" s="851">
        <f ca="1">F6</f>
        <v>2025</v>
      </c>
      <c r="G30" s="851" t="str">
        <f ca="1">G6</f>
        <v>2026e</v>
      </c>
      <c r="H30" s="851" t="str">
        <f ca="1">H6</f>
        <v>2027e</v>
      </c>
      <c r="I30" s="852" t="str">
        <f ca="1">I6</f>
        <v>2028e</v>
      </c>
      <c r="J30" s="16"/>
      <c r="K30" s="190"/>
      <c r="L30" s="851">
        <f t="shared" ref="L30:Q30" si="1" ca="1">D30</f>
        <v>2023</v>
      </c>
      <c r="M30" s="851">
        <f ca="1">E30</f>
        <v>2024</v>
      </c>
      <c r="N30" s="851">
        <f ca="1">F30</f>
        <v>2025</v>
      </c>
      <c r="O30" s="851" t="str">
        <f ca="1">G30</f>
        <v>2026e</v>
      </c>
      <c r="P30" s="851" t="str">
        <f ca="1">H30</f>
        <v>2027e</v>
      </c>
      <c r="Q30" s="852" t="str">
        <f ca="1">I30</f>
        <v>2028e</v>
      </c>
      <c r="R30" s="16"/>
      <c r="S30" s="16"/>
      <c r="T30" s="16"/>
      <c r="U30" s="16"/>
      <c r="V30" s="16"/>
      <c r="W30" s="16"/>
      <c r="X30" s="16"/>
      <c r="Y30" s="16"/>
      <c r="Z30" s="16"/>
      <c r="AA30" s="16"/>
      <c r="AB30" s="16"/>
      <c r="AC30" s="16"/>
      <c r="AD30" s="16"/>
    </row>
    <row r="31" ht="13.5" customHeight="1" spans="1:30" x14ac:dyDescent="0.25">
      <c r="A31" s="17"/>
      <c r="B31" s="16"/>
      <c r="C31" s="859" t="str">
        <f ca="1">C28</f>
        <v>Home Improvement Retail Revenue</v>
      </c>
      <c r="D31" s="832">
        <f t="array" ref="D31" ca="1">INDEX(Revenue_Data_Summary,MATCH($C31,'Revenue Build'!$C$28:$C$49,0),MATCH(Charts!D$30,'Revenue Build'!$C$28:$AG$28,0))</f>
        <v>71309</v>
      </c>
      <c r="E31" s="832">
        <f t="array" ref="E31" ca="1">INDEX(Revenue_Data_Summary,MATCH($C31,'Revenue Build'!$C$28:$C$49,0),MATCH(Charts!E$30,'Revenue Build'!$C$28:$AG$28,0))</f>
        <v>72148</v>
      </c>
      <c r="F31" s="832">
        <f t="array" ref="F31" ca="1">INDEX(Revenue_Data_Summary,MATCH($C31,'Revenue Build'!$C$28:$C$49,0),MATCH(Charts!F$30,'Revenue Build'!$C$28:$AG$28,0))</f>
        <v>89597</v>
      </c>
      <c r="G31" s="832">
        <f t="array" ref="G31" ca="1">INDEX(Revenue_Data_Summary,MATCH($C31,'Revenue Build'!$C$28:$C$49,0),MATCH(Charts!G$30,'Revenue Build'!$C$28:$AG$28,0))</f>
        <v>96682.1</v>
      </c>
      <c r="H31" s="832">
        <f t="array" ref="H31" ca="1">INDEX(Revenue_Data_Summary,MATCH($C31,'Revenue Build'!$C$28:$C$49,0),MATCH(Charts!H$30,'Revenue Build'!$C$28:$AG$28,0))</f>
        <v>105236.82134671998</v>
      </c>
      <c r="I31" s="832">
        <f t="array" ref="I31" ca="1">INDEX(Revenue_Data_Summary,MATCH($C31,'Revenue Build'!$C$28:$C$49,0),MATCH(Charts!I$30,'Revenue Build'!$C$28:$AG$28,0))</f>
        <v>107341.55777365438</v>
      </c>
      <c r="J31" s="16"/>
      <c r="K31" s="859" t="str">
        <f ca="1">K28</f>
        <v>Total Company Revenue</v>
      </c>
      <c r="L31" s="832">
        <f t="array" ref="L31" ca="1">INDEX(Revenue_Data_Summary,MATCH($K31,'Revenue Build'!$C$28:$C$49,0),MATCH(Charts!L$30,'Revenue Build'!$C$28:$AG$28,0))</f>
        <v>71309</v>
      </c>
      <c r="M31" s="832">
        <f t="array" ref="M31" ca="1">INDEX(Revenue_Data_Summary,MATCH($K31,'Revenue Build'!$C$28:$C$49,0),MATCH(Charts!M$30,'Revenue Build'!$C$28:$AG$28,0))</f>
        <v>72148</v>
      </c>
      <c r="N31" s="832">
        <f t="array" ref="N31" ca="1">INDEX(Revenue_Data_Summary,MATCH($K31,'Revenue Build'!$C$28:$C$49,0),MATCH(Charts!N$30,'Revenue Build'!$C$28:$AG$28,0))</f>
        <v>89597</v>
      </c>
      <c r="O31" s="832">
        <f t="array" ref="O31" ca="1">INDEX(Revenue_Data_Summary,MATCH($K31,'Revenue Build'!$C$28:$C$49,0),MATCH(Charts!O$30,'Revenue Build'!$C$28:$AG$28,0))</f>
        <v>96682.1</v>
      </c>
      <c r="P31" s="832">
        <f t="array" ref="P31" ca="1">INDEX(Revenue_Data_Summary,MATCH($K31,'Revenue Build'!$C$28:$C$49,0),MATCH(Charts!P$30,'Revenue Build'!$C$28:$AG$28,0))</f>
        <v>105236.82134671998</v>
      </c>
      <c r="Q31" s="832">
        <f t="array" ref="Q31" ca="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931</v>
      </c>
      <c r="D32" s="860">
        <v>0</v>
      </c>
      <c r="E32" s="861">
        <f t="shared" ref="E32:I32" si="2" ca="1">E31/D31-1</f>
        <v>0.01176569577472697</v>
      </c>
      <c r="F32" s="861">
        <f ca="1">F31/E31-1</f>
        <v>0.2418500859344681</v>
      </c>
      <c r="G32" s="861">
        <f ca="1">G31/F31-1</f>
        <v>0.07907742446733712</v>
      </c>
      <c r="H32" s="861">
        <f ca="1">H31/G31-1</f>
        <v>0.08848299061273979</v>
      </c>
      <c r="I32" s="861">
        <f ca="1">I31/H31-1</f>
        <v>0.020000000000000018</v>
      </c>
      <c r="J32" s="16"/>
      <c r="K32" s="857" t="s">
        <v>931</v>
      </c>
      <c r="L32" s="860">
        <v>0</v>
      </c>
      <c r="M32" s="861">
        <f t="shared" ref="M32:Q32" si="3" ca="1">M31/L31-1</f>
        <v>0.01176569577472697</v>
      </c>
      <c r="N32" s="861">
        <f ca="1">N31/M31-1</f>
        <v>0.2418500859344681</v>
      </c>
      <c r="O32" s="861">
        <f ca="1">O31/N31-1</f>
        <v>0.07907742446733712</v>
      </c>
      <c r="P32" s="861">
        <f ca="1">P31/O31-1</f>
        <v>0.08848299061273979</v>
      </c>
      <c r="Q32" s="861">
        <f ca="1">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 ca="1">'Revenue Build'!$C$35</f>
        <v>Segment 2 Revenue</v>
      </c>
      <c r="D48" s="110"/>
      <c r="E48" s="110"/>
      <c r="F48" s="110"/>
      <c r="G48" s="110"/>
      <c r="H48" s="110"/>
      <c r="I48" s="110"/>
      <c r="J48" s="16"/>
      <c r="K48" s="110" t="str">
        <f ca="1">'Revenue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 ca="1">D30</f>
        <v>2023</v>
      </c>
      <c r="E50" s="851">
        <f ca="1">E30</f>
        <v>2024</v>
      </c>
      <c r="F50" s="851">
        <f ca="1">F30</f>
        <v>2025</v>
      </c>
      <c r="G50" s="851" t="str">
        <f ca="1">G30</f>
        <v>2026e</v>
      </c>
      <c r="H50" s="851" t="str">
        <f ca="1">H30</f>
        <v>2027e</v>
      </c>
      <c r="I50" s="852" t="str">
        <f ca="1">I30</f>
        <v>2028e</v>
      </c>
      <c r="J50" s="16"/>
      <c r="K50" s="190"/>
      <c r="L50" s="851">
        <f t="shared" ref="L50:Q50" si="5" ca="1">L30</f>
        <v>2023</v>
      </c>
      <c r="M50" s="851">
        <f ca="1">M30</f>
        <v>2024</v>
      </c>
      <c r="N50" s="851">
        <f ca="1">N30</f>
        <v>2025</v>
      </c>
      <c r="O50" s="851" t="str">
        <f ca="1">O30</f>
        <v>2026e</v>
      </c>
      <c r="P50" s="851" t="str">
        <f ca="1">P30</f>
        <v>2027e</v>
      </c>
      <c r="Q50" s="852" t="str">
        <f ca="1">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 ca="1">C48</f>
        <v>Segment 2 Revenue</v>
      </c>
      <c r="D51" s="832">
        <f t="array" ref="D51" ca="1">INDEX(Revenue_Data_Summary,MATCH($C51,'Revenue Build'!$C$28:$C$49,0),MATCH(Charts!D$50,'Revenue Build'!$C$28:$AG$28,0))</f>
        <v>0</v>
      </c>
      <c r="E51" s="832">
        <f t="array" ref="E51" ca="1">INDEX(Revenue_Data_Summary,MATCH($C51,'Revenue Build'!$C$28:$C$49,0),MATCH(Charts!E$50,'Revenue Build'!$C$28:$AG$28,0))</f>
        <v>0</v>
      </c>
      <c r="F51" s="832">
        <f t="array" ref="F51" ca="1">INDEX(Revenue_Data_Summary,MATCH($C51,'Revenue Build'!$C$28:$C$49,0),MATCH(Charts!F$50,'Revenue Build'!$C$28:$AG$28,0))</f>
        <v>0</v>
      </c>
      <c r="G51" s="832">
        <f t="array" ref="G51" ca="1">INDEX(Revenue_Data_Summary,MATCH($C51,'Revenue Build'!$C$28:$C$49,0),MATCH(Charts!G$50,'Revenue Build'!$C$28:$AG$28,0))</f>
        <v>0</v>
      </c>
      <c r="H51" s="832">
        <f t="array" ref="H51" ca="1">INDEX(Revenue_Data_Summary,MATCH($C51,'Revenue Build'!$C$28:$C$49,0),MATCH(Charts!H$50,'Revenue Build'!$C$28:$AG$28,0))</f>
        <v>0</v>
      </c>
      <c r="I51" s="832">
        <f t="array" ref="I51" ca="1">INDEX(Revenue_Data_Summary,MATCH($C51,'Revenue Build'!$C$28:$C$49,0),MATCH(Charts!I$50,'Revenue Build'!$C$28:$AG$28,0))</f>
        <v>0</v>
      </c>
      <c r="J51" s="16"/>
      <c r="K51" s="859" t="str">
        <f ca="1">K48</f>
        <v>Segment 5 Revenue</v>
      </c>
      <c r="L51" s="832">
        <f t="array" ref="L51" ca="1">INDEX(Revenue_Data_Summary,MATCH($K51,'Revenue Build'!$C$28:$C$49,0),MATCH(Charts!L$50,'Revenue Build'!$C$28:$AG$28,0))</f>
        <v>0</v>
      </c>
      <c r="M51" s="832">
        <f t="array" ref="M51" ca="1">INDEX(Revenue_Data_Summary,MATCH($K51,'Revenue Build'!$C$28:$C$49,0),MATCH(Charts!M$50,'Revenue Build'!$C$28:$AG$28,0))</f>
        <v>0</v>
      </c>
      <c r="N51" s="832">
        <f t="array" ref="N51" ca="1">INDEX(Revenue_Data_Summary,MATCH($K51,'Revenue Build'!$C$28:$C$49,0),MATCH(Charts!N$50,'Revenue Build'!$C$28:$AG$28,0))</f>
        <v>0</v>
      </c>
      <c r="O51" s="832">
        <f t="array" ref="O51" ca="1">INDEX(Revenue_Data_Summary,MATCH($K51,'Revenue Build'!$C$28:$C$49,0),MATCH(Charts!O$50,'Revenue Build'!$C$28:$AG$28,0))</f>
        <v>0</v>
      </c>
      <c r="P51" s="832">
        <f t="array" ref="P51" ca="1">INDEX(Revenue_Data_Summary,MATCH($K51,'Revenue Build'!$C$28:$C$49,0),MATCH(Charts!P$50,'Revenue Build'!$C$28:$AG$28,0))</f>
        <v>0</v>
      </c>
      <c r="Q51" s="832">
        <f t="array" ref="Q51" ca="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931</v>
      </c>
      <c r="D52" s="860">
        <v>0</v>
      </c>
      <c r="E52" s="861">
        <f ca="1">E51/D51-1</f>
      </c>
      <c r="F52" s="861">
        <f ca="1">F51/E51-1</f>
      </c>
      <c r="G52" s="861">
        <f ca="1">G51/F51-1</f>
      </c>
      <c r="H52" s="861">
        <f ca="1">H51/G51-1</f>
      </c>
      <c r="I52" s="861">
        <f ca="1">I51/H51-1</f>
      </c>
      <c r="J52" s="16"/>
      <c r="K52" s="857" t="s">
        <v>931</v>
      </c>
      <c r="L52" s="860">
        <v>0</v>
      </c>
      <c r="M52" s="861">
        <v>0</v>
      </c>
      <c r="N52" s="861">
        <f ca="1">N51/M51-1</f>
      </c>
      <c r="O52" s="861">
        <f ca="1">O51/N51-1</f>
      </c>
      <c r="P52" s="861">
        <f ca="1">P51/O51-1</f>
      </c>
      <c r="Q52" s="861">
        <f ca="1">Q51/P51-1</f>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 ca="1">Ticker&amp;" - Free Cash Flow"</f>
        <v>LOW - Free Cash Flow</v>
      </c>
      <c r="D68" s="110"/>
      <c r="E68" s="110"/>
      <c r="F68" s="110"/>
      <c r="G68" s="110"/>
      <c r="H68" s="110"/>
      <c r="I68" s="110"/>
      <c r="J68" s="199"/>
      <c r="K68" s="110" t="str">
        <f ca="1">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6" ca="1">D50</f>
        <v>2023</v>
      </c>
      <c r="E70" s="851">
        <f ca="1">E50</f>
        <v>2024</v>
      </c>
      <c r="F70" s="851">
        <f ca="1">F50</f>
        <v>2025</v>
      </c>
      <c r="G70" s="851" t="str">
        <f ca="1">G50</f>
        <v>2026e</v>
      </c>
      <c r="H70" s="851" t="str">
        <f ca="1">H50</f>
        <v>2027e</v>
      </c>
      <c r="I70" s="852" t="str">
        <f ca="1">I50</f>
        <v>2028e</v>
      </c>
      <c r="J70" s="16"/>
      <c r="K70" s="190"/>
      <c r="L70" s="851">
        <f t="shared" ref="L70:Q70" si="7" ca="1">L50</f>
        <v>2023</v>
      </c>
      <c r="M70" s="851">
        <f ca="1">M50</f>
        <v>2024</v>
      </c>
      <c r="N70" s="851">
        <f ca="1">N50</f>
        <v>2025</v>
      </c>
      <c r="O70" s="851" t="str">
        <f ca="1">O50</f>
        <v>2026e</v>
      </c>
      <c r="P70" s="851" t="str">
        <f ca="1">P50</f>
        <v>2027e</v>
      </c>
      <c r="Q70" s="852" t="str">
        <f ca="1">Q50</f>
        <v>2028e</v>
      </c>
      <c r="R70" s="16"/>
      <c r="S70" s="16"/>
      <c r="T70" s="16"/>
      <c r="U70" s="16"/>
      <c r="V70" s="16"/>
      <c r="W70" s="16"/>
      <c r="X70" s="16"/>
      <c r="Y70" s="16"/>
      <c r="Z70" s="16"/>
      <c r="AA70" s="16"/>
      <c r="AB70" s="16"/>
      <c r="AC70" s="16"/>
      <c r="AD70" s="16"/>
    </row>
    <row r="71" ht="13.5" customHeight="1" spans="1:30" x14ac:dyDescent="0.25">
      <c r="A71" s="17"/>
      <c r="B71" s="16"/>
      <c r="C71" s="854" t="str">
        <f ca="1">Model!C112</f>
        <v>Free Cash Flow (FCF)</v>
      </c>
      <c r="D71" s="832">
        <f t="array" ref="D71" ca="1">INDEX(Data,MATCH($C71,Line_Items,0),MATCH(Charts!D$70,Fiscal_Periods,0))</f>
        <v>3799</v>
      </c>
      <c r="E71" s="832">
        <f t="array" ref="E71" ca="1">INDEX(Data,MATCH($C71,Line_Items,0),MATCH(Charts!E$70,Fiscal_Periods,0))</f>
        <v>2821</v>
      </c>
      <c r="F71" s="832">
        <f t="array" ref="F71" ca="1">INDEX(Data,MATCH($C71,Line_Items,0),MATCH(Charts!F$70,Fiscal_Periods,0))</f>
        <v>5715</v>
      </c>
      <c r="G71" s="832">
        <f ca="1">INDEX(Data,MATCH($C71,Line_Items,0),MATCH(Charts!G$70,Fiscal_Periods,0))</f>
      </c>
      <c r="H71" s="832">
        <f ca="1">INDEX(Data,MATCH($C71,Line_Items,0),MATCH(Charts!H$70,Fiscal_Periods,0))</f>
      </c>
      <c r="I71" s="832">
        <f ca="1">INDEX(Data,MATCH($C71,Line_Items,0),MATCH(Charts!I$70,Fiscal_Periods,0))</f>
      </c>
      <c r="J71" s="16"/>
      <c r="K71" s="854" t="str">
        <f ca="1">Model!C57</f>
        <v>Adj. EPS (Diluted)</v>
      </c>
      <c r="L71" s="862">
        <f t="array" ref="L71" ca="1">INDEX(Data,MATCH($K71,Line_Items,0),MATCH(Charts!L$70,Fiscal_Periods,0))</f>
        <v>5.194244694132335</v>
      </c>
      <c r="M71" s="862">
        <f t="array" ref="M71" ca="1">INDEX(Data,MATCH($K71,Line_Items,0),MATCH(Charts!M$70,Fiscal_Periods,0))</f>
        <v>5.579900124843945</v>
      </c>
      <c r="N71" s="862">
        <f t="array" ref="N71" ca="1">INDEX(Data,MATCH($K71,Line_Items,0),MATCH(Charts!N$70,Fiscal_Periods,0))</f>
        <v>8.875826666666669</v>
      </c>
      <c r="O71" s="862">
        <f ca="1">INDEX(Data,MATCH($K71,Line_Items,0),MATCH(Charts!O$70,Fiscal_Periods,0))</f>
      </c>
      <c r="P71" s="862">
        <f ca="1">INDEX(Data,MATCH($K71,Line_Items,0),MATCH(Charts!P$70,Fiscal_Periods,0))</f>
      </c>
      <c r="Q71" s="862">
        <f ca="1">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931</v>
      </c>
      <c r="D72" s="860">
        <v>0</v>
      </c>
      <c r="E72" s="861">
        <f t="shared" ref="E72:I72" si="8" ca="1">E71/D71-1</f>
        <v>-0.257436167412477</v>
      </c>
      <c r="F72" s="861">
        <f ca="1">F71/E71-1</f>
        <v>1.0258773484579935</v>
      </c>
      <c r="G72" s="861">
        <f ca="1">G71/F71-1</f>
        <v>-1</v>
      </c>
      <c r="H72" s="861">
        <f ca="1">H71/G71-1</f>
      </c>
      <c r="I72" s="861">
        <f ca="1">I71/H71-1</f>
      </c>
      <c r="J72" s="16"/>
      <c r="K72" s="857" t="s">
        <v>931</v>
      </c>
      <c r="L72" s="860">
        <v>0</v>
      </c>
      <c r="M72" s="861">
        <f t="shared" ref="M72:Q72" si="9" ca="1">M71/L71-1</f>
        <v>0.07424668136009549</v>
      </c>
      <c r="N72" s="861">
        <f ca="1">N71/M71-1</f>
        <v>0.5906784114554204</v>
      </c>
      <c r="O72" s="861">
        <f ca="1">O71/N71-1</f>
        <v>-1</v>
      </c>
      <c r="P72" s="861">
        <f ca="1">P71/O71-1</f>
      </c>
      <c r="Q72" s="861">
        <f ca="1">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 ca="1">'Revenue Build'!$C$30</f>
        <v>Total Company Revenue</v>
      </c>
      <c r="D88" s="110"/>
      <c r="E88" s="110"/>
      <c r="F88" s="110"/>
      <c r="G88" s="110"/>
      <c r="H88" s="110"/>
      <c r="I88" s="110"/>
      <c r="J88" s="110"/>
      <c r="K88" s="110"/>
      <c r="L88" s="110"/>
      <c r="M88" s="110"/>
      <c r="N88" s="110"/>
      <c r="O88" s="110"/>
      <c r="P88" s="110"/>
      <c r="Q88" s="110"/>
      <c r="R88" s="841" t="str">
        <f ca="1">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0" ca="1">E90-1</f>
        <v>2019</v>
      </c>
      <c r="E90" s="851">
        <f ca="1">F90-1</f>
        <v>2020</v>
      </c>
      <c r="F90" s="851">
        <f ca="1">G90-1</f>
        <v>2021</v>
      </c>
      <c r="G90" s="851">
        <f ca="1">H90-1</f>
        <v>2022</v>
      </c>
      <c r="H90" s="851">
        <f t="shared" ref="H90:M90" si="11" ca="1">D70</f>
        <v>2023</v>
      </c>
      <c r="I90" s="851">
        <f ca="1">E70</f>
        <v>2024</v>
      </c>
      <c r="J90" s="851">
        <f ca="1">F70</f>
        <v>2025</v>
      </c>
      <c r="K90" s="851" t="str">
        <f ca="1">G70</f>
        <v>2026e</v>
      </c>
      <c r="L90" s="851" t="str">
        <f ca="1">H70</f>
        <v>2027e</v>
      </c>
      <c r="M90" s="851" t="str">
        <f ca="1">I70</f>
        <v>2028e</v>
      </c>
      <c r="N90" s="851" t="str">
        <f ca="1">H90&amp;" YTD"</f>
        <v>2023 YTD</v>
      </c>
      <c r="O90" s="851" t="str">
        <f ca="1">J90&amp;" YTD"</f>
        <v>2025 YTD</v>
      </c>
      <c r="P90" s="851" t="str">
        <f t="shared" ref="P90:Q90" si="12" ca="1">LEFT(G70,4)&amp;" YTD"</f>
        <v>2026 YTD</v>
      </c>
      <c r="Q90" s="852" t="str">
        <f ca="1">LEFT(H70,4)&amp;" YTD"</f>
        <v>2027 YTD</v>
      </c>
      <c r="R90" s="16"/>
      <c r="S90" s="16"/>
      <c r="T90" s="16"/>
      <c r="U90" s="16"/>
      <c r="V90" s="16"/>
      <c r="W90" s="16"/>
      <c r="X90" s="16"/>
      <c r="Y90" s="16"/>
      <c r="Z90" s="16"/>
      <c r="AA90" s="16"/>
      <c r="AB90" s="16"/>
      <c r="AC90" s="16"/>
      <c r="AD90" s="16"/>
    </row>
    <row r="91" ht="13.5" customHeight="1" spans="1:30" x14ac:dyDescent="0.25">
      <c r="A91" s="17"/>
      <c r="B91" s="16"/>
      <c r="C91" s="859" t="str">
        <f ca="1">C88</f>
        <v>Total Company Revenue</v>
      </c>
      <c r="D91" s="863">
        <v>56223</v>
      </c>
      <c r="E91" s="863">
        <v>59074</v>
      </c>
      <c r="F91" s="863">
        <v>65017</v>
      </c>
      <c r="G91" s="863">
        <v>68619</v>
      </c>
      <c r="H91" s="832">
        <f t="array" ref="H91" ca="1">INDEX(Revenue_Data_Summary,MATCH($C91,'Revenue Build'!$C$28:$C$49,0),MATCH(Charts!H$90,'Revenue Build'!$C$28:$AG$28,0))</f>
        <v>71309</v>
      </c>
      <c r="I91" s="832">
        <f t="array" ref="I91" ca="1">INDEX(Revenue_Data_Summary,MATCH($C91,'Revenue Build'!$C$28:$C$49,0),MATCH(Charts!I$90,'Revenue Build'!$C$28:$AG$28,0))</f>
        <v>72148</v>
      </c>
      <c r="J91" s="832">
        <f t="array" ref="J91" ca="1">INDEX(Revenue_Data_Summary,MATCH($C91,'Revenue Build'!$C$28:$C$49,0),MATCH(Charts!J$90,'Revenue Build'!$C$28:$AG$28,0))</f>
        <v>89597</v>
      </c>
      <c r="K91" s="832">
        <f t="array" ref="K91" ca="1">INDEX(Revenue_Data_Summary,MATCH($C91,'Revenue Build'!$C$28:$C$49,0),MATCH(Charts!K$90,'Revenue Build'!$C$28:$AG$28,0))</f>
        <v>96682.1</v>
      </c>
      <c r="L91" s="832">
        <f t="array" ref="L91" ca="1">INDEX(Revenue_Data_Summary,MATCH($C91,'Revenue Build'!$C$28:$C$49,0),MATCH(Charts!L$90,'Revenue Build'!$C$28:$AG$28,0))</f>
        <v>105236.82134671998</v>
      </c>
      <c r="M91" s="832">
        <f t="array" ref="M91" ca="1">INDEX(Revenue_Data_Summary,MATCH($C91,'Revenue Build'!$C$28:$C$49,0),MATCH(Charts!M$90,'Revenue Build'!$C$28:$AG$28,0))</f>
        <v>107341.55777365438</v>
      </c>
      <c r="N91" s="832">
        <f ca="1">IF(Charts!$R$88="1Q",SUM('Revenue Build'!K30),IF(Charts!$R$88="2Q",SUM('Revenue Build'!K30:L30),IF(Charts!$R$88="3Q",SUM('Revenue Build'!K30:M30),IF(Charts!$R$88="4Q",SUM('Revenue Build'!K30:N30),"N/A"))))</f>
        <v>38733</v>
      </c>
      <c r="O91" s="832">
        <f ca="1">IF(Charts!$R$88="1Q",SUM('Revenue Build'!P30),IF(Charts!$R$88="2Q",SUM('Revenue Build'!P30:Q30),IF(Charts!$R$88="3Q",SUM('Revenue Build'!P30:R30),IF(Charts!$R$88="4Q",SUM('Revenue Build'!P30:S30),"N/A"))))</f>
        <v>46977</v>
      </c>
      <c r="P91" s="832">
        <f ca="1">IF(Charts!$R$88="1Q",SUM('Revenue Build'!U30),IF(Charts!$R$88="2Q",SUM('Revenue Build'!U30:V30),IF(Charts!$R$88="3Q",SUM('Revenue Build'!U30:W30),IF(Charts!$R$88="4Q",SUM('Revenue Build'!U30:X30),"N/A"))))</f>
        <v>51992</v>
      </c>
      <c r="Q91" s="832">
        <f ca="1">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931</v>
      </c>
      <c r="D92" s="860">
        <v>0.053</v>
      </c>
      <c r="E92" s="861">
        <f t="shared" ref="E92:M92" si="13" ca="1">E91/D91-1</f>
        <v>0.05070878466108186</v>
      </c>
      <c r="F92" s="861">
        <f ca="1">F91/E91-1</f>
        <v>0.1006026339844941</v>
      </c>
      <c r="G92" s="861">
        <f ca="1">G91/F91-1</f>
        <v>0.055400895150499174</v>
      </c>
      <c r="H92" s="861">
        <f ca="1">H91/G91-1</f>
        <v>0.03920197029977124</v>
      </c>
      <c r="I92" s="861">
        <f ca="1">I91/H91-1</f>
        <v>0.01176569577472697</v>
      </c>
      <c r="J92" s="861">
        <f ca="1">J91/I91-1</f>
        <v>0.2418500859344681</v>
      </c>
      <c r="K92" s="861">
        <f ca="1">K91/J91-1</f>
        <v>0.07907742446733712</v>
      </c>
      <c r="L92" s="861">
        <f ca="1">L91/K91-1</f>
        <v>0.08848299061273979</v>
      </c>
      <c r="M92" s="861">
        <f ca="1">M91/L91-1</f>
        <v>0.020000000000000018</v>
      </c>
      <c r="N92" s="861">
        <v>0.175</v>
      </c>
      <c r="O92" s="861">
        <f t="shared" ref="O92:Q92" si="14" ca="1">O91/N91-1</f>
        <v>0.21284176283789025</v>
      </c>
      <c r="P92" s="861">
        <f ca="1">P91/O91-1</f>
        <v>0.10675436915937597</v>
      </c>
      <c r="Q92" s="861">
        <f ca="1">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932</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 ca="1">'Segment Analysis'!$C$16</f>
        <v>Home Improvement Retail</v>
      </c>
      <c r="E116" s="864" t="str">
        <f ca="1">'Segment Analysis'!$C$17</f>
        <v>Segment 2</v>
      </c>
      <c r="F116" s="864" t="str">
        <f ca="1">'Segment Analysis'!$C$20</f>
        <v>Segment 5</v>
      </c>
      <c r="G116" s="864" t="str">
        <f ca="1">'Segment Analysis'!$C$18</f>
        <v>Segment 3</v>
      </c>
      <c r="H116" s="864" t="str">
        <f ca="1">'Segment Analysis'!$C$19</f>
        <v>Segment 4</v>
      </c>
      <c r="I116" s="865" t="str">
        <f ca="1">'Segment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933</v>
      </c>
      <c r="D117" s="866">
        <f ca="1">'Segment Analysis'!$T$16</f>
        <v>1</v>
      </c>
      <c r="E117" s="867">
        <f ca="1">'Segment Analysis'!$T$17</f>
        <v>1e-12</v>
      </c>
      <c r="F117" s="867">
        <f ca="1">'Segment Analysis'!$T$20</f>
        <v>1e-12</v>
      </c>
      <c r="G117" s="867">
        <f ca="1">'Segment Analysis'!$T$18</f>
        <v>1e-12</v>
      </c>
      <c r="H117" s="867">
        <f ca="1">'Segment Analysis'!$T$19</f>
        <v>1e-12</v>
      </c>
      <c r="I117" s="867">
        <f ca="1">'Segment Analysis'!$T$21</f>
        <v>1e-12</v>
      </c>
      <c r="J117" s="168" t="s">
        <v>934</v>
      </c>
      <c r="K117" s="868">
        <f ca="1">SUM(D117:I117)</f>
        <v>1</v>
      </c>
      <c r="L117" s="16" t="s">
        <v>935</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 ca="1">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5" ca="1">D135+1</f>
        <v>2022</v>
      </c>
      <c r="F135" s="871">
        <f ca="1">E135+1</f>
        <v>2023</v>
      </c>
      <c r="G135" s="871">
        <f ca="1">F135+1</f>
        <v>2024</v>
      </c>
      <c r="H135" s="871">
        <f ca="1">G135+1</f>
        <v>2025</v>
      </c>
      <c r="I135" s="871">
        <f ca="1">H135+1</f>
        <v>2026</v>
      </c>
      <c r="J135" s="871">
        <f ca="1">I135+1</f>
        <v>2027</v>
      </c>
      <c r="K135" s="871">
        <f ca="1">J135+1</f>
        <v>2028</v>
      </c>
      <c r="L135" s="871">
        <f ca="1">K135+1</f>
        <v>2029</v>
      </c>
      <c r="M135" s="871">
        <f ca="1">L135+1</f>
        <v>2030</v>
      </c>
      <c r="N135" s="871">
        <f ca="1">M135+1</f>
        <v>2031</v>
      </c>
      <c r="O135" s="871">
        <f ca="1">N135+1</f>
        <v>2032</v>
      </c>
      <c r="P135" s="871">
        <f ca="1">O135+1</f>
        <v>2033</v>
      </c>
      <c r="Q135" s="872">
        <f ca="1">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936</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937</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938</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939</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940</v>
      </c>
      <c r="D157" s="110"/>
      <c r="E157" s="110"/>
      <c r="F157" s="110"/>
      <c r="G157" s="110"/>
      <c r="H157" s="110"/>
      <c r="I157" s="110"/>
      <c r="J157" s="16"/>
      <c r="K157" s="110" t="s">
        <v>941</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6" ca="1">EDATE(D159,12)</f>
        <v>43100</v>
      </c>
      <c r="F159" s="876">
        <f ca="1">EDATE(E159,12)</f>
        <v>43465</v>
      </c>
      <c r="G159" s="876">
        <f ca="1">EDATE(F159,12)</f>
        <v>43830</v>
      </c>
      <c r="H159" s="876">
        <f ca="1">EDATE(G159,12)</f>
        <v>44196</v>
      </c>
      <c r="I159" s="877">
        <f ca="1">EDATE(H159,12)</f>
        <v>44561</v>
      </c>
      <c r="J159" s="16"/>
      <c r="K159" s="190" t="s">
        <v>942</v>
      </c>
      <c r="L159" s="875">
        <v>41639</v>
      </c>
      <c r="M159" s="876">
        <f t="shared" ref="M159:Q159" si="17" ca="1">EDATE(L159,12)</f>
        <v>42004</v>
      </c>
      <c r="N159" s="876">
        <f ca="1">EDATE(M159,12)</f>
        <v>42369</v>
      </c>
      <c r="O159" s="876">
        <f ca="1">EDATE(N159,12)</f>
        <v>42735</v>
      </c>
      <c r="P159" s="876">
        <f ca="1">EDATE(O159,12)</f>
        <v>43100</v>
      </c>
      <c r="Q159" s="877">
        <f ca="1">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943</v>
      </c>
      <c r="D160" s="863">
        <v>380</v>
      </c>
      <c r="E160" s="863">
        <v>400</v>
      </c>
      <c r="F160" s="863">
        <v>420</v>
      </c>
      <c r="G160" s="863">
        <v>460</v>
      </c>
      <c r="H160" s="863">
        <v>480</v>
      </c>
      <c r="I160" s="863">
        <v>490</v>
      </c>
      <c r="J160" s="16"/>
      <c r="K160" s="857" t="s">
        <v>944</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 ca="1">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945</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946</v>
      </c>
      <c r="E179" s="210" t="s">
        <v>255</v>
      </c>
      <c r="F179" s="210" t="s">
        <v>253</v>
      </c>
      <c r="G179" s="210" t="s">
        <v>252</v>
      </c>
      <c r="H179" s="210" t="s">
        <v>251</v>
      </c>
      <c r="I179" s="16"/>
      <c r="J179" s="16"/>
      <c r="K179" s="16"/>
      <c r="L179" s="16"/>
      <c r="M179" s="16"/>
      <c r="N179" s="239" t="s">
        <v>947</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 ca="1">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18" ca="1">$D$181</f>
        <v>205.899994</v>
      </c>
      <c r="G181" s="127">
        <f ca="1">$D$181</f>
        <v>205.899994</v>
      </c>
      <c r="H181" s="127">
        <f ca="1">$D$181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 ca="1">MAX(D181:D447)*1.1</f>
        <v>231.47700400000002</v>
      </c>
      <c r="P183" s="136">
        <f ca="1">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19" ca="1">MIN(D181:D447)*0.9</f>
        <v>130.6723068</v>
      </c>
      <c r="P184" s="136">
        <f ca="1">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 ca="1">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948</v>
      </c>
      <c r="D4" s="132"/>
      <c r="E4" s="880">
        <f ca="1">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949</v>
      </c>
      <c r="D5" s="16"/>
      <c r="E5" s="881">
        <f ca="1">Current_Date</f>
        <v>45903</v>
      </c>
      <c r="F5" s="16"/>
      <c r="G5" s="841" t="str">
        <f ca="1">Comparables!F10</f>
        <v>LOW</v>
      </c>
      <c r="H5" s="841" t="str">
        <f ca="1">Comparables!F12</f>
        <v>AAPL</v>
      </c>
      <c r="I5" s="841" t="str">
        <f ca="1">Comparables!F13</f>
        <v>FB</v>
      </c>
      <c r="J5" s="841" t="str">
        <f ca="1">Comparables!F14</f>
        <v>MSFT</v>
      </c>
      <c r="K5" s="841" t="str">
        <f ca="1">Comparables!F15</f>
        <v>SNAP</v>
      </c>
      <c r="L5" s="841" t="str">
        <f ca="1">Comparables!F16</f>
        <v>GOOGL</v>
      </c>
      <c r="M5" s="16"/>
      <c r="N5" s="16"/>
      <c r="O5" s="16"/>
      <c r="P5" s="16"/>
      <c r="Q5" s="16"/>
      <c r="R5" s="16"/>
      <c r="S5" s="16"/>
      <c r="T5" s="16"/>
      <c r="U5" s="16"/>
      <c r="V5" s="16"/>
      <c r="W5" s="16"/>
      <c r="X5" s="16"/>
      <c r="Y5" s="16"/>
      <c r="Z5" s="16"/>
    </row>
    <row r="6" ht="13.5" customHeight="1" spans="1:26" x14ac:dyDescent="0.25">
      <c r="A6" s="17"/>
      <c r="B6" s="16"/>
      <c r="C6" s="192" t="s">
        <v>950</v>
      </c>
      <c r="D6" s="131"/>
      <c r="E6" s="882">
        <f ca="1">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 ca="1">"Revenue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951</v>
      </c>
      <c r="D10" s="112"/>
      <c r="E10" s="112"/>
      <c r="F10" s="47"/>
      <c r="G10" s="16"/>
      <c r="H10" s="16"/>
      <c r="I10" s="16"/>
      <c r="J10" s="16"/>
      <c r="K10" s="16"/>
      <c r="L10" s="16"/>
      <c r="M10" s="16"/>
      <c r="N10" s="16"/>
      <c r="O10" s="883" t="s">
        <v>952</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 ca="1">TRANSPOSE(G5:L5)</f>
        <v>LOW</v>
      </c>
      <c r="D12" s="885">
        <f ca="1">Comparables!J10</f>
        <v>0.03688944339654232</v>
      </c>
      <c r="E12" s="886"/>
      <c r="F12" s="16"/>
      <c r="G12" s="16"/>
      <c r="H12" s="16"/>
      <c r="I12" s="16"/>
      <c r="J12" s="16"/>
      <c r="K12" s="16"/>
      <c r="L12" s="16"/>
      <c r="M12" s="16"/>
      <c r="N12" s="16"/>
      <c r="O12" s="884" t="str">
        <f t="shared" ref="O12:P12" si="0" ca="1">C12</f>
        <v>LOW</v>
      </c>
      <c r="P12" s="886">
        <f ca="1">D12</f>
        <v>0.03688944339654232</v>
      </c>
      <c r="Q12" s="886"/>
      <c r="R12" s="16"/>
      <c r="S12" s="16"/>
      <c r="T12" s="16"/>
      <c r="U12" s="16"/>
      <c r="V12" s="16"/>
      <c r="W12" s="16"/>
      <c r="X12" s="16"/>
      <c r="Y12" s="16"/>
      <c r="Z12" s="16"/>
    </row>
    <row r="13" ht="13.5" customHeight="1" spans="1:26" x14ac:dyDescent="0.25">
      <c r="A13" s="17"/>
      <c r="B13" s="641">
        <v>1</v>
      </c>
      <c r="C13" s="737" t="s">
        <v>499</v>
      </c>
      <c r="D13" s="887">
        <f ca="1">Comparables!J12+RAND()/1000000</f>
        <v>0.33343323867194397</v>
      </c>
      <c r="E13" s="888">
        <f ca="1">MEDIAN(D13:D17)</f>
        <v>0.37490880589460296</v>
      </c>
      <c r="F13" s="16"/>
      <c r="G13" s="16"/>
      <c r="H13" s="16"/>
      <c r="I13" s="16"/>
      <c r="J13" s="16"/>
      <c r="K13" s="16"/>
      <c r="L13" s="16"/>
      <c r="M13" s="16"/>
      <c r="N13" s="16"/>
      <c r="O13" s="737" t="str">
        <f t="shared" ref="O13:O17" si="1" ca="1">INDEX($C$13:$C$17,MATCH(P13,$D$13:$D$17,0),1)</f>
        <v>SNAP</v>
      </c>
      <c r="P13" s="888">
        <f t="shared" ref="P13:P17" si="2" ca="1">LARGE($D$13:$D$17,B13)</f>
        <v>0.6779075451673464</v>
      </c>
      <c r="Q13" s="888">
        <f t="shared" ref="Q13:Q17" si="3" ca="1">E13</f>
        <v>0.37490880589460296</v>
      </c>
      <c r="R13" s="888"/>
      <c r="S13" s="16"/>
      <c r="T13" s="16"/>
      <c r="U13" s="16"/>
      <c r="V13" s="16"/>
      <c r="W13" s="16"/>
      <c r="X13" s="16"/>
      <c r="Y13" s="16"/>
      <c r="Z13" s="16"/>
    </row>
    <row r="14" ht="13.5" customHeight="1" spans="1:26" x14ac:dyDescent="0.25">
      <c r="A14" s="17"/>
      <c r="B14" s="16">
        <f t="shared" ref="B14:B17" si="4" ca="1">B13+1</f>
        <v>2</v>
      </c>
      <c r="C14" s="737" t="s">
        <v>502</v>
      </c>
      <c r="D14" s="887">
        <f ca="1">Comparables!J13+RAND()/1000000</f>
        <v>0.3890753383698792</v>
      </c>
      <c r="E14" s="888">
        <f t="shared" ref="E14:E17" si="5" ca="1">E13</f>
        <v>0.37490880589460296</v>
      </c>
      <c r="F14" s="16"/>
      <c r="G14" s="16"/>
      <c r="H14" s="16"/>
      <c r="I14" s="16"/>
      <c r="J14" s="16"/>
      <c r="K14" s="16"/>
      <c r="L14" s="16"/>
      <c r="M14" s="16"/>
      <c r="N14" s="16"/>
      <c r="O14" s="737" t="str">
        <f ca="1">INDEX($C$13:$C$17,MATCH(P14,$D$13:$D$17,0),1)</f>
        <v>FB</v>
      </c>
      <c r="P14" s="888">
        <f ca="1">LARGE($D$13:$D$17,B14)</f>
        <v>0.3890753383698792</v>
      </c>
      <c r="Q14" s="888">
        <f ca="1">E14</f>
        <v>0.37490880589460296</v>
      </c>
      <c r="R14" s="888"/>
      <c r="S14" s="16"/>
      <c r="T14" s="16"/>
      <c r="U14" s="16"/>
      <c r="V14" s="16"/>
      <c r="W14" s="16"/>
      <c r="X14" s="16"/>
      <c r="Y14" s="16"/>
      <c r="Z14" s="16"/>
    </row>
    <row r="15" ht="13.5" customHeight="1" spans="1:26" x14ac:dyDescent="0.25">
      <c r="A15" s="17"/>
      <c r="B15" s="16">
        <f ca="1">B14+1</f>
        <v>3</v>
      </c>
      <c r="C15" s="737" t="s">
        <v>506</v>
      </c>
      <c r="D15" s="887">
        <f ca="1">Comparables!J14+RAND()/1000000</f>
        <v>0.1407100860422761</v>
      </c>
      <c r="E15" s="888">
        <f ca="1">E14</f>
        <v>0.37490880589460296</v>
      </c>
      <c r="F15" s="16"/>
      <c r="G15" s="16"/>
      <c r="H15" s="16"/>
      <c r="I15" s="16"/>
      <c r="J15" s="16"/>
      <c r="K15" s="16"/>
      <c r="L15" s="16"/>
      <c r="M15" s="16"/>
      <c r="N15" s="16"/>
      <c r="O15" s="737" t="str">
        <f ca="1">INDEX($C$13:$C$17,MATCH(P15,$D$13:$D$17,0),1)</f>
        <v>GOOGL</v>
      </c>
      <c r="P15" s="888">
        <f ca="1">LARGE($D$13:$D$17,B15)</f>
        <v>0.37490880589460296</v>
      </c>
      <c r="Q15" s="888">
        <f ca="1">E15</f>
        <v>0.37490880589460296</v>
      </c>
      <c r="R15" s="888"/>
      <c r="S15" s="16"/>
      <c r="T15" s="16"/>
      <c r="U15" s="16"/>
      <c r="V15" s="16"/>
      <c r="W15" s="16"/>
      <c r="X15" s="16"/>
      <c r="Y15" s="16"/>
      <c r="Z15" s="16"/>
    </row>
    <row r="16" ht="13.5" customHeight="1" spans="1:26" x14ac:dyDescent="0.25">
      <c r="A16" s="17"/>
      <c r="B16" s="16">
        <f ca="1">B15+1</f>
        <v>4</v>
      </c>
      <c r="C16" s="737" t="s">
        <v>509</v>
      </c>
      <c r="D16" s="887">
        <f ca="1">Comparables!J15+RAND()/1000000</f>
        <v>0.6779075451673464</v>
      </c>
      <c r="E16" s="888">
        <f ca="1">E15</f>
        <v>0.37490880589460296</v>
      </c>
      <c r="F16" s="16"/>
      <c r="G16" s="16"/>
      <c r="H16" s="16"/>
      <c r="I16" s="16"/>
      <c r="J16" s="16"/>
      <c r="K16" s="16"/>
      <c r="L16" s="16"/>
      <c r="M16" s="16"/>
      <c r="N16" s="16"/>
      <c r="O16" s="737" t="str">
        <f ca="1">INDEX($C$13:$C$17,MATCH(P16,$D$13:$D$17,0),1)</f>
        <v>AAPL</v>
      </c>
      <c r="P16" s="888">
        <f ca="1">LARGE($D$13:$D$17,B16)</f>
        <v>0.33343323867194397</v>
      </c>
      <c r="Q16" s="888">
        <f ca="1">E16</f>
        <v>0.37490880589460296</v>
      </c>
      <c r="R16" s="888"/>
      <c r="S16" s="16"/>
      <c r="T16" s="16"/>
      <c r="U16" s="16"/>
      <c r="V16" s="16"/>
      <c r="W16" s="16"/>
      <c r="X16" s="16"/>
      <c r="Y16" s="16"/>
      <c r="Z16" s="16"/>
    </row>
    <row r="17" ht="13.5" customHeight="1" spans="1:26" x14ac:dyDescent="0.25">
      <c r="A17" s="17"/>
      <c r="B17" s="16">
        <f ca="1">B16+1</f>
        <v>5</v>
      </c>
      <c r="C17" s="737" t="s">
        <v>512</v>
      </c>
      <c r="D17" s="887">
        <f ca="1">Comparables!J16+RAND()/1000000</f>
        <v>0.37490880589460296</v>
      </c>
      <c r="E17" s="888">
        <f ca="1">E16</f>
        <v>0.37490880589460296</v>
      </c>
      <c r="F17" s="16"/>
      <c r="G17" s="16"/>
      <c r="H17" s="16"/>
      <c r="I17" s="16"/>
      <c r="J17" s="16"/>
      <c r="K17" s="16"/>
      <c r="L17" s="16"/>
      <c r="M17" s="16"/>
      <c r="N17" s="16"/>
      <c r="O17" s="737" t="str">
        <f ca="1">INDEX($C$13:$C$17,MATCH(P17,$D$13:$D$17,0),1)</f>
        <v>MSFT</v>
      </c>
      <c r="P17" s="888">
        <f ca="1">LARGE($D$13:$D$17,B17)</f>
        <v>0.1407100860422761</v>
      </c>
      <c r="Q17" s="888">
        <f ca="1">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 ca="1">"Median "&amp;TEXT(E13,"0.0%")</f>
        <v>Median 37.5%</v>
      </c>
      <c r="F19" s="16"/>
      <c r="G19" s="16"/>
      <c r="H19" s="16"/>
      <c r="I19" s="16"/>
      <c r="J19" s="16"/>
      <c r="K19" s="16"/>
      <c r="L19" s="16"/>
      <c r="M19" s="16"/>
      <c r="N19" s="16"/>
      <c r="O19" s="16"/>
      <c r="P19" s="16"/>
      <c r="Q19" s="889" t="str">
        <f ca="1">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 ca="1">"EPS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 ca="1">C10</f>
        <v>Raw Data</v>
      </c>
      <c r="D26" s="112"/>
      <c r="E26" s="112"/>
      <c r="F26" s="47"/>
      <c r="G26" s="16"/>
      <c r="H26" s="16"/>
      <c r="I26" s="16"/>
      <c r="J26" s="16"/>
      <c r="K26" s="16"/>
      <c r="L26" s="16"/>
      <c r="M26" s="16"/>
      <c r="N26" s="16"/>
      <c r="O26" s="883" t="str">
        <f ca="1">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 ca="1">C12</f>
        <v>LOW</v>
      </c>
      <c r="D28" s="885">
        <f ca="1">Comparables!L10</f>
        <v>0.46253161290322575</v>
      </c>
      <c r="E28" s="886"/>
      <c r="F28" s="16"/>
      <c r="G28" s="16"/>
      <c r="H28" s="16"/>
      <c r="I28" s="16"/>
      <c r="J28" s="16"/>
      <c r="K28" s="16"/>
      <c r="L28" s="16"/>
      <c r="M28" s="16"/>
      <c r="N28" s="16"/>
      <c r="O28" s="884" t="str">
        <f t="shared" ref="O28:P28" si="7" ca="1">C28</f>
        <v>LOW</v>
      </c>
      <c r="P28" s="886">
        <f ca="1">D28</f>
        <v>0.46253161290322575</v>
      </c>
      <c r="Q28" s="886"/>
      <c r="R28" s="16"/>
      <c r="S28" s="16"/>
      <c r="T28" s="16"/>
      <c r="U28" s="16"/>
      <c r="V28" s="16"/>
      <c r="W28" s="16"/>
      <c r="X28" s="16"/>
      <c r="Y28" s="16"/>
      <c r="Z28" s="16"/>
    </row>
    <row r="29" ht="13.5" customHeight="1" spans="1:26" x14ac:dyDescent="0.25">
      <c r="A29" s="17"/>
      <c r="B29" s="641">
        <v>1</v>
      </c>
      <c r="C29" s="737" t="str">
        <f ca="1">C13</f>
        <v>AAPL</v>
      </c>
      <c r="D29" s="887">
        <f ca="1">Comparables!L12+RAND()/1000000</f>
        <v>0.7012020314160003</v>
      </c>
      <c r="E29" s="888">
        <f ca="1">MEDIAN(D29:D33)</f>
        <v>0.3988127954533375</v>
      </c>
      <c r="F29" s="16"/>
      <c r="G29" s="16"/>
      <c r="H29" s="16"/>
      <c r="I29" s="16"/>
      <c r="J29" s="16"/>
      <c r="K29" s="16"/>
      <c r="L29" s="16"/>
      <c r="M29" s="16"/>
      <c r="N29" s="16"/>
      <c r="O29" s="737" t="str">
        <f t="shared" ref="O29:O33" si="8" ca="1">INDEX($C$29:$C$33,MATCH(P29,$D$29:$D$33,0),1)</f>
        <v>GOOGL</v>
      </c>
      <c r="P29" s="888">
        <f t="shared" ref="P29:P33" si="9" ca="1">LARGE($D$29:$D$33,B29)</f>
        <v>0.7232150660085166</v>
      </c>
      <c r="Q29" s="888">
        <f t="shared" ref="Q29:Q33" si="10" ca="1">E29</f>
        <v>0.3988127954533375</v>
      </c>
      <c r="R29" s="16"/>
      <c r="S29" s="16"/>
      <c r="T29" s="16"/>
      <c r="U29" s="16"/>
      <c r="V29" s="16"/>
      <c r="W29" s="16"/>
      <c r="X29" s="16"/>
      <c r="Y29" s="16"/>
      <c r="Z29" s="16"/>
    </row>
    <row r="30" ht="13.5" customHeight="1" spans="1:26" x14ac:dyDescent="0.25">
      <c r="A30" s="17"/>
      <c r="B30" s="16">
        <f t="shared" ref="B30:B33" si="11" ca="1">B29+1</f>
        <v>2</v>
      </c>
      <c r="C30" s="737" t="str">
        <f ca="1">C14</f>
        <v>FB</v>
      </c>
      <c r="D30" s="887">
        <f ca="1">Comparables!L13+RAND()/1000000</f>
        <v>0.3988127954533375</v>
      </c>
      <c r="E30" s="888">
        <f t="shared" ref="E30:E33" si="12" ca="1">E29</f>
        <v>0.3988127954533375</v>
      </c>
      <c r="F30" s="16"/>
      <c r="G30" s="16"/>
      <c r="H30" s="16"/>
      <c r="I30" s="16"/>
      <c r="J30" s="16"/>
      <c r="K30" s="16"/>
      <c r="L30" s="16"/>
      <c r="M30" s="16"/>
      <c r="N30" s="16"/>
      <c r="O30" s="737" t="str">
        <f ca="1">INDEX($C$29:$C$33,MATCH(P30,$D$29:$D$33,0),1)</f>
        <v>AAPL</v>
      </c>
      <c r="P30" s="888">
        <f ca="1">LARGE($D$29:$D$33,B30)</f>
        <v>0.7012020314160003</v>
      </c>
      <c r="Q30" s="888">
        <f ca="1">E30</f>
        <v>0.3988127954533375</v>
      </c>
      <c r="R30" s="16"/>
      <c r="S30" s="16"/>
      <c r="T30" s="16"/>
      <c r="U30" s="16"/>
      <c r="V30" s="16"/>
      <c r="W30" s="16"/>
      <c r="X30" s="16"/>
      <c r="Y30" s="16"/>
      <c r="Z30" s="16"/>
    </row>
    <row r="31" ht="13.5" customHeight="1" spans="1:26" x14ac:dyDescent="0.25">
      <c r="A31" s="17"/>
      <c r="B31" s="16">
        <f ca="1">B30+1</f>
        <v>3</v>
      </c>
      <c r="C31" s="737" t="str">
        <f ca="1">C15</f>
        <v>MSFT</v>
      </c>
      <c r="D31" s="887">
        <f ca="1">Comparables!L14+RAND()/1000000</f>
        <v>0.09440952450277135</v>
      </c>
      <c r="E31" s="888">
        <f ca="1">E30</f>
        <v>0.3988127954533375</v>
      </c>
      <c r="F31" s="16"/>
      <c r="G31" s="16"/>
      <c r="H31" s="16"/>
      <c r="I31" s="16"/>
      <c r="J31" s="16"/>
      <c r="K31" s="16"/>
      <c r="L31" s="16"/>
      <c r="M31" s="16"/>
      <c r="N31" s="16"/>
      <c r="O31" s="737" t="str">
        <f ca="1">INDEX($C$29:$C$33,MATCH(P31,$D$29:$D$33,0),1)</f>
        <v>FB</v>
      </c>
      <c r="P31" s="888">
        <f ca="1">LARGE($D$29:$D$33,B31)</f>
        <v>0.3988127954533375</v>
      </c>
      <c r="Q31" s="888">
        <f ca="1">E31</f>
        <v>0.3988127954533375</v>
      </c>
      <c r="R31" s="16"/>
      <c r="S31" s="16"/>
      <c r="T31" s="16"/>
      <c r="U31" s="16"/>
      <c r="V31" s="16"/>
      <c r="W31" s="16"/>
      <c r="X31" s="16"/>
      <c r="Y31" s="16"/>
      <c r="Z31" s="16"/>
    </row>
    <row r="32" ht="13.5" customHeight="1" spans="1:26" x14ac:dyDescent="0.25">
      <c r="A32" s="17"/>
      <c r="B32" s="16">
        <f ca="1">B31+1</f>
        <v>4</v>
      </c>
      <c r="C32" s="737" t="str">
        <f ca="1">C16</f>
        <v>SNAP</v>
      </c>
      <c r="D32" s="887">
        <f ca="1">Comparables!L15+RAND()/1000000</f>
        <v>-1.553075948467474</v>
      </c>
      <c r="E32" s="888">
        <f ca="1">E31</f>
        <v>0.3988127954533375</v>
      </c>
      <c r="F32" s="16"/>
      <c r="G32" s="16"/>
      <c r="H32" s="16"/>
      <c r="I32" s="16"/>
      <c r="J32" s="16"/>
      <c r="K32" s="16"/>
      <c r="L32" s="16"/>
      <c r="M32" s="16"/>
      <c r="N32" s="16"/>
      <c r="O32" s="737" t="str">
        <f ca="1">INDEX($C$29:$C$33,MATCH(P32,$D$29:$D$33,0),1)</f>
        <v>MSFT</v>
      </c>
      <c r="P32" s="888">
        <f ca="1">LARGE($D$29:$D$33,B32)</f>
        <v>0.09440952450277135</v>
      </c>
      <c r="Q32" s="888">
        <f ca="1">E32</f>
        <v>0.3988127954533375</v>
      </c>
      <c r="R32" s="16"/>
      <c r="S32" s="16"/>
      <c r="T32" s="16"/>
      <c r="U32" s="16"/>
      <c r="V32" s="16"/>
      <c r="W32" s="16"/>
      <c r="X32" s="16"/>
      <c r="Y32" s="16"/>
      <c r="Z32" s="16"/>
    </row>
    <row r="33" ht="13.5" customHeight="1" spans="1:26" x14ac:dyDescent="0.25">
      <c r="A33" s="17"/>
      <c r="B33" s="16">
        <f ca="1">B32+1</f>
        <v>5</v>
      </c>
      <c r="C33" s="737" t="str">
        <f ca="1">C17</f>
        <v>GOOGL</v>
      </c>
      <c r="D33" s="887">
        <f ca="1">Comparables!L16+RAND()/1000000</f>
        <v>0.7232150660085166</v>
      </c>
      <c r="E33" s="888">
        <f ca="1">E32</f>
        <v>0.3988127954533375</v>
      </c>
      <c r="F33" s="16"/>
      <c r="G33" s="16"/>
      <c r="H33" s="16"/>
      <c r="I33" s="16"/>
      <c r="J33" s="16"/>
      <c r="K33" s="16"/>
      <c r="L33" s="16"/>
      <c r="M33" s="16"/>
      <c r="N33" s="16"/>
      <c r="O33" s="737" t="str">
        <f ca="1">INDEX($C$29:$C$33,MATCH(P33,$D$29:$D$33,0),1)</f>
        <v>SNAP</v>
      </c>
      <c r="P33" s="888">
        <f ca="1">LARGE($D$29:$D$33,B33)</f>
        <v>-1.553075948467474</v>
      </c>
      <c r="Q33" s="888">
        <f ca="1">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 ca="1">"Median "&amp;TEXT(E29,"0.0%")</f>
        <v>Median 39.9%</v>
      </c>
      <c r="F35" s="16"/>
      <c r="G35" s="16"/>
      <c r="H35" s="16"/>
      <c r="I35" s="16"/>
      <c r="J35" s="16"/>
      <c r="K35" s="16"/>
      <c r="L35" s="16"/>
      <c r="M35" s="16"/>
      <c r="N35" s="16"/>
      <c r="O35" s="16"/>
      <c r="P35" s="16"/>
      <c r="Q35" s="889" t="str">
        <f ca="1">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953</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 ca="1">C26</f>
        <v>Raw Data</v>
      </c>
      <c r="D42" s="112"/>
      <c r="E42" s="112"/>
      <c r="F42" s="47"/>
      <c r="G42" s="16"/>
      <c r="H42" s="16"/>
      <c r="I42" s="16"/>
      <c r="J42" s="16"/>
      <c r="K42" s="16"/>
      <c r="L42" s="16"/>
      <c r="M42" s="16"/>
      <c r="N42" s="16"/>
      <c r="O42" s="883" t="str">
        <f ca="1">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 ca="1">C28</f>
        <v>LOW</v>
      </c>
      <c r="D44" s="890">
        <f ca="1">Comparables!R10</f>
        <v>12.5309555137087</v>
      </c>
      <c r="E44" s="886"/>
      <c r="F44" s="16"/>
      <c r="G44" s="16"/>
      <c r="H44" s="16"/>
      <c r="I44" s="16"/>
      <c r="J44" s="16"/>
      <c r="K44" s="16"/>
      <c r="L44" s="16"/>
      <c r="M44" s="16"/>
      <c r="N44" s="16"/>
      <c r="O44" s="884" t="str">
        <f t="shared" ref="O44:P44" si="14" ca="1">C44</f>
        <v>LOW</v>
      </c>
      <c r="P44" s="891">
        <f ca="1">D44</f>
        <v>12.5309555137087</v>
      </c>
      <c r="Q44" s="886"/>
      <c r="R44" s="16"/>
      <c r="S44" s="16"/>
      <c r="T44" s="16"/>
      <c r="U44" s="16"/>
      <c r="V44" s="16"/>
      <c r="W44" s="16"/>
      <c r="X44" s="16"/>
      <c r="Y44" s="16"/>
      <c r="Z44" s="16"/>
    </row>
    <row r="45" ht="13.5" customHeight="1" spans="1:26" x14ac:dyDescent="0.25">
      <c r="A45" s="17"/>
      <c r="B45" s="641">
        <v>1</v>
      </c>
      <c r="C45" s="737" t="str">
        <f ca="1">C29</f>
        <v>AAPL</v>
      </c>
      <c r="D45" s="892">
        <f ca="1">Comparables!R12+RAND()/1000000</f>
        <v>20.059111550519248</v>
      </c>
      <c r="E45" s="893">
        <f ca="1">MEDIAN(D45:D49)</f>
        <v>20.059111550519248</v>
      </c>
      <c r="F45" s="16"/>
      <c r="G45" s="16"/>
      <c r="H45" s="16"/>
      <c r="I45" s="16"/>
      <c r="J45" s="16"/>
      <c r="K45" s="16"/>
      <c r="L45" s="16"/>
      <c r="M45" s="16"/>
      <c r="N45" s="16"/>
      <c r="O45" s="737" t="str">
        <f t="shared" ref="O45:O49" si="15" ca="1">INDEX($C$45:$C$49,MATCH(P45,$D$45:$D$49,0),1)</f>
        <v>SNAP</v>
      </c>
      <c r="P45" s="893">
        <f t="shared" ref="P45:P49" si="16" ca="1">LARGE($D$45:$D$49,B45)</f>
        <v>211.9460448199162</v>
      </c>
      <c r="Q45" s="893">
        <f t="shared" ref="Q45:Q49" si="17" ca="1">E45</f>
        <v>20.059111550519248</v>
      </c>
      <c r="R45" s="16"/>
      <c r="S45" s="16"/>
      <c r="T45" s="16"/>
      <c r="U45" s="16"/>
      <c r="V45" s="16"/>
      <c r="W45" s="16"/>
      <c r="X45" s="16"/>
      <c r="Y45" s="16"/>
      <c r="Z45" s="16"/>
    </row>
    <row r="46" ht="13.5" customHeight="1" spans="1:26" x14ac:dyDescent="0.25">
      <c r="A46" s="17"/>
      <c r="B46" s="16">
        <f t="shared" ref="B46:B49" si="18" ca="1">B45+1</f>
        <v>2</v>
      </c>
      <c r="C46" s="737" t="str">
        <f ca="1">C30</f>
        <v>FB</v>
      </c>
      <c r="D46" s="892">
        <f ca="1">Comparables!R13+RAND()/1000000</f>
        <v>15.16214615732942</v>
      </c>
      <c r="E46" s="893">
        <f t="shared" ref="E46:E49" si="19" ca="1">E45</f>
        <v>20.059111550519248</v>
      </c>
      <c r="F46" s="16"/>
      <c r="G46" s="16"/>
      <c r="H46" s="16"/>
      <c r="I46" s="16"/>
      <c r="J46" s="16"/>
      <c r="K46" s="16"/>
      <c r="L46" s="16"/>
      <c r="M46" s="16"/>
      <c r="N46" s="16"/>
      <c r="O46" s="737" t="str">
        <f ca="1">INDEX($C$45:$C$49,MATCH(P46,$D$45:$D$49,0),1)</f>
        <v>MSFT</v>
      </c>
      <c r="P46" s="893">
        <f ca="1">LARGE($D$45:$D$49,B46)</f>
        <v>23.640873331911656</v>
      </c>
      <c r="Q46" s="893">
        <f ca="1">E46</f>
        <v>20.059111550519248</v>
      </c>
      <c r="R46" s="16"/>
      <c r="S46" s="16"/>
      <c r="T46" s="16"/>
      <c r="U46" s="16"/>
      <c r="V46" s="16"/>
      <c r="W46" s="16"/>
      <c r="X46" s="16"/>
      <c r="Y46" s="16"/>
      <c r="Z46" s="16"/>
    </row>
    <row r="47" ht="13.5" customHeight="1" spans="1:26" x14ac:dyDescent="0.25">
      <c r="A47" s="17"/>
      <c r="B47" s="16">
        <f ca="1">B46+1</f>
        <v>3</v>
      </c>
      <c r="C47" s="737" t="str">
        <f ca="1">C31</f>
        <v>MSFT</v>
      </c>
      <c r="D47" s="892">
        <f ca="1">Comparables!R14+RAND()/1000000</f>
        <v>23.640873331911656</v>
      </c>
      <c r="E47" s="893">
        <f ca="1">E46</f>
        <v>20.059111550519248</v>
      </c>
      <c r="F47" s="16"/>
      <c r="G47" s="16"/>
      <c r="H47" s="16"/>
      <c r="I47" s="16"/>
      <c r="J47" s="16"/>
      <c r="K47" s="16"/>
      <c r="L47" s="16"/>
      <c r="M47" s="16"/>
      <c r="N47" s="16"/>
      <c r="O47" s="737" t="str">
        <f ca="1">INDEX($C$45:$C$49,MATCH(P47,$D$45:$D$49,0),1)</f>
        <v>AAPL</v>
      </c>
      <c r="P47" s="893">
        <f ca="1">LARGE($D$45:$D$49,B47)</f>
        <v>20.059111550519248</v>
      </c>
      <c r="Q47" s="893">
        <f ca="1">E47</f>
        <v>20.059111550519248</v>
      </c>
      <c r="R47" s="16"/>
      <c r="S47" s="16"/>
      <c r="T47" s="16"/>
      <c r="U47" s="16"/>
      <c r="V47" s="16"/>
      <c r="W47" s="16"/>
      <c r="X47" s="16"/>
      <c r="Y47" s="16"/>
      <c r="Z47" s="16"/>
    </row>
    <row r="48" ht="13.5" customHeight="1" spans="1:26" x14ac:dyDescent="0.25">
      <c r="A48" s="17"/>
      <c r="B48" s="16">
        <f ca="1">B47+1</f>
        <v>4</v>
      </c>
      <c r="C48" s="737" t="str">
        <f ca="1">C32</f>
        <v>SNAP</v>
      </c>
      <c r="D48" s="892">
        <f ca="1">Comparables!R15+RAND()/1000000</f>
        <v>211.9460448199162</v>
      </c>
      <c r="E48" s="893">
        <f ca="1">E47</f>
        <v>20.059111550519248</v>
      </c>
      <c r="F48" s="16"/>
      <c r="G48" s="16"/>
      <c r="H48" s="16"/>
      <c r="I48" s="16"/>
      <c r="J48" s="16"/>
      <c r="K48" s="16"/>
      <c r="L48" s="16"/>
      <c r="M48" s="16"/>
      <c r="N48" s="16"/>
      <c r="O48" s="737" t="str">
        <f ca="1">INDEX($C$45:$C$49,MATCH(P48,$D$45:$D$49,0),1)</f>
        <v>GOOGL</v>
      </c>
      <c r="P48" s="893">
        <f ca="1">LARGE($D$45:$D$49,B48)</f>
        <v>18.088799411048132</v>
      </c>
      <c r="Q48" s="893">
        <f ca="1">E48</f>
        <v>20.059111550519248</v>
      </c>
      <c r="R48" s="16"/>
      <c r="S48" s="16"/>
      <c r="T48" s="16"/>
      <c r="U48" s="16"/>
      <c r="V48" s="16"/>
      <c r="W48" s="16"/>
      <c r="X48" s="16"/>
      <c r="Y48" s="16"/>
      <c r="Z48" s="16"/>
    </row>
    <row r="49" ht="13.5" customHeight="1" spans="1:26" x14ac:dyDescent="0.25">
      <c r="A49" s="17"/>
      <c r="B49" s="16">
        <f ca="1">B48+1</f>
        <v>5</v>
      </c>
      <c r="C49" s="737" t="str">
        <f ca="1">C33</f>
        <v>GOOGL</v>
      </c>
      <c r="D49" s="892">
        <f ca="1">Comparables!R16+RAND()/1000000</f>
        <v>18.088799411048132</v>
      </c>
      <c r="E49" s="893">
        <f ca="1">E48</f>
        <v>20.059111550519248</v>
      </c>
      <c r="F49" s="16"/>
      <c r="G49" s="16"/>
      <c r="H49" s="16"/>
      <c r="I49" s="16"/>
      <c r="J49" s="16"/>
      <c r="K49" s="16"/>
      <c r="L49" s="16"/>
      <c r="M49" s="16"/>
      <c r="N49" s="16"/>
      <c r="O49" s="737" t="str">
        <f ca="1">INDEX($C$45:$C$49,MATCH(P49,$D$45:$D$49,0),1)</f>
        <v>FB</v>
      </c>
      <c r="P49" s="893">
        <f ca="1">LARGE($D$45:$D$49,B49)</f>
        <v>15.16214615732942</v>
      </c>
      <c r="Q49" s="893">
        <f ca="1">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 ca="1">"Median "&amp;TEXT(E45,"0.0x")</f>
        <v>Median 20.1x</v>
      </c>
      <c r="F51" s="16"/>
      <c r="G51" s="16"/>
      <c r="H51" s="16"/>
      <c r="I51" s="16"/>
      <c r="J51" s="16"/>
      <c r="K51" s="16"/>
      <c r="L51" s="16"/>
      <c r="M51" s="16"/>
      <c r="N51" s="16"/>
      <c r="O51" s="16"/>
      <c r="P51" s="16"/>
      <c r="Q51" s="889" t="str">
        <f ca="1">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954</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 ca="1">C42</f>
        <v>Raw Data</v>
      </c>
      <c r="D58" s="112"/>
      <c r="E58" s="112"/>
      <c r="F58" s="47"/>
      <c r="G58" s="16"/>
      <c r="H58" s="16"/>
      <c r="I58" s="16"/>
      <c r="J58" s="16"/>
      <c r="K58" s="16"/>
      <c r="L58" s="16"/>
      <c r="M58" s="16"/>
      <c r="N58" s="16"/>
      <c r="O58" s="883" t="str">
        <f ca="1">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 ca="1">C44</f>
        <v>LOW</v>
      </c>
      <c r="D60" s="890">
        <f ca="1">Comparables!V10</f>
        <v>17.846255042276262</v>
      </c>
      <c r="E60" s="886"/>
      <c r="F60" s="16"/>
      <c r="G60" s="16"/>
      <c r="H60" s="16"/>
      <c r="I60" s="16"/>
      <c r="J60" s="16"/>
      <c r="K60" s="16"/>
      <c r="L60" s="16"/>
      <c r="M60" s="16"/>
      <c r="N60" s="16"/>
      <c r="O60" s="884" t="str">
        <f t="shared" ref="O60:P60" si="21" ca="1">C60</f>
        <v>LOW</v>
      </c>
      <c r="P60" s="891">
        <f ca="1">D60</f>
        <v>17.846255042276262</v>
      </c>
      <c r="Q60" s="886"/>
      <c r="R60" s="16"/>
      <c r="S60" s="16"/>
      <c r="T60" s="16"/>
      <c r="U60" s="16"/>
      <c r="V60" s="16"/>
      <c r="W60" s="16"/>
      <c r="X60" s="16"/>
      <c r="Y60" s="16"/>
      <c r="Z60" s="16"/>
    </row>
    <row r="61" ht="13.5" customHeight="1" spans="1:26" x14ac:dyDescent="0.25">
      <c r="A61" s="17"/>
      <c r="B61" s="641">
        <v>1</v>
      </c>
      <c r="C61" s="737" t="str">
        <f ca="1">C45</f>
        <v>AAPL</v>
      </c>
      <c r="D61" s="892">
        <f ca="1">Comparables!V12+RAND()/1000000</f>
        <v>26.18405423006278</v>
      </c>
      <c r="E61" s="893">
        <f ca="1">MEDIAN(D61:D65)</f>
        <v>28.409247748400013</v>
      </c>
      <c r="F61" s="16"/>
      <c r="G61" s="16"/>
      <c r="H61" s="16"/>
      <c r="I61" s="16"/>
      <c r="J61" s="16"/>
      <c r="K61" s="16"/>
      <c r="L61" s="16"/>
      <c r="M61" s="16"/>
      <c r="N61" s="16"/>
      <c r="O61" s="737" t="str">
        <f t="shared" ref="O61:O65" si="22" ca="1">INDEX($C$61:$C$65,MATCH(P61,$D$61:$D$65,0),1)</f>
        <v>SNAP</v>
      </c>
      <c r="P61" s="893">
        <f t="shared" ref="P61:P65" si="23" ca="1">LARGE($D$61:$D$65,B61)</f>
        <v>214.40286185306496</v>
      </c>
      <c r="Q61" s="893">
        <f t="shared" ref="Q61:Q65" si="24" ca="1">E61</f>
        <v>28.409247748400013</v>
      </c>
      <c r="R61" s="16"/>
      <c r="S61" s="16"/>
      <c r="T61" s="16"/>
      <c r="U61" s="16"/>
      <c r="V61" s="16"/>
      <c r="W61" s="16"/>
      <c r="X61" s="16"/>
      <c r="Y61" s="16"/>
      <c r="Z61" s="16"/>
    </row>
    <row r="62" ht="13.5" customHeight="1" spans="1:26" x14ac:dyDescent="0.25">
      <c r="A62" s="17"/>
      <c r="B62" s="16">
        <f t="shared" ref="B62:B65" si="25" ca="1">B61+1</f>
        <v>2</v>
      </c>
      <c r="C62" s="737" t="str">
        <f ca="1">C46</f>
        <v>FB</v>
      </c>
      <c r="D62" s="892">
        <f ca="1">Comparables!V13+RAND()/1000000</f>
        <v>25.962800004398176</v>
      </c>
      <c r="E62" s="893">
        <f t="shared" ref="E62:E65" si="26" ca="1">E61</f>
        <v>28.409247748400013</v>
      </c>
      <c r="F62" s="16"/>
      <c r="G62" s="16"/>
      <c r="H62" s="16"/>
      <c r="I62" s="16"/>
      <c r="J62" s="16"/>
      <c r="K62" s="16"/>
      <c r="L62" s="16"/>
      <c r="M62" s="16"/>
      <c r="N62" s="16"/>
      <c r="O62" s="737" t="str">
        <f ca="1">INDEX($C$61:$C$65,MATCH(P62,$D$61:$D$65,0),1)</f>
        <v>MSFT</v>
      </c>
      <c r="P62" s="893">
        <f ca="1">LARGE($D$61:$D$65,B62)</f>
        <v>33.97722233809285</v>
      </c>
      <c r="Q62" s="893">
        <f ca="1">E62</f>
        <v>28.409247748400013</v>
      </c>
      <c r="R62" s="16"/>
      <c r="S62" s="16"/>
      <c r="T62" s="16"/>
      <c r="U62" s="16"/>
      <c r="V62" s="16"/>
      <c r="W62" s="16"/>
      <c r="X62" s="16"/>
      <c r="Y62" s="16"/>
      <c r="Z62" s="16"/>
    </row>
    <row r="63" ht="13.5" customHeight="1" spans="1:26" x14ac:dyDescent="0.25">
      <c r="A63" s="17"/>
      <c r="B63" s="16">
        <f ca="1">B62+1</f>
        <v>3</v>
      </c>
      <c r="C63" s="737" t="str">
        <f ca="1">C47</f>
        <v>MSFT</v>
      </c>
      <c r="D63" s="892">
        <f ca="1">Comparables!V14+RAND()/1000000</f>
        <v>33.97722233809285</v>
      </c>
      <c r="E63" s="893">
        <f ca="1">E62</f>
        <v>28.409247748400013</v>
      </c>
      <c r="F63" s="16"/>
      <c r="G63" s="16"/>
      <c r="H63" s="16"/>
      <c r="I63" s="16"/>
      <c r="J63" s="16"/>
      <c r="K63" s="16"/>
      <c r="L63" s="16"/>
      <c r="M63" s="16"/>
      <c r="N63" s="16"/>
      <c r="O63" s="737" t="str">
        <f ca="1">INDEX($C$61:$C$65,MATCH(P63,$D$61:$D$65,0),1)</f>
        <v>GOOGL</v>
      </c>
      <c r="P63" s="893">
        <f ca="1">LARGE($D$61:$D$65,B63)</f>
        <v>28.409247748400013</v>
      </c>
      <c r="Q63" s="893">
        <f ca="1">E63</f>
        <v>28.409247748400013</v>
      </c>
      <c r="R63" s="16"/>
      <c r="S63" s="16"/>
      <c r="T63" s="16"/>
      <c r="U63" s="16"/>
      <c r="V63" s="16"/>
      <c r="W63" s="16"/>
      <c r="X63" s="16"/>
      <c r="Y63" s="16"/>
      <c r="Z63" s="16"/>
    </row>
    <row r="64" ht="13.5" customHeight="1" spans="1:26" x14ac:dyDescent="0.25">
      <c r="A64" s="17"/>
      <c r="B64" s="16">
        <f ca="1">B63+1</f>
        <v>4</v>
      </c>
      <c r="C64" s="737" t="str">
        <f ca="1">C48</f>
        <v>SNAP</v>
      </c>
      <c r="D64" s="892">
        <f ca="1">Comparables!V15+RAND()/1000000</f>
        <v>214.40286185306496</v>
      </c>
      <c r="E64" s="893">
        <f ca="1">E63</f>
        <v>28.409247748400013</v>
      </c>
      <c r="F64" s="16"/>
      <c r="G64" s="16"/>
      <c r="H64" s="16"/>
      <c r="I64" s="16"/>
      <c r="J64" s="16"/>
      <c r="K64" s="16"/>
      <c r="L64" s="16"/>
      <c r="M64" s="16"/>
      <c r="N64" s="16"/>
      <c r="O64" s="737" t="str">
        <f ca="1">INDEX($C$61:$C$65,MATCH(P64,$D$61:$D$65,0),1)</f>
        <v>AAPL</v>
      </c>
      <c r="P64" s="893">
        <f ca="1">LARGE($D$61:$D$65,B64)</f>
        <v>26.18405423006278</v>
      </c>
      <c r="Q64" s="893">
        <f ca="1">E64</f>
        <v>28.409247748400013</v>
      </c>
      <c r="R64" s="16"/>
      <c r="S64" s="16"/>
      <c r="T64" s="16"/>
      <c r="U64" s="16"/>
      <c r="V64" s="16"/>
      <c r="W64" s="16"/>
      <c r="X64" s="16"/>
      <c r="Y64" s="16"/>
      <c r="Z64" s="16"/>
    </row>
    <row r="65" ht="13.5" customHeight="1" spans="1:26" x14ac:dyDescent="0.25">
      <c r="A65" s="17"/>
      <c r="B65" s="16">
        <f ca="1">B64+1</f>
        <v>5</v>
      </c>
      <c r="C65" s="737" t="str">
        <f ca="1">C49</f>
        <v>GOOGL</v>
      </c>
      <c r="D65" s="892">
        <f ca="1">Comparables!V16+RAND()/1000000</f>
        <v>28.409247748400013</v>
      </c>
      <c r="E65" s="893">
        <f ca="1">E64</f>
        <v>28.409247748400013</v>
      </c>
      <c r="F65" s="16"/>
      <c r="G65" s="16"/>
      <c r="H65" s="16"/>
      <c r="I65" s="16"/>
      <c r="J65" s="16"/>
      <c r="K65" s="16"/>
      <c r="L65" s="16"/>
      <c r="M65" s="16"/>
      <c r="N65" s="16"/>
      <c r="O65" s="737" t="str">
        <f ca="1">INDEX($C$61:$C$65,MATCH(P65,$D$61:$D$65,0),1)</f>
        <v>FB</v>
      </c>
      <c r="P65" s="893">
        <f ca="1">LARGE($D$61:$D$65,B65)</f>
        <v>25.962800004398176</v>
      </c>
      <c r="Q65" s="893">
        <f ca="1">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 ca="1">"Median "&amp;TEXT(E61,"0.0x")</f>
        <v>Median 28.4x</v>
      </c>
      <c r="F67" s="16"/>
      <c r="G67" s="16"/>
      <c r="H67" s="16"/>
      <c r="I67" s="16"/>
      <c r="J67" s="16"/>
      <c r="K67" s="16"/>
      <c r="L67" s="16"/>
      <c r="M67" s="16"/>
      <c r="N67" s="16"/>
      <c r="O67" s="16"/>
      <c r="P67" s="16"/>
      <c r="Q67" s="889" t="str">
        <f ca="1">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955</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 ca="1">C58</f>
        <v>Raw Data</v>
      </c>
      <c r="D74" s="112"/>
      <c r="E74" s="112"/>
      <c r="F74" s="47"/>
      <c r="G74" s="16"/>
      <c r="H74" s="16"/>
      <c r="I74" s="16"/>
      <c r="J74" s="16"/>
      <c r="K74" s="16"/>
      <c r="L74" s="16"/>
      <c r="M74" s="16"/>
      <c r="N74" s="16"/>
      <c r="O74" s="883" t="str">
        <f ca="1">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 ca="1">C60</f>
        <v>LOW</v>
      </c>
      <c r="D76" s="890">
        <f ca="1">Comparables!N28</f>
        <v>1.9578</v>
      </c>
      <c r="E76" s="886"/>
      <c r="F76" s="16"/>
      <c r="G76" s="16"/>
      <c r="H76" s="16"/>
      <c r="I76" s="16"/>
      <c r="J76" s="16"/>
      <c r="K76" s="16"/>
      <c r="L76" s="16"/>
      <c r="M76" s="16"/>
      <c r="N76" s="16"/>
      <c r="O76" s="884" t="str">
        <f t="shared" ref="O76:P76" si="28" ca="1">C76</f>
        <v>LOW</v>
      </c>
      <c r="P76" s="891">
        <f ca="1">D76</f>
        <v>1.9578</v>
      </c>
      <c r="Q76" s="886"/>
      <c r="R76" s="16"/>
      <c r="S76" s="16"/>
      <c r="T76" s="16"/>
      <c r="U76" s="16"/>
      <c r="V76" s="16"/>
      <c r="W76" s="16"/>
      <c r="X76" s="16"/>
      <c r="Y76" s="16"/>
      <c r="Z76" s="16"/>
    </row>
    <row r="77" ht="13.5" customHeight="1" spans="1:26" x14ac:dyDescent="0.25">
      <c r="A77" s="17"/>
      <c r="B77" s="641">
        <v>1</v>
      </c>
      <c r="C77" s="737" t="str">
        <f ca="1">C61</f>
        <v>AAPL</v>
      </c>
      <c r="D77" s="892">
        <f ca="1">Comparables!N30+RAND()/1000000</f>
        <v>1.3872509180326023</v>
      </c>
      <c r="E77" s="893">
        <f ca="1">MEDIAN(D77:D81)</f>
        <v>0.579471321388857</v>
      </c>
      <c r="F77" s="16"/>
      <c r="G77" s="16"/>
      <c r="H77" s="16"/>
      <c r="I77" s="16"/>
      <c r="J77" s="16"/>
      <c r="K77" s="16"/>
      <c r="L77" s="16"/>
      <c r="M77" s="16"/>
      <c r="N77" s="16"/>
      <c r="O77" s="737" t="str">
        <f t="shared" ref="O77:O81" si="29" ca="1">INDEX($C$77:$C$81,MATCH(P77,$D$77:$D$81,0),1)</f>
        <v>AAPL</v>
      </c>
      <c r="P77" s="893">
        <f t="shared" ref="P77:P81" si="30" ca="1">LARGE($D$77:$D$81,B77)</f>
        <v>1.3872509180326023</v>
      </c>
      <c r="Q77" s="893">
        <f t="shared" ref="Q77:Q81" si="31" ca="1">E77</f>
        <v>0.579471321388857</v>
      </c>
      <c r="R77" s="16"/>
      <c r="S77" s="16"/>
      <c r="T77" s="16"/>
      <c r="U77" s="16"/>
      <c r="V77" s="16"/>
      <c r="W77" s="16"/>
      <c r="X77" s="16"/>
      <c r="Y77" s="16"/>
      <c r="Z77" s="16"/>
    </row>
    <row r="78" ht="13.5" customHeight="1" spans="1:26" x14ac:dyDescent="0.25">
      <c r="A78" s="17"/>
      <c r="B78" s="16">
        <f t="shared" ref="B78:B81" si="32" ca="1">B77+1</f>
        <v>2</v>
      </c>
      <c r="C78" s="737" t="str">
        <f ca="1">C62</f>
        <v>FB</v>
      </c>
      <c r="D78" s="892">
        <f ca="1">Comparables!O31+RAND()/1000000</f>
        <v>0.08712271978888173</v>
      </c>
      <c r="E78" s="893">
        <f t="shared" ref="E78:E81" si="33" ca="1">E77</f>
        <v>0.579471321388857</v>
      </c>
      <c r="F78" s="16"/>
      <c r="G78" s="16"/>
      <c r="H78" s="16"/>
      <c r="I78" s="16"/>
      <c r="J78" s="16"/>
      <c r="K78" s="16"/>
      <c r="L78" s="16"/>
      <c r="M78" s="16"/>
      <c r="N78" s="16"/>
      <c r="O78" s="737" t="str">
        <f ca="1">INDEX($C$77:$C$81,MATCH(P78,$D$77:$D$81,0),1)</f>
        <v>SNAP</v>
      </c>
      <c r="P78" s="893">
        <f ca="1">LARGE($D$77:$D$81,B78)</f>
        <v>0.8598967507522297</v>
      </c>
      <c r="Q78" s="893">
        <f ca="1">E78</f>
        <v>0.579471321388857</v>
      </c>
      <c r="R78" s="16"/>
      <c r="S78" s="16"/>
      <c r="T78" s="16"/>
      <c r="U78" s="16"/>
      <c r="V78" s="16"/>
      <c r="W78" s="16"/>
      <c r="X78" s="16"/>
      <c r="Y78" s="16"/>
      <c r="Z78" s="16"/>
    </row>
    <row r="79" ht="13.5" customHeight="1" spans="1:26" x14ac:dyDescent="0.25">
      <c r="A79" s="17"/>
      <c r="B79" s="16">
        <f ca="1">B78+1</f>
        <v>3</v>
      </c>
      <c r="C79" s="737" t="str">
        <f ca="1">C63</f>
        <v>MSFT</v>
      </c>
      <c r="D79" s="892">
        <f ca="1">Comparables!O32+RAND()/1000000</f>
        <v>0.579471321388857</v>
      </c>
      <c r="E79" s="893">
        <f ca="1">E78</f>
        <v>0.579471321388857</v>
      </c>
      <c r="F79" s="16"/>
      <c r="G79" s="16"/>
      <c r="H79" s="16"/>
      <c r="I79" s="16"/>
      <c r="J79" s="16"/>
      <c r="K79" s="16"/>
      <c r="L79" s="16"/>
      <c r="M79" s="16"/>
      <c r="N79" s="16"/>
      <c r="O79" s="737" t="str">
        <f ca="1">INDEX($C$77:$C$81,MATCH(P79,$D$77:$D$81,0),1)</f>
        <v>MSFT</v>
      </c>
      <c r="P79" s="893">
        <f ca="1">LARGE($D$77:$D$81,B79)</f>
        <v>0.579471321388857</v>
      </c>
      <c r="Q79" s="893">
        <f ca="1">E79</f>
        <v>0.579471321388857</v>
      </c>
      <c r="R79" s="16"/>
      <c r="S79" s="16"/>
      <c r="T79" s="16"/>
      <c r="U79" s="16"/>
      <c r="V79" s="16"/>
      <c r="W79" s="16"/>
      <c r="X79" s="16"/>
      <c r="Y79" s="16"/>
      <c r="Z79" s="16"/>
    </row>
    <row r="80" ht="13.5" customHeight="1" spans="1:26" x14ac:dyDescent="0.25">
      <c r="A80" s="17"/>
      <c r="B80" s="16">
        <f ca="1">B79+1</f>
        <v>4</v>
      </c>
      <c r="C80" s="737" t="str">
        <f ca="1">C64</f>
        <v>SNAP</v>
      </c>
      <c r="D80" s="892">
        <f ca="1">Comparables!O33+RAND()/1000000</f>
        <v>0.8598967507522297</v>
      </c>
      <c r="E80" s="893">
        <f ca="1">E79</f>
        <v>0.579471321388857</v>
      </c>
      <c r="F80" s="16"/>
      <c r="G80" s="16"/>
      <c r="H80" s="16"/>
      <c r="I80" s="16"/>
      <c r="J80" s="16"/>
      <c r="K80" s="16"/>
      <c r="L80" s="16"/>
      <c r="M80" s="16"/>
      <c r="N80" s="16"/>
      <c r="O80" s="737" t="str">
        <f ca="1">INDEX($C$77:$C$81,MATCH(P80,$D$77:$D$81,0),1)</f>
        <v>GOOGL</v>
      </c>
      <c r="P80" s="893">
        <f ca="1">LARGE($D$77:$D$81,B80)</f>
        <v>0.125242560908713</v>
      </c>
      <c r="Q80" s="893">
        <f ca="1">E80</f>
        <v>0.579471321388857</v>
      </c>
      <c r="R80" s="16"/>
      <c r="S80" s="16"/>
      <c r="T80" s="16"/>
      <c r="U80" s="16"/>
      <c r="V80" s="16"/>
      <c r="W80" s="16"/>
      <c r="X80" s="16"/>
      <c r="Y80" s="16"/>
      <c r="Z80" s="16"/>
    </row>
    <row r="81" ht="13.5" customHeight="1" spans="1:26" x14ac:dyDescent="0.25">
      <c r="A81" s="17"/>
      <c r="B81" s="16">
        <f ca="1">B80+1</f>
        <v>5</v>
      </c>
      <c r="C81" s="737" t="str">
        <f ca="1">C65</f>
        <v>GOOGL</v>
      </c>
      <c r="D81" s="892">
        <f ca="1">Comparables!O34+RAND()/1000000</f>
        <v>0.125242560908713</v>
      </c>
      <c r="E81" s="893">
        <f ca="1">E80</f>
        <v>0.579471321388857</v>
      </c>
      <c r="F81" s="16"/>
      <c r="G81" s="16"/>
      <c r="H81" s="16"/>
      <c r="I81" s="16"/>
      <c r="J81" s="16"/>
      <c r="K81" s="16"/>
      <c r="L81" s="16"/>
      <c r="M81" s="16"/>
      <c r="N81" s="16"/>
      <c r="O81" s="737" t="str">
        <f ca="1">INDEX($C$77:$C$81,MATCH(P81,$D$77:$D$81,0),1)</f>
        <v>FB</v>
      </c>
      <c r="P81" s="893">
        <f ca="1">LARGE($D$77:$D$81,B81)</f>
        <v>0.08712271978888173</v>
      </c>
      <c r="Q81" s="893">
        <f ca="1">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 ca="1">"Median "&amp;TEXT(E77,"0.0x")</f>
        <v>Median 0.6x</v>
      </c>
      <c r="F83" s="16"/>
      <c r="G83" s="16"/>
      <c r="H83" s="16"/>
      <c r="I83" s="16"/>
      <c r="J83" s="16"/>
      <c r="K83" s="16"/>
      <c r="L83" s="16"/>
      <c r="M83" s="16"/>
      <c r="N83" s="16"/>
      <c r="O83" s="16"/>
      <c r="P83" s="16"/>
      <c r="Q83" s="889" t="str">
        <f ca="1">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 ca="1">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 ca="1">C74</f>
        <v>Raw Data</v>
      </c>
      <c r="D90" s="112"/>
      <c r="E90" s="112"/>
      <c r="F90" s="47"/>
      <c r="G90" s="16"/>
      <c r="H90" s="16"/>
      <c r="I90" s="16"/>
      <c r="J90" s="16"/>
      <c r="K90" s="16"/>
      <c r="L90" s="16"/>
      <c r="M90" s="16"/>
      <c r="N90" s="16"/>
      <c r="O90" s="883" t="str">
        <f ca="1">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 ca="1">C76</f>
        <v>LOW</v>
      </c>
      <c r="D92" s="890">
        <f ca="1">Comparables!P28</f>
        <v>15.35321</v>
      </c>
      <c r="E92" s="886"/>
      <c r="F92" s="16"/>
      <c r="G92" s="16"/>
      <c r="H92" s="16"/>
      <c r="I92" s="16"/>
      <c r="J92" s="16"/>
      <c r="K92" s="16"/>
      <c r="L92" s="16"/>
      <c r="M92" s="16"/>
      <c r="N92" s="16"/>
      <c r="O92" s="884" t="str">
        <f t="shared" ref="O92:P92" si="35" ca="1">C92</f>
        <v>LOW</v>
      </c>
      <c r="P92" s="891">
        <f ca="1">D92</f>
        <v>15.35321</v>
      </c>
      <c r="Q92" s="886"/>
      <c r="R92" s="16"/>
      <c r="S92" s="16"/>
      <c r="T92" s="16"/>
      <c r="U92" s="16"/>
      <c r="V92" s="16"/>
      <c r="W92" s="16"/>
      <c r="X92" s="16"/>
      <c r="Y92" s="16"/>
      <c r="Z92" s="16"/>
    </row>
    <row r="93" ht="13.5" customHeight="1" spans="1:26" x14ac:dyDescent="0.25">
      <c r="A93" s="17"/>
      <c r="B93" s="641">
        <v>1</v>
      </c>
      <c r="C93" s="737" t="str">
        <f ca="1">C77</f>
        <v>AAPL</v>
      </c>
      <c r="D93" s="892">
        <f ca="1">Comparables!P30+RAND()/1000000</f>
        <v>30.68013083308125</v>
      </c>
      <c r="E93" s="893">
        <f ca="1">MEDIAN(D93:D97)</f>
      </c>
      <c r="F93" s="16"/>
      <c r="G93" s="16"/>
      <c r="H93" s="16"/>
      <c r="I93" s="16"/>
      <c r="J93" s="16"/>
      <c r="K93" s="16"/>
      <c r="L93" s="16"/>
      <c r="M93" s="16"/>
      <c r="N93" s="16"/>
      <c r="O93" s="737">
        <f ca="1">INDEX($C$93:$C$97,MATCH(P93,$D$93:$D$97,0),1)</f>
      </c>
      <c r="P93" s="893">
        <f ca="1">LARGE($D$93:$D$97,B93)</f>
      </c>
      <c r="Q93" s="893">
        <f ca="1">E93</f>
        <v>1e-12</v>
      </c>
      <c r="R93" s="16"/>
      <c r="S93" s="16"/>
      <c r="T93" s="16"/>
      <c r="U93" s="16"/>
      <c r="V93" s="16"/>
      <c r="W93" s="16"/>
      <c r="X93" s="16"/>
      <c r="Y93" s="16"/>
      <c r="Z93" s="16"/>
    </row>
    <row r="94" ht="13.5" customHeight="1" spans="1:26" x14ac:dyDescent="0.25">
      <c r="A94" s="17"/>
      <c r="B94" s="16">
        <f t="shared" ref="B94:B97" si="36" ca="1">B93+1</f>
        <v>2</v>
      </c>
      <c r="C94" s="737" t="str">
        <f ca="1">C78</f>
        <v>FB</v>
      </c>
      <c r="D94" s="892">
        <f ca="1">Comparables!P31+RAND()/1000000</f>
        <v>1.611781503630282e-7</v>
      </c>
      <c r="E94" s="893">
        <f ca="1">E93</f>
        <v>1e-12</v>
      </c>
      <c r="F94" s="16"/>
      <c r="G94" s="16"/>
      <c r="H94" s="16"/>
      <c r="I94" s="16"/>
      <c r="J94" s="16"/>
      <c r="K94" s="16"/>
      <c r="L94" s="16"/>
      <c r="M94" s="16"/>
      <c r="N94" s="16"/>
      <c r="O94" s="737">
        <f ca="1">INDEX($C$93:$C$97,MATCH(P94,$D$93:$D$97,0),1)</f>
      </c>
      <c r="P94" s="893">
        <f ca="1">LARGE($D$93:$D$97,B94)</f>
      </c>
      <c r="Q94" s="893">
        <f ca="1">E94</f>
        <v>1e-12</v>
      </c>
      <c r="R94" s="16"/>
      <c r="S94" s="16"/>
      <c r="T94" s="16"/>
      <c r="U94" s="16"/>
      <c r="V94" s="16"/>
      <c r="W94" s="16"/>
      <c r="X94" s="16"/>
      <c r="Y94" s="16"/>
      <c r="Z94" s="16"/>
    </row>
    <row r="95" ht="13.5" customHeight="1" spans="1:26" x14ac:dyDescent="0.25">
      <c r="A95" s="17"/>
      <c r="B95" s="16">
        <f ca="1">B94+1</f>
        <v>3</v>
      </c>
      <c r="C95" s="737" t="str">
        <f ca="1">C79</f>
        <v>MSFT</v>
      </c>
      <c r="D95" s="892">
        <f ca="1">Comparables!P32+RAND()/1000000</f>
        <v>35.5978501090468</v>
      </c>
      <c r="E95" s="893">
        <f ca="1">E94</f>
        <v>1e-12</v>
      </c>
      <c r="F95" s="16"/>
      <c r="G95" s="16"/>
      <c r="H95" s="16"/>
      <c r="I95" s="16"/>
      <c r="J95" s="16"/>
      <c r="K95" s="16"/>
      <c r="L95" s="16"/>
      <c r="M95" s="16"/>
      <c r="N95" s="16"/>
      <c r="O95" s="737">
        <f ca="1">INDEX($C$93:$C$97,MATCH(P95,$D$93:$D$97,0),1)</f>
      </c>
      <c r="P95" s="893">
        <f ca="1">LARGE($D$93:$D$97,B95)</f>
      </c>
      <c r="Q95" s="893">
        <f ca="1">E95</f>
        <v>1e-12</v>
      </c>
      <c r="R95" s="16"/>
      <c r="S95" s="16"/>
      <c r="T95" s="16"/>
      <c r="U95" s="16"/>
      <c r="V95" s="16"/>
      <c r="W95" s="16"/>
      <c r="X95" s="16"/>
      <c r="Y95" s="16"/>
      <c r="Z95" s="16"/>
    </row>
    <row r="96" ht="13.5" customHeight="1" spans="1:26" x14ac:dyDescent="0.25">
      <c r="A96" s="17"/>
      <c r="B96" s="16">
        <f ca="1">B95+1</f>
        <v>4</v>
      </c>
      <c r="C96" s="737" t="str">
        <f ca="1">C80</f>
        <v>SNAP</v>
      </c>
      <c r="D96" s="892">
        <f ca="1">Comparables!P33+RAND()/1000000</f>
      </c>
      <c r="E96" s="893">
        <f ca="1">E95</f>
        <v>1e-12</v>
      </c>
      <c r="F96" s="16"/>
      <c r="G96" s="16"/>
      <c r="H96" s="16"/>
      <c r="I96" s="16"/>
      <c r="J96" s="16"/>
      <c r="K96" s="16"/>
      <c r="L96" s="16"/>
      <c r="M96" s="16"/>
      <c r="N96" s="16"/>
      <c r="O96" s="737">
        <f ca="1">INDEX($C$93:$C$97,MATCH(P96,$D$93:$D$97,0),1)</f>
      </c>
      <c r="P96" s="893">
        <f ca="1">LARGE($D$93:$D$97,B96)</f>
      </c>
      <c r="Q96" s="893">
        <f ca="1">E96</f>
        <v>1e-12</v>
      </c>
      <c r="R96" s="16"/>
      <c r="S96" s="16"/>
      <c r="T96" s="16"/>
      <c r="U96" s="16"/>
      <c r="V96" s="16"/>
      <c r="W96" s="16"/>
      <c r="X96" s="16"/>
      <c r="Y96" s="16"/>
      <c r="Z96" s="16"/>
    </row>
    <row r="97" ht="13.5" customHeight="1" spans="1:26" x14ac:dyDescent="0.25">
      <c r="A97" s="17"/>
      <c r="B97" s="16">
        <f ca="1">B96+1</f>
        <v>5</v>
      </c>
      <c r="C97" s="737" t="str">
        <f ca="1">C81</f>
        <v>GOOGL</v>
      </c>
      <c r="D97" s="892">
        <f ca="1">Comparables!P34+RAND()/1000000</f>
        <v>428.066670136901</v>
      </c>
      <c r="E97" s="893">
        <f ca="1">E96</f>
        <v>1e-12</v>
      </c>
      <c r="F97" s="16"/>
      <c r="G97" s="16"/>
      <c r="H97" s="16"/>
      <c r="I97" s="16"/>
      <c r="J97" s="16"/>
      <c r="K97" s="16"/>
      <c r="L97" s="16"/>
      <c r="M97" s="16"/>
      <c r="N97" s="16"/>
      <c r="O97" s="737">
        <f ca="1">INDEX($C$93:$C$97,MATCH(P97,$D$93:$D$97,0),1)</f>
      </c>
      <c r="P97" s="893">
        <f ca="1">LARGE($D$93:$D$97,B97)</f>
      </c>
      <c r="Q97" s="893">
        <f ca="1">E97</f>
        <v>1e-12</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f ca="1">"Median "&amp;TEXT(E93,"0.0x")</f>
      </c>
      <c r="F99" s="16"/>
      <c r="G99" s="16"/>
      <c r="H99" s="16"/>
      <c r="I99" s="16"/>
      <c r="J99" s="16"/>
      <c r="K99" s="16"/>
      <c r="L99" s="16"/>
      <c r="M99" s="16"/>
      <c r="N99" s="16"/>
      <c r="O99" s="16"/>
      <c r="P99" s="16"/>
      <c r="Q99" s="889">
        <f ca="1">E99</f>
        <v>1e-12</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956</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 ca="1">C90</f>
        <v>Raw Data</v>
      </c>
      <c r="D106" s="112"/>
      <c r="E106" s="112"/>
      <c r="F106" s="47"/>
      <c r="G106" s="16"/>
      <c r="H106" s="16"/>
      <c r="I106" s="16"/>
      <c r="J106" s="16"/>
      <c r="K106" s="16"/>
      <c r="L106" s="16"/>
      <c r="M106" s="16"/>
      <c r="N106" s="16"/>
      <c r="O106" s="883" t="str">
        <f ca="1">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37" ca="1">C92</f>
        <v>LOW</v>
      </c>
      <c r="D108" s="885">
        <f ca="1">Comparables!M10</f>
        <v>0.14957700000000002</v>
      </c>
      <c r="E108" s="886"/>
      <c r="F108" s="16"/>
      <c r="G108" s="16"/>
      <c r="H108" s="16"/>
      <c r="I108" s="16"/>
      <c r="J108" s="16"/>
      <c r="K108" s="16"/>
      <c r="L108" s="16"/>
      <c r="M108" s="16"/>
      <c r="N108" s="16"/>
      <c r="O108" s="884" t="str">
        <f t="shared" ref="O108:P108" si="38" ca="1">C108</f>
        <v>LOW</v>
      </c>
      <c r="P108" s="886">
        <f ca="1">D108</f>
        <v>0.14957700000000002</v>
      </c>
      <c r="Q108" s="886"/>
      <c r="R108" s="16"/>
      <c r="S108" s="16"/>
      <c r="T108" s="16"/>
      <c r="U108" s="16"/>
      <c r="V108" s="16"/>
      <c r="W108" s="16"/>
      <c r="X108" s="16"/>
      <c r="Y108" s="16"/>
      <c r="Z108" s="16"/>
    </row>
    <row r="109" ht="13.5" customHeight="1" spans="1:26" x14ac:dyDescent="0.25">
      <c r="A109" s="17"/>
      <c r="B109" s="641">
        <v>1</v>
      </c>
      <c r="C109" s="737" t="str">
        <f ca="1">C93</f>
        <v>AAPL</v>
      </c>
      <c r="D109" s="887">
        <f ca="1">Comparables!M12+RAND()/1000000</f>
        <v>0.3195543671987314</v>
      </c>
      <c r="E109" s="888">
        <f ca="1">MEDIAN(D109:D113)</f>
        <v>0.34300962865298423</v>
      </c>
      <c r="F109" s="16"/>
      <c r="G109" s="16"/>
      <c r="H109" s="16"/>
      <c r="I109" s="16"/>
      <c r="J109" s="16"/>
      <c r="K109" s="16"/>
      <c r="L109" s="16"/>
      <c r="M109" s="16"/>
      <c r="N109" s="16"/>
      <c r="O109" s="737" t="str">
        <f t="shared" ref="O109:O113" si="39" ca="1">INDEX($C$109:$C$113,MATCH(P109,$D$109:$D$113,0),1)</f>
        <v>FB</v>
      </c>
      <c r="P109" s="888">
        <f t="shared" ref="P109:P113" si="40" ca="1">LARGE($D$109:$D$113,B109)</f>
        <v>0.49698422688130184</v>
      </c>
      <c r="Q109" s="888">
        <f t="shared" ref="Q109:Q113" si="41" ca="1">E109</f>
        <v>0.34300962865298423</v>
      </c>
      <c r="R109" s="16"/>
      <c r="S109" s="16"/>
      <c r="T109" s="16"/>
      <c r="U109" s="16"/>
      <c r="V109" s="16"/>
      <c r="W109" s="16"/>
      <c r="X109" s="16"/>
      <c r="Y109" s="16"/>
      <c r="Z109" s="16"/>
    </row>
    <row r="110" ht="13.5" customHeight="1" spans="1:26" x14ac:dyDescent="0.25">
      <c r="A110" s="17"/>
      <c r="B110" s="16">
        <f t="shared" ref="B110:B113" si="42" ca="1">B109+1</f>
        <v>2</v>
      </c>
      <c r="C110" s="737" t="str">
        <f ca="1">C94</f>
        <v>FB</v>
      </c>
      <c r="D110" s="887">
        <f ca="1">Comparables!M13+RAND()/1000000</f>
        <v>0.49698422688130184</v>
      </c>
      <c r="E110" s="888">
        <f t="shared" ref="E110:E113" si="43" ca="1">E109</f>
        <v>0.34300962865298423</v>
      </c>
      <c r="F110" s="16"/>
      <c r="G110" s="16"/>
      <c r="H110" s="16"/>
      <c r="I110" s="16"/>
      <c r="J110" s="16"/>
      <c r="K110" s="16"/>
      <c r="L110" s="16"/>
      <c r="M110" s="16"/>
      <c r="N110" s="16"/>
      <c r="O110" s="737" t="str">
        <f ca="1">INDEX($C$109:$C$113,MATCH(P110,$D$109:$D$113,0),1)</f>
        <v>MSFT</v>
      </c>
      <c r="P110" s="888">
        <f ca="1">LARGE($D$109:$D$113,B110)</f>
        <v>0.48079536338777634</v>
      </c>
      <c r="Q110" s="888">
        <f ca="1">E110</f>
        <v>0.34300962865298423</v>
      </c>
      <c r="R110" s="16"/>
      <c r="S110" s="16"/>
      <c r="T110" s="16"/>
      <c r="U110" s="16"/>
      <c r="V110" s="16"/>
      <c r="W110" s="16"/>
      <c r="X110" s="16"/>
      <c r="Y110" s="16"/>
      <c r="Z110" s="16"/>
    </row>
    <row r="111" ht="13.5" customHeight="1" spans="1:26" x14ac:dyDescent="0.25">
      <c r="A111" s="17"/>
      <c r="B111" s="16">
        <f ca="1">B110+1</f>
        <v>3</v>
      </c>
      <c r="C111" s="737" t="str">
        <f ca="1">C95</f>
        <v>MSFT</v>
      </c>
      <c r="D111" s="887">
        <f ca="1">Comparables!M14+RAND()/1000000</f>
        <v>0.48079536338777634</v>
      </c>
      <c r="E111" s="888">
        <f ca="1">E110</f>
        <v>0.34300962865298423</v>
      </c>
      <c r="F111" s="16"/>
      <c r="G111" s="16"/>
      <c r="H111" s="16"/>
      <c r="I111" s="16"/>
      <c r="J111" s="16"/>
      <c r="K111" s="16"/>
      <c r="L111" s="16"/>
      <c r="M111" s="16"/>
      <c r="N111" s="16"/>
      <c r="O111" s="737" t="str">
        <f ca="1">INDEX($C$109:$C$113,MATCH(P111,$D$109:$D$113,0),1)</f>
        <v>GOOGL</v>
      </c>
      <c r="P111" s="888">
        <f ca="1">LARGE($D$109:$D$113,B111)</f>
        <v>0.34300962865298423</v>
      </c>
      <c r="Q111" s="888">
        <f ca="1">E111</f>
        <v>0.34300962865298423</v>
      </c>
      <c r="R111" s="16"/>
      <c r="S111" s="16"/>
      <c r="T111" s="16"/>
      <c r="U111" s="16"/>
      <c r="V111" s="16"/>
      <c r="W111" s="16"/>
      <c r="X111" s="16"/>
      <c r="Y111" s="16"/>
      <c r="Z111" s="16"/>
    </row>
    <row r="112" ht="13.5" customHeight="1" spans="1:26" x14ac:dyDescent="0.25">
      <c r="A112" s="17"/>
      <c r="B112" s="16">
        <f ca="1">B111+1</f>
        <v>4</v>
      </c>
      <c r="C112" s="737" t="str">
        <f ca="1">C96</f>
        <v>SNAP</v>
      </c>
      <c r="D112" s="887">
        <f ca="1">Comparables!M15+RAND()/1000000</f>
        <v>-0.19595868997433963</v>
      </c>
      <c r="E112" s="888">
        <f ca="1">E111</f>
        <v>0.34300962865298423</v>
      </c>
      <c r="F112" s="16"/>
      <c r="G112" s="16"/>
      <c r="H112" s="16"/>
      <c r="I112" s="16"/>
      <c r="J112" s="16"/>
      <c r="K112" s="16"/>
      <c r="L112" s="16"/>
      <c r="M112" s="16"/>
      <c r="N112" s="16"/>
      <c r="O112" s="737" t="str">
        <f ca="1">INDEX($C$109:$C$113,MATCH(P112,$D$109:$D$113,0),1)</f>
        <v>AAPL</v>
      </c>
      <c r="P112" s="888">
        <f ca="1">LARGE($D$109:$D$113,B112)</f>
        <v>0.3195543671987314</v>
      </c>
      <c r="Q112" s="888">
        <f ca="1">E112</f>
        <v>0.34300962865298423</v>
      </c>
      <c r="R112" s="16"/>
      <c r="S112" s="16"/>
      <c r="T112" s="16"/>
      <c r="U112" s="16"/>
      <c r="V112" s="16"/>
      <c r="W112" s="16"/>
      <c r="X112" s="16"/>
      <c r="Y112" s="16"/>
      <c r="Z112" s="16"/>
    </row>
    <row r="113" ht="13.5" customHeight="1" spans="1:26" x14ac:dyDescent="0.25">
      <c r="A113" s="17"/>
      <c r="B113" s="16">
        <f ca="1">B112+1</f>
        <v>5</v>
      </c>
      <c r="C113" s="737" t="str">
        <f ca="1">C97</f>
        <v>GOOGL</v>
      </c>
      <c r="D113" s="887">
        <f ca="1">Comparables!M16+RAND()/1000000</f>
        <v>0.34300962865298423</v>
      </c>
      <c r="E113" s="888">
        <f ca="1">E112</f>
        <v>0.34300962865298423</v>
      </c>
      <c r="F113" s="16"/>
      <c r="G113" s="16"/>
      <c r="H113" s="16"/>
      <c r="I113" s="16"/>
      <c r="J113" s="16"/>
      <c r="K113" s="16"/>
      <c r="L113" s="16"/>
      <c r="M113" s="16"/>
      <c r="N113" s="16"/>
      <c r="O113" s="737" t="str">
        <f ca="1">INDEX($C$109:$C$113,MATCH(P113,$D$109:$D$113,0),1)</f>
        <v>SNAP</v>
      </c>
      <c r="P113" s="888">
        <f ca="1">LARGE($D$109:$D$113,B113)</f>
        <v>-0.19595868997433963</v>
      </c>
      <c r="Q113" s="888">
        <f ca="1">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 ca="1">"Median "&amp;TEXT(E109,"0.0%")</f>
        <v>Median 34.3%</v>
      </c>
      <c r="F115" s="16"/>
      <c r="G115" s="16"/>
      <c r="H115" s="16"/>
      <c r="I115" s="16"/>
      <c r="J115" s="16"/>
      <c r="K115" s="16"/>
      <c r="L115" s="16"/>
      <c r="M115" s="16"/>
      <c r="N115" s="16"/>
      <c r="O115" s="16"/>
      <c r="P115" s="16"/>
      <c r="Q115" s="889" t="str">
        <f ca="1">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 ca="1">C106</f>
        <v>Raw Data</v>
      </c>
      <c r="D122" s="112"/>
      <c r="E122" s="112"/>
      <c r="F122" s="47"/>
      <c r="G122" s="16"/>
      <c r="H122" s="16"/>
      <c r="I122" s="16"/>
      <c r="J122" s="16"/>
      <c r="K122" s="16"/>
      <c r="L122" s="16"/>
      <c r="M122" s="16"/>
      <c r="N122" s="16"/>
      <c r="O122" s="883" t="str">
        <f ca="1">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4" ca="1">C108</f>
        <v>LOW</v>
      </c>
      <c r="D124" s="885">
        <f ca="1">Comparables!I28</f>
        <v>0.015541000000000001</v>
      </c>
      <c r="E124" s="886"/>
      <c r="F124" s="16"/>
      <c r="G124" s="16"/>
      <c r="H124" s="16"/>
      <c r="I124" s="16"/>
      <c r="J124" s="16"/>
      <c r="K124" s="16"/>
      <c r="L124" s="16"/>
      <c r="M124" s="16"/>
      <c r="N124" s="16"/>
      <c r="O124" s="884" t="str">
        <f t="shared" ref="O124:P124" si="45" ca="1">C124</f>
        <v>LOW</v>
      </c>
      <c r="P124" s="886">
        <f ca="1">D124</f>
        <v>0.015541000000000001</v>
      </c>
      <c r="Q124" s="886"/>
      <c r="R124" s="16"/>
      <c r="S124" s="16"/>
      <c r="T124" s="16"/>
      <c r="U124" s="16"/>
      <c r="V124" s="16"/>
      <c r="W124" s="16"/>
      <c r="X124" s="16"/>
      <c r="Y124" s="16"/>
      <c r="Z124" s="16"/>
    </row>
    <row r="125" ht="13.5" customHeight="1" spans="1:26" x14ac:dyDescent="0.25">
      <c r="A125" s="17"/>
      <c r="B125" s="641">
        <v>1</v>
      </c>
      <c r="C125" s="737" t="str">
        <f ca="1">C109</f>
        <v>AAPL</v>
      </c>
      <c r="D125" s="887">
        <f ca="1">Comparables!I30</f>
        <v>0.005920999999999999</v>
      </c>
      <c r="E125" s="888">
        <f ca="1">MEDIAN(D125:D129)</f>
        <v>0</v>
      </c>
      <c r="F125" s="16"/>
      <c r="G125" s="16"/>
      <c r="H125" s="16"/>
      <c r="I125" s="16"/>
      <c r="J125" s="16"/>
      <c r="K125" s="16"/>
      <c r="L125" s="16"/>
      <c r="M125" s="16"/>
      <c r="N125" s="16"/>
      <c r="O125" s="737" t="str">
        <f t="shared" ref="O125:O129" si="46" ca="1">INDEX($C$125:$C$129,MATCH(P125,$D$125:$D$129,0),1)</f>
        <v>MSFT</v>
      </c>
      <c r="P125" s="888">
        <f t="shared" ref="P125:P129" si="47" ca="1">LARGE($D$125:$D$129,B125)</f>
        <v>0.007473</v>
      </c>
      <c r="Q125" s="888">
        <f t="shared" ref="Q125:Q129" si="48" ca="1">E125</f>
        <v>1e-12</v>
      </c>
      <c r="R125" s="16"/>
      <c r="S125" s="16"/>
      <c r="T125" s="16"/>
      <c r="U125" s="16"/>
      <c r="V125" s="16"/>
      <c r="W125" s="16"/>
      <c r="X125" s="16"/>
      <c r="Y125" s="16"/>
      <c r="Z125" s="16"/>
    </row>
    <row r="126" ht="13.5" customHeight="1" spans="1:26" x14ac:dyDescent="0.25">
      <c r="A126" s="17"/>
      <c r="B126" s="16">
        <f t="shared" ref="B126:B129" si="49" ca="1">B125+1</f>
        <v>2</v>
      </c>
      <c r="C126" s="737" t="str">
        <f ca="1">C110</f>
        <v>FB</v>
      </c>
      <c r="D126" s="887">
        <f ca="1">IF(ISNUMBER(Comparables!I31),Comparables!I31,0)</f>
        <v>0</v>
      </c>
      <c r="E126" s="888">
        <f t="shared" ref="E126:E129" si="50" ca="1">E125</f>
        <v>1e-12</v>
      </c>
      <c r="F126" s="16"/>
      <c r="G126" s="16"/>
      <c r="H126" s="16"/>
      <c r="I126" s="16"/>
      <c r="J126" s="16"/>
      <c r="K126" s="16"/>
      <c r="L126" s="16"/>
      <c r="M126" s="16"/>
      <c r="N126" s="16"/>
      <c r="O126" s="737" t="str">
        <f ca="1">INDEX($C$125:$C$129,MATCH(P126,$D$125:$D$129,0),1)</f>
        <v>AAPL</v>
      </c>
      <c r="P126" s="888">
        <f ca="1">LARGE($D$125:$D$129,B126)</f>
        <v>0.005920999999999999</v>
      </c>
      <c r="Q126" s="888">
        <f ca="1">E126</f>
        <v>1e-12</v>
      </c>
      <c r="R126" s="16"/>
      <c r="S126" s="16"/>
      <c r="T126" s="16"/>
      <c r="U126" s="16"/>
      <c r="V126" s="16"/>
      <c r="W126" s="16"/>
      <c r="X126" s="16"/>
      <c r="Y126" s="16"/>
      <c r="Z126" s="16"/>
    </row>
    <row r="127" ht="13.5" customHeight="1" spans="1:26" x14ac:dyDescent="0.25">
      <c r="A127" s="17"/>
      <c r="B127" s="16">
        <f ca="1">B126+1</f>
        <v>3</v>
      </c>
      <c r="C127" s="737" t="str">
        <f ca="1">C111</f>
        <v>MSFT</v>
      </c>
      <c r="D127" s="887">
        <f ca="1">Comparables!I32</f>
        <v>0.007473</v>
      </c>
      <c r="E127" s="888">
        <f ca="1">E126</f>
        <v>1e-12</v>
      </c>
      <c r="F127" s="16"/>
      <c r="G127" s="16"/>
      <c r="H127" s="16"/>
      <c r="I127" s="16"/>
      <c r="J127" s="16"/>
      <c r="K127" s="16"/>
      <c r="L127" s="16"/>
      <c r="M127" s="16"/>
      <c r="N127" s="16"/>
      <c r="O127" s="737" t="str">
        <f ca="1">INDEX($C$125:$C$129,MATCH(P127,$D$125:$D$129,0),1)</f>
        <v>FB</v>
      </c>
      <c r="P127" s="888">
        <f ca="1">LARGE($D$125:$D$129,B127)</f>
      </c>
      <c r="Q127" s="888">
        <f ca="1">E127</f>
        <v>1e-12</v>
      </c>
      <c r="R127" s="16"/>
      <c r="S127" s="16"/>
      <c r="T127" s="16"/>
      <c r="U127" s="16"/>
      <c r="V127" s="16"/>
      <c r="W127" s="16"/>
      <c r="X127" s="16"/>
      <c r="Y127" s="16"/>
      <c r="Z127" s="16"/>
    </row>
    <row r="128" ht="13.5" customHeight="1" spans="1:26" x14ac:dyDescent="0.25">
      <c r="A128" s="17"/>
      <c r="B128" s="16">
        <f ca="1">B127+1</f>
        <v>4</v>
      </c>
      <c r="C128" s="737" t="str">
        <f ca="1">C112</f>
        <v>SNAP</v>
      </c>
      <c r="D128" s="887">
        <f ca="1">Comparables!I33</f>
        <v>1e-12</v>
      </c>
      <c r="E128" s="888">
        <f ca="1">E127</f>
        <v>1e-12</v>
      </c>
      <c r="F128" s="16"/>
      <c r="G128" s="16"/>
      <c r="H128" s="16"/>
      <c r="I128" s="16"/>
      <c r="J128" s="16"/>
      <c r="K128" s="16"/>
      <c r="L128" s="16"/>
      <c r="M128" s="16"/>
      <c r="N128" s="16"/>
      <c r="O128" s="737" t="str">
        <f ca="1">INDEX($C$125:$C$129,MATCH(P128,$D$125:$D$129,0),1)</f>
        <v>FB</v>
      </c>
      <c r="P128" s="888">
        <f ca="1">LARGE($D$125:$D$129,B128)</f>
      </c>
      <c r="Q128" s="888">
        <f ca="1">E128</f>
        <v>1e-12</v>
      </c>
      <c r="R128" s="16"/>
      <c r="S128" s="16"/>
      <c r="T128" s="16"/>
      <c r="U128" s="16"/>
      <c r="V128" s="16"/>
      <c r="W128" s="16"/>
      <c r="X128" s="16"/>
      <c r="Y128" s="16"/>
      <c r="Z128" s="16"/>
    </row>
    <row r="129" ht="13.5" customHeight="1" spans="1:26" x14ac:dyDescent="0.25">
      <c r="A129" s="17"/>
      <c r="B129" s="16">
        <f ca="1">B128+1</f>
        <v>5</v>
      </c>
      <c r="C129" s="737" t="str">
        <f ca="1">C113</f>
        <v>GOOGL</v>
      </c>
      <c r="D129" s="887">
        <f ca="1">Comparables!I34</f>
        <v>1e-12</v>
      </c>
      <c r="E129" s="888">
        <f ca="1">E128</f>
        <v>1e-12</v>
      </c>
      <c r="F129" s="16"/>
      <c r="G129" s="16"/>
      <c r="H129" s="16"/>
      <c r="I129" s="16"/>
      <c r="J129" s="16"/>
      <c r="K129" s="16"/>
      <c r="L129" s="16"/>
      <c r="M129" s="16"/>
      <c r="N129" s="16"/>
      <c r="O129" s="737" t="str">
        <f ca="1">INDEX($C$125:$C$129,MATCH(P129,$D$125:$D$129,0),1)</f>
        <v>FB</v>
      </c>
      <c r="P129" s="888">
        <f ca="1">LARGE($D$125:$D$129,B129)</f>
      </c>
      <c r="Q129" s="888">
        <f ca="1">E129</f>
        <v>1e-12</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 ca="1">"Median "&amp;TEXT(E125,"0.0%")</f>
        <v>Median 0.0%</v>
      </c>
      <c r="F131" s="16"/>
      <c r="G131" s="16"/>
      <c r="H131" s="16"/>
      <c r="I131" s="16"/>
      <c r="J131" s="16"/>
      <c r="K131" s="16"/>
      <c r="L131" s="16"/>
      <c r="M131" s="16"/>
      <c r="N131" s="16"/>
      <c r="O131" s="16"/>
      <c r="P131" s="16"/>
      <c r="Q131" s="889" t="str">
        <f ca="1">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957</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 ca="1">C122</f>
        <v>Raw Data</v>
      </c>
      <c r="D138" s="112"/>
      <c r="E138" s="112"/>
      <c r="F138" s="4"/>
      <c r="G138" s="4"/>
      <c r="H138" s="4"/>
      <c r="I138" s="4"/>
      <c r="J138" s="4"/>
      <c r="K138" s="4"/>
      <c r="L138" s="4"/>
      <c r="M138" s="4"/>
      <c r="N138" s="4"/>
      <c r="O138" s="883" t="str">
        <f ca="1">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1" ca="1">C124</f>
        <v>LOW</v>
      </c>
      <c r="D140" s="894">
        <v>0.2828</v>
      </c>
      <c r="E140" s="4"/>
      <c r="F140" s="4"/>
      <c r="G140" s="4"/>
      <c r="H140" s="4"/>
      <c r="I140" s="4"/>
      <c r="J140" s="4"/>
      <c r="K140" s="4"/>
      <c r="L140" s="4"/>
      <c r="M140" s="4"/>
      <c r="N140" s="4"/>
      <c r="O140" s="737" t="str">
        <f t="shared" ref="O140:O145" si="52" ca="1">INDEX($C$140:$C$145,MATCH(P140,$D$140:$D$145,0),1)</f>
        <v>LOW</v>
      </c>
      <c r="P140" s="888">
        <f t="shared" ref="P140:P145" si="53" ca="1">LARGE($D$140:$D$145,B140)</f>
        <v>0.2828</v>
      </c>
      <c r="Q140" s="4"/>
      <c r="R140" s="4"/>
      <c r="S140" s="4"/>
      <c r="T140" s="4"/>
      <c r="U140" s="4"/>
      <c r="V140" s="4"/>
      <c r="W140" s="4"/>
      <c r="X140" s="4"/>
      <c r="Y140" s="4"/>
      <c r="Z140" s="4"/>
    </row>
    <row r="141" ht="13.5" customHeight="1" spans="1:26" x14ac:dyDescent="0.25">
      <c r="A141" s="4"/>
      <c r="B141" s="641">
        <f t="shared" ref="B141:B145" si="54" ca="1">B140+1</f>
        <v>2</v>
      </c>
      <c r="C141" s="737" t="str">
        <f ca="1">C125</f>
        <v>AAPL</v>
      </c>
      <c r="D141" s="894">
        <v>0.2175</v>
      </c>
      <c r="E141" s="888"/>
      <c r="F141" s="4"/>
      <c r="G141" s="4"/>
      <c r="H141" s="4"/>
      <c r="I141" s="4"/>
      <c r="J141" s="4"/>
      <c r="K141" s="4"/>
      <c r="L141" s="4"/>
      <c r="M141" s="4"/>
      <c r="N141" s="4"/>
      <c r="O141" s="737" t="str">
        <f ca="1">INDEX($C$140:$C$145,MATCH(P141,$D$140:$D$145,0),1)</f>
        <v>AAPL</v>
      </c>
      <c r="P141" s="888">
        <f ca="1">LARGE($D$140:$D$145,B141)</f>
        <v>0.2175</v>
      </c>
      <c r="Q141" s="4"/>
      <c r="R141" s="4"/>
      <c r="S141" s="4"/>
      <c r="T141" s="4"/>
      <c r="U141" s="4"/>
      <c r="V141" s="4"/>
      <c r="W141" s="4"/>
      <c r="X141" s="4"/>
      <c r="Y141" s="4"/>
      <c r="Z141" s="4"/>
    </row>
    <row r="142" ht="13.5" customHeight="1" spans="1:26" x14ac:dyDescent="0.25">
      <c r="A142" s="4"/>
      <c r="B142" s="641">
        <f ca="1">B141+1</f>
        <v>3</v>
      </c>
      <c r="C142" s="737" t="str">
        <f ca="1">C126</f>
        <v>FB</v>
      </c>
      <c r="D142" s="894">
        <v>0</v>
      </c>
      <c r="E142" s="888"/>
      <c r="F142" s="4"/>
      <c r="G142" s="4"/>
      <c r="H142" s="4"/>
      <c r="I142" s="4"/>
      <c r="J142" s="4"/>
      <c r="K142" s="4"/>
      <c r="L142" s="4"/>
      <c r="M142" s="4"/>
      <c r="N142" s="4"/>
      <c r="O142" s="737" t="str">
        <f ca="1">INDEX($C$140:$C$145,MATCH(P142,$D$140:$D$145,0),1)</f>
        <v>FB</v>
      </c>
      <c r="P142" s="888">
        <f ca="1">LARGE($D$140:$D$145,B142)</f>
      </c>
      <c r="Q142" s="4"/>
      <c r="R142" s="4"/>
      <c r="S142" s="4"/>
      <c r="T142" s="4"/>
      <c r="U142" s="4"/>
      <c r="V142" s="4"/>
      <c r="W142" s="4"/>
      <c r="X142" s="4"/>
      <c r="Y142" s="4"/>
      <c r="Z142" s="4"/>
    </row>
    <row r="143" ht="13.5" customHeight="1" spans="1:26" x14ac:dyDescent="0.25">
      <c r="A143" s="4"/>
      <c r="B143" s="641">
        <f ca="1">B142+1</f>
        <v>4</v>
      </c>
      <c r="C143" s="737" t="str">
        <f ca="1">C127</f>
        <v>MSFT</v>
      </c>
      <c r="D143" s="894">
        <v>0</v>
      </c>
      <c r="E143" s="888"/>
      <c r="F143" s="4"/>
      <c r="G143" s="4"/>
      <c r="H143" s="4"/>
      <c r="I143" s="4"/>
      <c r="J143" s="4"/>
      <c r="K143" s="4"/>
      <c r="L143" s="4"/>
      <c r="M143" s="4"/>
      <c r="N143" s="4"/>
      <c r="O143" s="737" t="str">
        <f ca="1">INDEX($C$140:$C$145,MATCH(P143,$D$140:$D$145,0),1)</f>
        <v>FB</v>
      </c>
      <c r="P143" s="888">
        <f ca="1">LARGE($D$140:$D$145,B143)</f>
      </c>
      <c r="Q143" s="4"/>
      <c r="R143" s="4"/>
      <c r="S143" s="4"/>
      <c r="T143" s="4"/>
      <c r="U143" s="4"/>
      <c r="V143" s="4"/>
      <c r="W143" s="4"/>
      <c r="X143" s="4"/>
      <c r="Y143" s="4"/>
      <c r="Z143" s="4"/>
    </row>
    <row r="144" ht="13.5" customHeight="1" spans="1:26" x14ac:dyDescent="0.25">
      <c r="A144" s="4"/>
      <c r="B144" s="641">
        <f ca="1">B143+1</f>
        <v>5</v>
      </c>
      <c r="C144" s="737" t="str">
        <f ca="1">C128</f>
        <v>SNAP</v>
      </c>
      <c r="D144" s="894">
        <v>0</v>
      </c>
      <c r="E144" s="888"/>
      <c r="F144" s="4"/>
      <c r="G144" s="4"/>
      <c r="H144" s="4"/>
      <c r="I144" s="4"/>
      <c r="J144" s="4"/>
      <c r="K144" s="4"/>
      <c r="L144" s="4"/>
      <c r="M144" s="4"/>
      <c r="N144" s="4"/>
      <c r="O144" s="737" t="str">
        <f ca="1">INDEX($C$140:$C$145,MATCH(P144,$D$140:$D$145,0),1)</f>
        <v>FB</v>
      </c>
      <c r="P144" s="888">
        <f ca="1">LARGE($D$140:$D$145,B144)</f>
      </c>
      <c r="Q144" s="4"/>
      <c r="R144" s="4"/>
      <c r="S144" s="4"/>
      <c r="T144" s="4"/>
      <c r="U144" s="4"/>
      <c r="V144" s="4"/>
      <c r="W144" s="4"/>
      <c r="X144" s="4"/>
      <c r="Y144" s="4"/>
      <c r="Z144" s="4"/>
    </row>
    <row r="145" ht="13.5" customHeight="1" spans="1:26" x14ac:dyDescent="0.25">
      <c r="A145" s="4"/>
      <c r="B145" s="641">
        <f ca="1">B144+1</f>
        <v>6</v>
      </c>
      <c r="C145" s="737" t="str">
        <f ca="1">C129</f>
        <v>GOOGL</v>
      </c>
      <c r="D145" s="894">
        <v>0</v>
      </c>
      <c r="E145" s="888"/>
      <c r="F145" s="4"/>
      <c r="G145" s="4"/>
      <c r="H145" s="4"/>
      <c r="I145" s="4"/>
      <c r="J145" s="4"/>
      <c r="K145" s="4"/>
      <c r="L145" s="4"/>
      <c r="M145" s="4"/>
      <c r="N145" s="4"/>
      <c r="O145" s="737" t="str">
        <f ca="1">INDEX($C$140:$C$145,MATCH(P145,$D$140:$D$145,0),1)</f>
        <v>FB</v>
      </c>
      <c r="P145" s="888">
        <f ca="1">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958</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 ca="1">C138</f>
        <v>Raw Data</v>
      </c>
      <c r="D154" s="112"/>
      <c r="E154" s="112"/>
      <c r="F154" s="4"/>
      <c r="G154" s="4"/>
      <c r="H154" s="4"/>
      <c r="I154" s="4"/>
      <c r="J154" s="4"/>
      <c r="K154" s="4"/>
      <c r="L154" s="4"/>
      <c r="M154" s="4"/>
      <c r="N154" s="4"/>
      <c r="O154" s="883" t="str">
        <f ca="1">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5" ca="1">C140</f>
        <v>LOW</v>
      </c>
      <c r="D156" s="894">
        <v>0.244</v>
      </c>
      <c r="E156" s="4"/>
      <c r="F156" s="4"/>
      <c r="G156" s="4"/>
      <c r="H156" s="4"/>
      <c r="I156" s="4"/>
      <c r="J156" s="4"/>
      <c r="K156" s="4"/>
      <c r="L156" s="4"/>
      <c r="M156" s="4"/>
      <c r="N156" s="4"/>
      <c r="O156" s="737" t="str">
        <f t="shared" ref="O156:O161" si="56" ca="1">INDEX($C$156:$C$161,MATCH(P156,$D$156:$D$161,0),1)</f>
        <v>LOW</v>
      </c>
      <c r="P156" s="888">
        <f t="shared" ref="P156:P161" si="57" ca="1">LARGE($D$156:$D$161,B156)</f>
        <v>0.244</v>
      </c>
      <c r="Q156" s="4"/>
      <c r="R156" s="4"/>
      <c r="S156" s="4"/>
      <c r="T156" s="4"/>
      <c r="U156" s="4"/>
      <c r="V156" s="4"/>
      <c r="W156" s="4"/>
      <c r="X156" s="4"/>
      <c r="Y156" s="4"/>
      <c r="Z156" s="4"/>
    </row>
    <row r="157" ht="13.5" customHeight="1" spans="1:26" x14ac:dyDescent="0.25">
      <c r="A157" s="4"/>
      <c r="B157" s="641">
        <f t="shared" ref="B157:B161" si="58" ca="1">B156+1</f>
        <v>2</v>
      </c>
      <c r="C157" s="737" t="str">
        <f ca="1">C141</f>
        <v>AAPL</v>
      </c>
      <c r="D157" s="894">
        <v>0.1296</v>
      </c>
      <c r="E157" s="4"/>
      <c r="F157" s="4"/>
      <c r="G157" s="4"/>
      <c r="H157" s="4"/>
      <c r="I157" s="4"/>
      <c r="J157" s="4"/>
      <c r="K157" s="4"/>
      <c r="L157" s="4"/>
      <c r="M157" s="4"/>
      <c r="N157" s="4"/>
      <c r="O157" s="737" t="str">
        <f ca="1">INDEX($C$156:$C$161,MATCH(P157,$D$156:$D$161,0),1)</f>
        <v>AAPL</v>
      </c>
      <c r="P157" s="888">
        <f ca="1">LARGE($D$156:$D$161,B157)</f>
        <v>0.1296</v>
      </c>
      <c r="Q157" s="4"/>
      <c r="R157" s="4"/>
      <c r="S157" s="4"/>
      <c r="T157" s="4"/>
      <c r="U157" s="4"/>
      <c r="V157" s="4"/>
      <c r="W157" s="4"/>
      <c r="X157" s="4"/>
      <c r="Y157" s="4"/>
      <c r="Z157" s="4"/>
    </row>
    <row r="158" ht="13.5" customHeight="1" spans="1:26" x14ac:dyDescent="0.25">
      <c r="A158" s="4"/>
      <c r="B158" s="641">
        <f ca="1">B157+1</f>
        <v>3</v>
      </c>
      <c r="C158" s="737" t="str">
        <f ca="1">C142</f>
        <v>FB</v>
      </c>
      <c r="D158" s="894">
        <v>0</v>
      </c>
      <c r="E158" s="4"/>
      <c r="F158" s="4"/>
      <c r="G158" s="4"/>
      <c r="H158" s="4"/>
      <c r="I158" s="4"/>
      <c r="J158" s="4"/>
      <c r="K158" s="4"/>
      <c r="L158" s="4"/>
      <c r="M158" s="4"/>
      <c r="N158" s="4"/>
      <c r="O158" s="737" t="str">
        <f ca="1">INDEX($C$156:$C$161,MATCH(P158,$D$156:$D$161,0),1)</f>
        <v>FB</v>
      </c>
      <c r="P158" s="888">
        <f ca="1">LARGE($D$156:$D$161,B158)</f>
      </c>
      <c r="Q158" s="4"/>
      <c r="R158" s="4"/>
      <c r="S158" s="4"/>
      <c r="T158" s="4"/>
      <c r="U158" s="4"/>
      <c r="V158" s="4"/>
      <c r="W158" s="4"/>
      <c r="X158" s="4"/>
      <c r="Y158" s="4"/>
      <c r="Z158" s="4"/>
    </row>
    <row r="159" ht="13.5" customHeight="1" spans="1:26" x14ac:dyDescent="0.25">
      <c r="A159" s="4"/>
      <c r="B159" s="641">
        <f ca="1">B158+1</f>
        <v>4</v>
      </c>
      <c r="C159" s="737" t="str">
        <f ca="1">C143</f>
        <v>MSFT</v>
      </c>
      <c r="D159" s="894">
        <v>0</v>
      </c>
      <c r="E159" s="4"/>
      <c r="F159" s="4"/>
      <c r="G159" s="4"/>
      <c r="H159" s="4"/>
      <c r="I159" s="4"/>
      <c r="J159" s="4"/>
      <c r="K159" s="4"/>
      <c r="L159" s="4"/>
      <c r="M159" s="4"/>
      <c r="N159" s="4"/>
      <c r="O159" s="737" t="str">
        <f ca="1">INDEX($C$156:$C$161,MATCH(P159,$D$156:$D$161,0),1)</f>
        <v>FB</v>
      </c>
      <c r="P159" s="888">
        <f ca="1">LARGE($D$156:$D$161,B159)</f>
      </c>
      <c r="Q159" s="4"/>
      <c r="R159" s="4"/>
      <c r="S159" s="4"/>
      <c r="T159" s="4"/>
      <c r="U159" s="4"/>
      <c r="V159" s="4"/>
      <c r="W159" s="4"/>
      <c r="X159" s="4"/>
      <c r="Y159" s="4"/>
      <c r="Z159" s="4"/>
    </row>
    <row r="160" ht="13.5" customHeight="1" spans="1:26" x14ac:dyDescent="0.25">
      <c r="A160" s="4"/>
      <c r="B160" s="641">
        <f ca="1">B159+1</f>
        <v>5</v>
      </c>
      <c r="C160" s="737" t="str">
        <f ca="1">C144</f>
        <v>SNAP</v>
      </c>
      <c r="D160" s="894">
        <v>0</v>
      </c>
      <c r="E160" s="4"/>
      <c r="F160" s="4"/>
      <c r="G160" s="4"/>
      <c r="H160" s="4"/>
      <c r="I160" s="4"/>
      <c r="J160" s="4"/>
      <c r="K160" s="4"/>
      <c r="L160" s="4"/>
      <c r="M160" s="4"/>
      <c r="N160" s="4"/>
      <c r="O160" s="737" t="str">
        <f ca="1">INDEX($C$156:$C$161,MATCH(P160,$D$156:$D$161,0),1)</f>
        <v>FB</v>
      </c>
      <c r="P160" s="888">
        <f ca="1">LARGE($D$156:$D$161,B160)</f>
      </c>
      <c r="Q160" s="4"/>
      <c r="R160" s="4"/>
      <c r="S160" s="4"/>
      <c r="T160" s="4"/>
      <c r="U160" s="4"/>
      <c r="V160" s="4"/>
      <c r="W160" s="4"/>
      <c r="X160" s="4"/>
      <c r="Y160" s="4"/>
      <c r="Z160" s="4"/>
    </row>
    <row r="161" ht="13.5" customHeight="1" spans="1:26" x14ac:dyDescent="0.25">
      <c r="A161" s="4"/>
      <c r="B161" s="641">
        <f ca="1">B160+1</f>
        <v>6</v>
      </c>
      <c r="C161" s="737" t="str">
        <f ca="1">C145</f>
        <v>GOOGL</v>
      </c>
      <c r="D161" s="894">
        <v>0</v>
      </c>
      <c r="E161" s="4"/>
      <c r="F161" s="4"/>
      <c r="G161" s="4"/>
      <c r="H161" s="4"/>
      <c r="I161" s="4"/>
      <c r="J161" s="4"/>
      <c r="K161" s="4"/>
      <c r="L161" s="4"/>
      <c r="M161" s="4"/>
      <c r="N161" s="4"/>
      <c r="O161" s="737" t="str">
        <f ca="1">INDEX($C$156:$C$161,MATCH(P161,$D$156:$D$161,0),1)</f>
        <v>FB</v>
      </c>
      <c r="P161" s="888">
        <f ca="1">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 ca="1">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959</v>
      </c>
      <c r="D4" s="16"/>
      <c r="E4" s="16"/>
      <c r="F4" s="16"/>
      <c r="G4" s="16"/>
      <c r="H4" s="53" t="s">
        <v>960</v>
      </c>
      <c r="I4" s="16"/>
      <c r="J4" s="16"/>
      <c r="K4" s="16"/>
      <c r="L4" s="16"/>
      <c r="M4" s="16"/>
      <c r="N4" s="16"/>
      <c r="O4" s="16"/>
      <c r="P4" s="16"/>
      <c r="Q4" s="4"/>
      <c r="R4" s="4"/>
      <c r="S4" s="4"/>
      <c r="T4" s="4"/>
      <c r="U4" s="4"/>
      <c r="V4" s="4"/>
      <c r="W4" s="4"/>
      <c r="X4" s="4"/>
      <c r="Y4" s="4"/>
      <c r="Z4" s="4"/>
    </row>
    <row r="5" ht="14.25" customHeight="1" spans="1:26" x14ac:dyDescent="0.25">
      <c r="A5" s="16"/>
      <c r="B5" s="16"/>
      <c r="C5" s="16" t="s">
        <v>961</v>
      </c>
      <c r="D5" s="16"/>
      <c r="E5" s="16"/>
      <c r="F5" s="16"/>
      <c r="G5" s="16"/>
      <c r="H5" s="895">
        <f ca="1">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962</v>
      </c>
      <c r="D6" s="16"/>
      <c r="E6" s="16"/>
      <c r="F6" s="16"/>
      <c r="G6" s="16"/>
      <c r="H6" s="896" t="str">
        <f ca="1">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963</v>
      </c>
      <c r="D7" s="16"/>
      <c r="E7" s="16"/>
      <c r="F7" s="16"/>
      <c r="G7" s="16"/>
      <c r="H7" s="895">
        <f ca="1">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 ca="1">Ticker&amp;" "&amp;H4&amp;RIGHT(H5,2)&amp;" Operating Expectations"</f>
        <v>LOW 4Q26 Operating Expectations</v>
      </c>
      <c r="D10" s="110"/>
      <c r="E10" s="110"/>
      <c r="F10" s="110"/>
      <c r="G10" s="110"/>
      <c r="H10" s="111" t="s">
        <v>965</v>
      </c>
      <c r="I10" s="111" t="s">
        <v>966</v>
      </c>
      <c r="J10" s="111" t="str">
        <f ca="1">H4&amp;RIGHT(H7,2)&amp;"a"</f>
        <v>4Q25a</v>
      </c>
      <c r="K10" s="111" t="str">
        <f ca="1">IF(H4="1Q",Last_FQR&amp;RIGHT(H7,2)&amp;"a",Last_FQR&amp;RIGHT(H5,2)&amp;"a")</f>
        <v>2Q26a</v>
      </c>
      <c r="L10" s="897" t="str">
        <f t="shared" ref="L10:N10" si="0" ca="1">"v. "&amp;I10</f>
        <v>v. Consensus</v>
      </c>
      <c r="M10" s="111" t="str">
        <f ca="1">"v. "&amp;J10</f>
        <v>v. 4Q25a</v>
      </c>
      <c r="N10" s="111" t="str">
        <f ca="1">"v.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9">
        <v>19670.3</v>
      </c>
      <c r="J12" s="898">
        <f t="array" ref="J12" ca="1">INDEX(Data,MATCH($C12,Line_Items,0),MATCH(LEFT(J$10,4),Fiscal_Periods,0))</f>
        <v>20311</v>
      </c>
      <c r="K12" s="898">
        <f t="array" ref="K12" ca="1">INDEX(Data,MATCH($C12,Line_Items,0),MATCH(LEFT(K$10,4),Fiscal_Periods,0))</f>
        <v>27570</v>
      </c>
      <c r="L12" s="900">
        <f t="shared" ref="L12:N12" si="1" ca="1">IFERROR($H12/I12-1,"N/A")</f>
        <v>0.1068514460887735</v>
      </c>
      <c r="M12" s="595">
        <f ca="1">IFERROR($H12/J12-1,"N/A")</f>
        <v>0.07193638914873701</v>
      </c>
      <c r="N12" s="595">
        <f ca="1">IFERROR($H12/K12-1,"N/A")</f>
        <v>-0.21029742473703306</v>
      </c>
      <c r="O12" s="16"/>
      <c r="P12" s="16"/>
      <c r="Q12" s="4"/>
      <c r="R12" s="4"/>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2">
        <v>3968.1</v>
      </c>
      <c r="J13" s="901">
        <f t="array" ref="J13" ca="1">INDEX(Data,MATCH($C13,Line_Items,0),MATCH(LEFT(J$10,4),Fiscal_Periods,0))</f>
        <v>6466</v>
      </c>
      <c r="K13" s="901">
        <f t="array" ref="K13" ca="1">INDEX(Data,MATCH($C13,Line_Items,0),MATCH(LEFT(K$10,4),Fiscal_Periods,0))</f>
        <v>9312</v>
      </c>
      <c r="L13" s="900">
        <f t="shared" ref="L13:N13" si="2" ca="1">IFERROR($H13/I13-1,"N/A")</f>
        <v>-0.28671832867115254</v>
      </c>
      <c r="M13" s="595">
        <f ca="1">IFERROR($H13/J13-1,"N/A")</f>
        <v>-0.5622683266316115</v>
      </c>
      <c r="N13" s="595">
        <f ca="1">IFERROR($H13/K13-1,"N/A")</f>
        <v>-0.6960510094501718</v>
      </c>
      <c r="O13" s="16"/>
      <c r="P13" s="16"/>
      <c r="Q13" s="4"/>
      <c r="R13" s="4"/>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4">
        <v>0.202</v>
      </c>
      <c r="J14" s="903">
        <f t="array" ref="J14" ca="1">INDEX(Data,MATCH($C14,Line_Items,0),MATCH(LEFT(J$10,4),Fiscal_Periods,0))</f>
        <v>0.31834966274432575</v>
      </c>
      <c r="K14" s="903">
        <f t="array" ref="K14" ca="1">INDEX(Data,MATCH($C14,Line_Items,0),MATCH(LEFT(K$10,4),Fiscal_Periods,0))</f>
        <v>0.33775843307943415</v>
      </c>
      <c r="L14" s="905">
        <f t="shared" ref="L14:N14" si="3" ca="1">$H14-I14</f>
        <v>-0.07200000000000001</v>
      </c>
      <c r="M14" s="906">
        <f ca="1">$H14-J14</f>
        <v>-0.18834966274432574</v>
      </c>
      <c r="N14" s="906">
        <f ca="1">$H14-K14</f>
        <v>-0.20775843307943415</v>
      </c>
      <c r="O14" s="16"/>
      <c r="P14" s="16"/>
      <c r="Q14" s="4"/>
      <c r="R14" s="4"/>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2">
        <v>2224.4</v>
      </c>
      <c r="J15" s="901">
        <f t="array" ref="J15" ca="1">INDEX(Data,MATCH($C15,Line_Items,0),MATCH(LEFT(J$10,4),Fiscal_Periods,0))</f>
        <v>3159</v>
      </c>
      <c r="K15" s="901">
        <f t="array" ref="K15" ca="1">INDEX(Data,MATCH($C15,Line_Items,0),MATCH(LEFT(K$10,4),Fiscal_Periods,0))</f>
        <v>4619</v>
      </c>
      <c r="L15" s="900" t="str">
        <f t="shared" ref="L15:N15" si="4" ca="1">IFERROR($H15/I15-1,"N/A")</f>
        <v>N/A</v>
      </c>
      <c r="M15" s="595" t="str">
        <f ca="1">IFERROR($H15/J15-1,"N/A")</f>
        <v>N/A</v>
      </c>
      <c r="N15" s="595" t="str">
        <f ca="1">IFERROR($H15/K15-1,"N/A")</f>
        <v>N/A</v>
      </c>
      <c r="O15" s="16"/>
      <c r="P15" s="16"/>
      <c r="Q15" s="4"/>
      <c r="R15" s="4"/>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4">
        <v>0.113</v>
      </c>
      <c r="J16" s="907">
        <f t="shared" ref="J16:K16" si="5" ca="1">J15/$H$12</f>
        <v>0.1450939505146495</v>
      </c>
      <c r="K16" s="907">
        <f ca="1">K15/$H$12</f>
        <v>0.212152249897805</v>
      </c>
      <c r="L16" s="905">
        <f ca="1">$H16-I16</f>
        <v>-0.113</v>
      </c>
      <c r="M16" s="906">
        <f ca="1">$H16-J16</f>
        <v>-0.1450939505146495</v>
      </c>
      <c r="N16" s="906">
        <f ca="1">$H16-K16</f>
        <v>-0.212152249897805</v>
      </c>
      <c r="O16" s="16"/>
      <c r="P16" s="16"/>
      <c r="Q16" s="4"/>
      <c r="R16" s="4"/>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2">
        <v>1952.8</v>
      </c>
      <c r="J17" s="901">
        <f t="array" ref="J17" ca="1">INDEX(Data,MATCH($C17,Line_Items,0),MATCH(LEFT(J$10,4),Fiscal_Periods,0))</f>
        <v>2769</v>
      </c>
      <c r="K17" s="901">
        <f t="array" ref="K17" ca="1">INDEX(Data,MATCH($C17,Line_Items,0),MATCH(LEFT(K$10,4),Fiscal_Periods,0))</f>
        <v>4210</v>
      </c>
      <c r="L17" s="900">
        <f t="shared" ref="L17:N17" si="6" ca="1">IFERROR($H17/I17-1,"N/A")</f>
        <v>-2.1730215587873825</v>
      </c>
      <c r="M17" s="595">
        <f ca="1">IFERROR($H17/J17-1,"N/A")</f>
        <v>-1.8272576742506321</v>
      </c>
      <c r="N17" s="595">
        <f ca="1">IFERROR($H17/K17-1,"N/A")</f>
        <v>-1.5441036817102138</v>
      </c>
      <c r="O17" s="16"/>
      <c r="P17" s="16"/>
      <c r="Q17" s="4"/>
      <c r="R17" s="4"/>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ca="1">H17/$H$12</f>
        <v>-0.10521155515545128</v>
      </c>
      <c r="I18" s="904">
        <v>0.099</v>
      </c>
      <c r="J18" s="907">
        <f t="shared" ref="J18:K18" si="7" ca="1">J17/$H$12</f>
        <v>0.12718111711777919</v>
      </c>
      <c r="K18" s="907">
        <f ca="1">K17/$H$12</f>
        <v>0.19336674000211282</v>
      </c>
      <c r="L18" s="905">
        <f t="shared" ref="L18:N18" si="8" ca="1">$H18-I18</f>
        <v>-0.20421155515545128</v>
      </c>
      <c r="M18" s="906">
        <f ca="1">$H18-J18</f>
        <v>-0.23239267227323046</v>
      </c>
      <c r="N18" s="906">
        <f ca="1">$H18-K18</f>
        <v>-0.29857829515756407</v>
      </c>
      <c r="O18" s="16"/>
      <c r="P18" s="16"/>
      <c r="Q18" s="4"/>
      <c r="R18" s="4"/>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2">
        <v>1379.1</v>
      </c>
      <c r="J19" s="901">
        <f t="array" ref="J19" ca="1">INDEX(Data,MATCH($C19,Line_Items,0),MATCH(LEFT(J$10,4),Fiscal_Periods,0))</f>
        <v>978</v>
      </c>
      <c r="K19" s="901">
        <f t="array" ref="K19" ca="1">INDEX(Data,MATCH($C19,Line_Items,0),MATCH(LEFT(K$10,4),Fiscal_Periods,0))</f>
        <v>3018</v>
      </c>
      <c r="L19" s="900" t="str">
        <f t="shared" ref="L19:N19" si="9" ca="1">IFERROR($H19/I19-1,"N/A")</f>
        <v>N/A</v>
      </c>
      <c r="M19" s="595" t="str">
        <f ca="1">IFERROR($H19/J19-1,"N/A")</f>
        <v>N/A</v>
      </c>
      <c r="N19" s="595" t="str">
        <f ca="1">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 ca="1">H19/H12</f>
        <v>1e-12</v>
      </c>
      <c r="I20" s="904">
        <v>0.07</v>
      </c>
      <c r="J20" s="903">
        <f t="shared" ref="J20:K20" si="10" ca="1">J19/J12</f>
        <v>0.04815124809216681</v>
      </c>
      <c r="K20" s="903">
        <f ca="1">K19/K12</f>
        <v>0.10946681175190424</v>
      </c>
      <c r="L20" s="905">
        <f ca="1">$H20-I20</f>
        <v>-0.07</v>
      </c>
      <c r="M20" s="906">
        <f ca="1">$H20-J20</f>
        <v>-0.04815124809216681</v>
      </c>
      <c r="N20" s="906">
        <f ca="1">$H20-K20</f>
        <v>-0.10946681175190424</v>
      </c>
      <c r="O20" s="16"/>
      <c r="P20" s="16"/>
      <c r="Q20" s="4"/>
      <c r="R20" s="4"/>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9">
        <v>2.15</v>
      </c>
      <c r="J21" s="908">
        <f t="array" ref="J21" ca="1">INDEX(Data,MATCH($C21,Line_Items,0),MATCH(LEFT(J$10,4),Fiscal_Periods,0))</f>
        <v>1.304</v>
      </c>
      <c r="K21" s="908">
        <f t="array" ref="K21" ca="1">INDEX(Data,MATCH($C21,Line_Items,0),MATCH(LEFT(K$10,4),Fiscal_Periods,0))</f>
        <v>4.2687411598302685</v>
      </c>
      <c r="L21" s="900" t="str">
        <f t="shared" ref="L21:N21" si="11" ca="1">IFERROR($H21/I21-1,"N/A")</f>
        <v>N/A</v>
      </c>
      <c r="M21" s="595" t="str">
        <f ca="1">IFERROR($H21/J21-1,"N/A")</f>
        <v>N/A</v>
      </c>
      <c r="N21" s="595" t="str">
        <f ca="1">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 ca="1">Ticker&amp;" "&amp;H4&amp;RIGHT(H5,2)&amp;" Segment Expectations"</f>
        <v>LOW 4Q26 Segment Expectations</v>
      </c>
      <c r="D24" s="110"/>
      <c r="E24" s="110"/>
      <c r="F24" s="110"/>
      <c r="G24" s="110"/>
      <c r="H24" s="111" t="str">
        <f t="shared" ref="H24:N24" si="12" ca="1">H10</f>
        <v>OFe</v>
      </c>
      <c r="I24" s="111" t="str">
        <f ca="1">I10</f>
        <v>Consensus</v>
      </c>
      <c r="J24" s="111" t="str">
        <f ca="1">J10</f>
        <v>4Q25a</v>
      </c>
      <c r="K24" s="111" t="str">
        <f ca="1">K10</f>
        <v>2Q26a</v>
      </c>
      <c r="L24" s="897" t="str">
        <f ca="1">L10</f>
        <v>v. Consensus</v>
      </c>
      <c r="M24" s="111" t="str">
        <f ca="1">M10</f>
        <v>v. 4Q25a</v>
      </c>
      <c r="N24" s="111" t="str">
        <f ca="1">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9">
        <v>6520.1</v>
      </c>
      <c r="J26" s="898">
        <f ca="1">INDEX(Data,MATCH($C26,Line_Items,0),MATCH(LEFT(J$24,4),Fiscal_Periods,0))</f>
      </c>
      <c r="K26" s="898">
        <f ca="1">INDEX(Data,MATCH($C26,Line_Items,0),MATCH(LEFT(K$24,4),Fiscal_Periods,0))</f>
      </c>
      <c r="L26" s="900" t="str">
        <f t="shared" ref="L26:N26" si="13" ca="1">IFERROR($H26/I26-1,"N/A")</f>
        <v>N/A</v>
      </c>
      <c r="M26" s="595" t="str">
        <f ca="1">IFERROR($H26/J26-1,"N/A")</f>
        <v>N/A</v>
      </c>
      <c r="N26" s="595" t="str">
        <f ca="1">IFERROR($H26/K26-1,"N/A")</f>
        <v>N/A</v>
      </c>
      <c r="O26" s="16"/>
      <c r="P26" s="16"/>
      <c r="Q26" s="4"/>
      <c r="R26" s="4"/>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2">
        <v>11000.3</v>
      </c>
      <c r="J27" s="901">
        <f ca="1">INDEX(Data,MATCH($C27,Line_Items,0),MATCH(LEFT(J$24,4),Fiscal_Periods,0))</f>
      </c>
      <c r="K27" s="901">
        <f ca="1">INDEX(Data,MATCH($C27,Line_Items,0),MATCH(LEFT(K$24,4),Fiscal_Periods,0))</f>
      </c>
      <c r="L27" s="900" t="str">
        <f t="shared" ref="L27:N27" si="14" ca="1">IFERROR($H27/I27-1,"N/A")</f>
        <v>N/A</v>
      </c>
      <c r="M27" s="595" t="str">
        <f ca="1">IFERROR($H27/J27-1,"N/A")</f>
        <v>N/A</v>
      </c>
      <c r="N27" s="595" t="str">
        <f ca="1">IFERROR($H27/K27-1,"N/A")</f>
        <v>N/A</v>
      </c>
      <c r="O27" s="16"/>
      <c r="P27" s="16"/>
      <c r="Q27" s="4"/>
      <c r="R27" s="4"/>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2">
        <v>75</v>
      </c>
      <c r="J28" s="901">
        <f ca="1">INDEX(Data,MATCH($C28,Line_Items,0),MATCH(LEFT(J$24,4),Fiscal_Periods,0))</f>
      </c>
      <c r="K28" s="901">
        <f ca="1">INDEX(Data,MATCH($C28,Line_Items,0),MATCH(LEFT(K$24,4),Fiscal_Periods,0))</f>
      </c>
      <c r="L28" s="900" t="str">
        <f t="shared" ref="L28:N28" si="15" ca="1">IFERROR($H28/I28-1,"N/A")</f>
        <v>N/A</v>
      </c>
      <c r="M28" s="595" t="str">
        <f ca="1">IFERROR($H28/J28-1,"N/A")</f>
        <v>N/A</v>
      </c>
      <c r="N28" s="595" t="str">
        <f ca="1">IFERROR($H28/K28-1,"N/A")</f>
        <v>N/A</v>
      </c>
      <c r="O28" s="16"/>
      <c r="P28" s="16"/>
      <c r="Q28" s="4"/>
      <c r="R28" s="4"/>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2">
        <v>-200</v>
      </c>
      <c r="J29" s="901">
        <f ca="1">INDEX(Data,MATCH($C29,Line_Items,0),MATCH(LEFT(J$24,4),Fiscal_Periods,0))</f>
      </c>
      <c r="K29" s="901">
        <f ca="1">INDEX(Data,MATCH($C29,Line_Items,0),MATCH(LEFT(K$24,4),Fiscal_Periods,0))</f>
      </c>
      <c r="L29" s="900" t="str">
        <f t="shared" ref="L29:N29" si="16" ca="1">IFERROR($H29/I29-1,"N/A")</f>
        <v>N/A</v>
      </c>
      <c r="M29" s="595" t="str">
        <f ca="1">IFERROR($H29/J29-1,"N/A")</f>
        <v>N/A</v>
      </c>
      <c r="N29" s="595" t="str">
        <f ca="1">IFERROR($H29/K29-1,"N/A")</f>
        <v>N/A</v>
      </c>
      <c r="O29" s="16"/>
      <c r="P29" s="16"/>
      <c r="Q29" s="4"/>
      <c r="R29" s="4"/>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1">
        <v>5000</v>
      </c>
      <c r="J30" s="910">
        <f ca="1">INDEX(Data,MATCH($C30,Line_Items,0),MATCH(LEFT(J$24,4),Fiscal_Periods,0))</f>
      </c>
      <c r="K30" s="910">
        <f ca="1">INDEX(Data,MATCH($C30,Line_Items,0),MATCH(LEFT(K$24,4),Fiscal_Periods,0))</f>
      </c>
      <c r="L30" s="912" t="str">
        <f t="shared" ref="L30:N30" si="17" ca="1">IFERROR($H30/I30-1,"N/A")</f>
        <v>N/A</v>
      </c>
      <c r="M30" s="591" t="str">
        <f ca="1">IFERROR($H30/J30-1,"N/A")</f>
        <v>N/A</v>
      </c>
      <c r="N30" s="591" t="str">
        <f ca="1">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4">
        <f ca="1">INDEX(Data,MATCH($C31,Line_Items,0),MATCH($H$6,Fiscal_Periods,0))</f>
      </c>
      <c r="J31" s="913">
        <f ca="1">INDEX(Data,MATCH($C31,Line_Items,0),MATCH(LEFT(J$24,4),Fiscal_Periods,0))</f>
      </c>
      <c r="K31" s="913">
        <f ca="1">INDEX(Data,MATCH($C31,Line_Items,0),MATCH(LEFT(K$24,4),Fiscal_Periods,0))</f>
      </c>
      <c r="L31" s="912" t="str">
        <f t="shared" ref="L31:N31" si="18" ca="1">IFERROR($H31/I31-1,"N/A")</f>
        <v>N/A</v>
      </c>
      <c r="M31" s="591" t="str">
        <f ca="1">IFERROR($H31/J31-1,"N/A")</f>
        <v>N/A</v>
      </c>
      <c r="N31" s="591" t="str">
        <f ca="1">IFERROR($H31/K31-1,"N/A")</f>
        <v>N/A</v>
      </c>
      <c r="O31" s="16"/>
      <c r="P31" s="16"/>
      <c r="Q31" s="4"/>
      <c r="R31" s="4"/>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9">
        <v>820</v>
      </c>
      <c r="J32" s="898">
        <f ca="1">INDEX(Data,MATCH($C32,Line_Items,0),MATCH(LEFT(J$24,4),Fiscal_Periods,0))</f>
      </c>
      <c r="K32" s="898">
        <f ca="1">INDEX(Data,MATCH($C32,Line_Items,0),MATCH(LEFT(K$24,4),Fiscal_Periods,0))</f>
      </c>
      <c r="L32" s="900" t="str">
        <f t="shared" ref="L32:N32" si="19" ca="1">IFERROR($H32/I32-1,"N/A")</f>
        <v>N/A</v>
      </c>
      <c r="M32" s="595" t="str">
        <f ca="1">IFERROR($H32/J32-1,"N/A")</f>
        <v>N/A</v>
      </c>
      <c r="N32" s="595" t="str">
        <f ca="1">IFERROR($H32/K32-1,"N/A")</f>
        <v>N/A</v>
      </c>
      <c r="O32" s="16"/>
      <c r="P32" s="16"/>
      <c r="Q32" s="4"/>
      <c r="R32" s="4"/>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2">
        <v>1400</v>
      </c>
      <c r="J33" s="901">
        <f ca="1">INDEX(Data,MATCH($C33,Line_Items,0),MATCH(LEFT(J$24,4),Fiscal_Periods,0))</f>
      </c>
      <c r="K33" s="901">
        <f ca="1">INDEX(Data,MATCH($C33,Line_Items,0),MATCH(LEFT(K$24,4),Fiscal_Periods,0))</f>
      </c>
      <c r="L33" s="900" t="str">
        <f t="shared" ref="L33:N33" si="20" ca="1">IFERROR($H33/I33-1,"N/A")</f>
        <v>N/A</v>
      </c>
      <c r="M33" s="595" t="str">
        <f ca="1">IFERROR($H33/J33-1,"N/A")</f>
        <v>N/A</v>
      </c>
      <c r="N33" s="595" t="str">
        <f ca="1">IFERROR($H33/K33-1,"N/A")</f>
        <v>N/A</v>
      </c>
      <c r="O33" s="16"/>
      <c r="P33" s="16"/>
      <c r="Q33" s="4"/>
      <c r="R33" s="4"/>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2">
        <v>10</v>
      </c>
      <c r="J34" s="901">
        <f ca="1">INDEX(Data,MATCH($C34,Line_Items,0),MATCH(LEFT(J$24,4),Fiscal_Periods,0))</f>
      </c>
      <c r="K34" s="901">
        <f ca="1">INDEX(Data,MATCH($C34,Line_Items,0),MATCH(LEFT(K$24,4),Fiscal_Periods,0))</f>
      </c>
      <c r="L34" s="900" t="str">
        <f t="shared" ref="L34:N34" si="21" ca="1">IFERROR($H34/I34-1,"N/A")</f>
        <v>N/A</v>
      </c>
      <c r="M34" s="595" t="str">
        <f ca="1">IFERROR($H34/J34-1,"N/A")</f>
        <v>N/A</v>
      </c>
      <c r="N34" s="595" t="str">
        <f ca="1">IFERROR($H34/K34-1,"N/A")</f>
        <v>N/A</v>
      </c>
      <c r="O34" s="16"/>
      <c r="P34" s="16"/>
      <c r="Q34" s="4"/>
      <c r="R34" s="4"/>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2">
        <v>-23</v>
      </c>
      <c r="J35" s="901">
        <f ca="1">INDEX(Data,MATCH($C35,Line_Items,0),MATCH(LEFT(J$24,4),Fiscal_Periods,0))</f>
      </c>
      <c r="K35" s="901">
        <f ca="1">INDEX(Data,MATCH($C35,Line_Items,0),MATCH(LEFT(K$24,4),Fiscal_Periods,0))</f>
      </c>
      <c r="L35" s="900" t="str">
        <f t="shared" ref="L35:N35" si="22" ca="1">IFERROR($H35/I35-1,"N/A")</f>
        <v>N/A</v>
      </c>
      <c r="M35" s="595" t="str">
        <f ca="1">IFERROR($H35/J35-1,"N/A")</f>
        <v>N/A</v>
      </c>
      <c r="N35" s="595" t="str">
        <f ca="1">IFERROR($H35/K35-1,"N/A")</f>
        <v>N/A</v>
      </c>
      <c r="O35" s="16"/>
      <c r="P35" s="16"/>
      <c r="Q35" s="4"/>
      <c r="R35" s="4"/>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2">
        <v>650</v>
      </c>
      <c r="J36" s="901">
        <f ca="1">INDEX(Data,MATCH($C36,Line_Items,0),MATCH(LEFT(J$24,4),Fiscal_Periods,0))</f>
      </c>
      <c r="K36" s="901">
        <f ca="1">INDEX(Data,MATCH($C36,Line_Items,0),MATCH(LEFT(K$24,4),Fiscal_Periods,0))</f>
      </c>
      <c r="L36" s="900" t="str">
        <f t="shared" ref="L36:N36" si="23" ca="1">IFERROR($H36/I36-1,"N/A")</f>
        <v>N/A</v>
      </c>
      <c r="M36" s="595" t="str">
        <f ca="1">IFERROR($H36/J36-1,"N/A")</f>
        <v>N/A</v>
      </c>
      <c r="N36" s="595" t="str">
        <f ca="1">IFERROR($H36/K36-1,"N/A")</f>
        <v>N/A</v>
      </c>
      <c r="O36" s="16"/>
      <c r="P36" s="16"/>
      <c r="Q36" s="4"/>
      <c r="R36" s="4"/>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2">
        <v>300</v>
      </c>
      <c r="J37" s="901">
        <f ca="1">INDEX(Data,MATCH($C37,Line_Items,0),MATCH(LEFT(J$24,4),Fiscal_Periods,0))</f>
      </c>
      <c r="K37" s="901">
        <f ca="1">INDEX(Data,MATCH($C37,Line_Items,0),MATCH(LEFT(K$24,4),Fiscal_Periods,0))</f>
      </c>
      <c r="L37" s="900" t="str">
        <f t="shared" ref="L37:N37" si="24" ca="1">IFERROR($H37/I37-1,"N/A")</f>
        <v>N/A</v>
      </c>
      <c r="M37" s="595" t="str">
        <f ca="1">IFERROR($H37/J37-1,"N/A")</f>
        <v>N/A</v>
      </c>
      <c r="N37" s="595" t="str">
        <f ca="1">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 ca="1">Ticker&amp;" "&amp;H4&amp;RIGHT(H5,2)&amp;" Cash Flow Expectations"</f>
        <v>LOW 4Q26 Cash Flow Expectations</v>
      </c>
      <c r="D40" s="110"/>
      <c r="E40" s="110"/>
      <c r="F40" s="110"/>
      <c r="G40" s="110"/>
      <c r="H40" s="111" t="str">
        <f t="shared" ref="H40:N40" si="25" ca="1">H10</f>
        <v>OFe</v>
      </c>
      <c r="I40" s="111" t="str">
        <f ca="1">I10</f>
        <v>Consensus</v>
      </c>
      <c r="J40" s="111" t="str">
        <f ca="1">J10</f>
        <v>4Q25a</v>
      </c>
      <c r="K40" s="111" t="str">
        <f ca="1">K10</f>
        <v>2Q26a</v>
      </c>
      <c r="L40" s="897" t="str">
        <f ca="1">L10</f>
        <v>v. Consensus</v>
      </c>
      <c r="M40" s="111" t="str">
        <f ca="1">M10</f>
        <v>v. 4Q25a</v>
      </c>
      <c r="N40" s="111" t="str">
        <f ca="1">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9">
        <v>50</v>
      </c>
      <c r="J42" s="898">
        <f t="array" ref="J42" ca="1">INDEX(Data,MATCH($C42,Line_Items,0),MATCH(LEFT(J$40,4),Fiscal_Periods,0))</f>
        <v>0</v>
      </c>
      <c r="K42" s="898">
        <f t="array" ref="K42" ca="1">INDEX(Data,MATCH($C42,Line_Items,0),MATCH(LEFT(K$40,4),Fiscal_Periods,0))</f>
        <v>0</v>
      </c>
      <c r="L42" s="900" t="str">
        <f t="shared" ref="L42:N42" si="26" ca="1">IFERROR($H42/I42-1,"N/A")</f>
        <v>N/A</v>
      </c>
      <c r="M42" s="595" t="str">
        <f ca="1">IFERROR($H42/J42-1,"N/A")</f>
        <v>N/A</v>
      </c>
      <c r="N42" s="595" t="str">
        <f ca="1">IFERROR($H42/K42-1,"N/A")</f>
        <v>N/A</v>
      </c>
      <c r="O42" s="16"/>
      <c r="P42" s="16"/>
      <c r="Q42" s="4"/>
      <c r="R42" s="4"/>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2">
        <v>-668</v>
      </c>
      <c r="J43" s="901">
        <f t="array" ref="J43" ca="1">INDEX(Data,MATCH($C43,Line_Items,0),MATCH(LEFT(J$40,4),Fiscal_Periods,0))</f>
        <v>0</v>
      </c>
      <c r="K43" s="901">
        <f t="array" ref="K43" ca="1">INDEX(Data,MATCH($C43,Line_Items,0),MATCH(LEFT(K$40,4),Fiscal_Periods,0))</f>
        <v>0</v>
      </c>
      <c r="L43" s="900">
        <f t="shared" ref="L43:N43" si="27" ca="1">IFERROR($H43/I43-1,"N/A")</f>
        <v>-0.4459196107784431</v>
      </c>
      <c r="M43" s="595" t="str">
        <f ca="1">IFERROR($H43/J43-1,"N/A")</f>
        <v>N/A</v>
      </c>
      <c r="N43" s="595" t="str">
        <f ca="1">IFERROR($H43/K43-1,"N/A")</f>
        <v>N/A</v>
      </c>
      <c r="O43" s="16"/>
      <c r="P43" s="16"/>
      <c r="Q43" s="4"/>
      <c r="R43" s="4"/>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2">
        <v>1412.6</v>
      </c>
      <c r="J44" s="901">
        <f t="array" ref="J44" ca="1">INDEX(Data,MATCH($C44,Line_Items,0),MATCH(LEFT(J$40,4),Fiscal_Periods,0))</f>
        <v>-1545</v>
      </c>
      <c r="K44" s="901">
        <f t="array" ref="K44" ca="1">INDEX(Data,MATCH($C44,Line_Items,0),MATCH(LEFT(K$40,4),Fiscal_Periods,0))</f>
        <v>2149</v>
      </c>
      <c r="L44" s="900" t="str">
        <f t="shared" ref="L44:N44" si="28" ca="1">IFERROR($H44/I44-1,"N/A")</f>
        <v>N/A</v>
      </c>
      <c r="M44" s="595" t="str">
        <f ca="1">IFERROR($H44/J44-1,"N/A")</f>
        <v>N/A</v>
      </c>
      <c r="N44" s="595" t="str">
        <f ca="1">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 ca="1">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959</v>
      </c>
      <c r="D4" s="16"/>
      <c r="E4" s="16"/>
      <c r="F4" s="16"/>
      <c r="G4" s="16"/>
      <c r="H4" s="53" t="s">
        <v>960</v>
      </c>
      <c r="I4" s="16"/>
      <c r="J4" s="915" t="s">
        <v>909</v>
      </c>
      <c r="K4" s="16"/>
      <c r="L4" s="16"/>
      <c r="M4" s="16"/>
      <c r="N4" s="16"/>
      <c r="O4" s="16"/>
      <c r="P4" s="16"/>
      <c r="Q4" s="16"/>
      <c r="R4" s="16"/>
      <c r="S4" s="4"/>
      <c r="T4" s="4"/>
      <c r="U4" s="4"/>
      <c r="V4" s="4"/>
      <c r="W4" s="4"/>
      <c r="X4" s="4"/>
      <c r="Y4" s="4"/>
      <c r="Z4" s="4"/>
    </row>
    <row r="5" ht="14.25" customHeight="1" spans="1:26" x14ac:dyDescent="0.25">
      <c r="A5" s="16"/>
      <c r="B5" s="16"/>
      <c r="C5" s="16" t="s">
        <v>961</v>
      </c>
      <c r="D5" s="16"/>
      <c r="E5" s="16"/>
      <c r="F5" s="16"/>
      <c r="G5" s="16"/>
      <c r="H5" s="895">
        <f ca="1">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962</v>
      </c>
      <c r="D6" s="16"/>
      <c r="E6" s="16"/>
      <c r="F6" s="16"/>
      <c r="G6" s="16"/>
      <c r="H6" s="896" t="str">
        <f ca="1">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963</v>
      </c>
      <c r="D7" s="16"/>
      <c r="E7" s="16"/>
      <c r="F7" s="16"/>
      <c r="G7" s="16"/>
      <c r="H7" s="895">
        <f ca="1">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 ca="1">Ticker&amp;" "&amp;H4&amp;RIGHT(H5,2)&amp;" Operating Results"</f>
        <v>LOW 4Q26 Operating Results</v>
      </c>
      <c r="D10" s="110"/>
      <c r="E10" s="110"/>
      <c r="F10" s="110"/>
      <c r="G10" s="110"/>
      <c r="H10" s="111" t="str">
        <f ca="1">H4&amp;RIGHT(H5,2)&amp;"a"</f>
        <v>4Q26a</v>
      </c>
      <c r="I10" s="111" t="s">
        <v>965</v>
      </c>
      <c r="J10" s="111" t="s">
        <v>966</v>
      </c>
      <c r="K10" s="111" t="str">
        <f ca="1">H4&amp;RIGHT(H7,2)&amp;"a"</f>
        <v>4Q25a</v>
      </c>
      <c r="L10" s="111" t="str">
        <f ca="1">Last_FQR&amp;RIGHT(H5,2)&amp;"a"</f>
        <v>2Q26a</v>
      </c>
      <c r="M10" s="897" t="str">
        <f t="shared" ref="M10:P10" si="0" ca="1">"v. "&amp;I10</f>
        <v>v. OFe</v>
      </c>
      <c r="N10" s="111" t="str">
        <f ca="1">"v. "&amp;J10</f>
        <v>v. Consensus</v>
      </c>
      <c r="O10" s="111" t="str">
        <f ca="1">"v. "&amp;K10</f>
        <v>v. 4Q25a</v>
      </c>
      <c r="P10" s="111" t="str">
        <f ca="1">"v.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8">
        <f t="array" ref="I12" ca="1">INDEX(Data,MATCH($C12,Line_Items,0),MATCH($H$6,Fiscal_Periods,0))</f>
        <v>21772.1</v>
      </c>
      <c r="J12" s="899">
        <v>19670.3</v>
      </c>
      <c r="K12" s="898">
        <f t="array" ref="K12" ca="1">INDEX(Data,MATCH($C12,Line_Items,0),MATCH(LEFT(K$10,4),Fiscal_Periods,0))</f>
        <v>20311</v>
      </c>
      <c r="L12" s="898">
        <f t="array" ref="L12" ca="1">INDEX(Data,MATCH($C12,Line_Items,0),MATCH(LEFT(L$10,4),Fiscal_Periods,0))</f>
        <v>27570</v>
      </c>
      <c r="M12" s="900">
        <f t="shared" ref="M12:N12" si="1" ca="1">IFERROR($H12/I12-1,"N/A")</f>
        <v>0</v>
      </c>
      <c r="N12" s="595">
        <f ca="1">IFERROR($H12/J12-1,"N/A")</f>
        <v>0.1068514460887735</v>
      </c>
      <c r="O12" s="595">
        <f t="shared" ref="O12:P12" si="2" ca="1">IFERROR($I12/K12-1,"N/A")</f>
        <v>0.07193638914873701</v>
      </c>
      <c r="P12" s="595">
        <f ca="1">IFERROR($I12/L12-1,"N/A")</f>
        <v>-0.21029742473703306</v>
      </c>
      <c r="Q12" s="16"/>
      <c r="R12" s="16"/>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1">
        <f t="array" ref="I13" ca="1">INDEX(Data,MATCH($C13,Line_Items,0),MATCH($H$6,Fiscal_Periods,0))</f>
        <v>2830.3729999999996</v>
      </c>
      <c r="J13" s="902">
        <v>3968.1</v>
      </c>
      <c r="K13" s="901">
        <f t="array" ref="K13" ca="1">INDEX(Data,MATCH($C13,Line_Items,0),MATCH(LEFT(K$10,4),Fiscal_Periods,0))</f>
        <v>6466</v>
      </c>
      <c r="L13" s="901">
        <f t="array" ref="L13" ca="1">INDEX(Data,MATCH($C13,Line_Items,0),MATCH(LEFT(L$10,4),Fiscal_Periods,0))</f>
        <v>9312</v>
      </c>
      <c r="M13" s="900">
        <f t="shared" ref="M13:P13" si="3" ca="1">IFERROR($H13/I13-1,"N/A")</f>
        <v>0</v>
      </c>
      <c r="N13" s="595">
        <f ca="1">IFERROR($H13/J13-1,"N/A")</f>
        <v>-0.28671832867115254</v>
      </c>
      <c r="O13" s="595">
        <f ca="1">IFERROR($H13/K13-1,"N/A")</f>
        <v>-0.5622683266316115</v>
      </c>
      <c r="P13" s="595">
        <f ca="1">IFERROR($H13/L13-1,"N/A")</f>
        <v>-0.6960510094501718</v>
      </c>
      <c r="Q13" s="16"/>
      <c r="R13" s="16"/>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3">
        <f t="array" ref="I14" ca="1">INDEX(Data,MATCH($C14,Line_Items,0),MATCH($H$6,Fiscal_Periods,0))</f>
        <v>0.13</v>
      </c>
      <c r="J14" s="904">
        <v>0.202</v>
      </c>
      <c r="K14" s="903">
        <f t="array" ref="K14" ca="1">INDEX(Data,MATCH($C14,Line_Items,0),MATCH(LEFT(K$10,4),Fiscal_Periods,0))</f>
        <v>0.31834966274432575</v>
      </c>
      <c r="L14" s="903">
        <f t="array" ref="L14" ca="1">INDEX(Data,MATCH($C14,Line_Items,0),MATCH(LEFT(L$10,4),Fiscal_Periods,0))</f>
        <v>0.33775843307943415</v>
      </c>
      <c r="M14" s="905">
        <f t="shared" ref="M14:P14" si="4" ca="1">$H14-I14</f>
        <v>1e-12</v>
      </c>
      <c r="N14" s="906">
        <f ca="1">$H14-J14</f>
        <v>-0.07200000000000001</v>
      </c>
      <c r="O14" s="906">
        <f ca="1">$H14-K14</f>
        <v>-0.18834966274432574</v>
      </c>
      <c r="P14" s="906">
        <f ca="1">$H14-L14</f>
        <v>-0.20775843307943415</v>
      </c>
      <c r="Q14" s="16"/>
      <c r="R14" s="16"/>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1">
        <f ca="1">INDEX(Data,MATCH($C15,Line_Items,0),MATCH($H$6,Fiscal_Periods,0))</f>
      </c>
      <c r="J15" s="902">
        <v>2224.4</v>
      </c>
      <c r="K15" s="901">
        <f t="array" ref="K15" ca="1">INDEX(Data,MATCH($C15,Line_Items,0),MATCH(LEFT(K$10,4),Fiscal_Periods,0))</f>
        <v>3159</v>
      </c>
      <c r="L15" s="901">
        <f t="array" ref="L15" ca="1">INDEX(Data,MATCH($C15,Line_Items,0),MATCH(LEFT(L$10,4),Fiscal_Periods,0))</f>
        <v>4619</v>
      </c>
      <c r="M15" s="900" t="str">
        <f t="shared" ref="M15:P15" si="5" ca="1">IFERROR($H15/I15-1,"N/A")</f>
        <v>N/A</v>
      </c>
      <c r="N15" s="595" t="str">
        <f ca="1">IFERROR($H15/J15-1,"N/A")</f>
        <v>N/A</v>
      </c>
      <c r="O15" s="595" t="str">
        <f ca="1">IFERROR($H15/K15-1,"N/A")</f>
        <v>N/A</v>
      </c>
      <c r="P15" s="595" t="str">
        <f ca="1">IFERROR($H15/L15-1,"N/A")</f>
        <v>N/A</v>
      </c>
      <c r="Q15" s="16"/>
      <c r="R15" s="16"/>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7">
        <f ca="1">I15/$H$12</f>
        <v>1e-12</v>
      </c>
      <c r="J16" s="904">
        <v>0.113</v>
      </c>
      <c r="K16" s="907">
        <f t="shared" ref="K16:L16" si="6" ca="1">K15/$H$12</f>
        <v>0.1450939505146495</v>
      </c>
      <c r="L16" s="907">
        <f ca="1">L15/$H$12</f>
        <v>0.212152249897805</v>
      </c>
      <c r="M16" s="905">
        <f ca="1">$H16-I16</f>
        <v>1e-12</v>
      </c>
      <c r="N16" s="906">
        <f ca="1">$H16-J16</f>
        <v>-0.113</v>
      </c>
      <c r="O16" s="906">
        <f ca="1">$H16-K16</f>
        <v>-0.1450939505146495</v>
      </c>
      <c r="P16" s="906">
        <f ca="1">$H16-L16</f>
        <v>-0.212152249897805</v>
      </c>
      <c r="Q16" s="16"/>
      <c r="R16" s="16"/>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1">
        <f t="array" ref="I17" ca="1">INDEX(Data,MATCH($C17,Line_Items,0),MATCH($H$6,Fiscal_Periods,0))</f>
        <v>-2290.6765000000005</v>
      </c>
      <c r="J17" s="902">
        <v>1952.8</v>
      </c>
      <c r="K17" s="901">
        <f t="array" ref="K17" ca="1">INDEX(Data,MATCH($C17,Line_Items,0),MATCH(LEFT(K$10,4),Fiscal_Periods,0))</f>
        <v>2769</v>
      </c>
      <c r="L17" s="901">
        <f t="array" ref="L17" ca="1">INDEX(Data,MATCH($C17,Line_Items,0),MATCH(LEFT(L$10,4),Fiscal_Periods,0))</f>
        <v>4210</v>
      </c>
      <c r="M17" s="900">
        <f t="shared" ref="M17:P17" si="7" ca="1">IFERROR($H17/I17-1,"N/A")</f>
        <v>0</v>
      </c>
      <c r="N17" s="595">
        <f ca="1">IFERROR($H17/J17-1,"N/A")</f>
        <v>-2.1730215587873825</v>
      </c>
      <c r="O17" s="595">
        <f ca="1">IFERROR($H17/K17-1,"N/A")</f>
        <v>-1.8272576742506321</v>
      </c>
      <c r="P17" s="595">
        <f ca="1">IFERROR($H17/L17-1,"N/A")</f>
        <v>-1.5441036817102138</v>
      </c>
      <c r="Q17" s="16"/>
      <c r="R17" s="16"/>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t="shared" ref="H18:I18" si="8" ca="1">H17/$H$12</f>
        <v>-0.10521155515545128</v>
      </c>
      <c r="I18" s="907">
        <f ca="1">I17/$H$12</f>
        <v>-0.10521155515545128</v>
      </c>
      <c r="J18" s="904">
        <v>0.099</v>
      </c>
      <c r="K18" s="907">
        <f t="shared" ref="K18:L18" si="9" ca="1">K17/$H$12</f>
        <v>0.12718111711777919</v>
      </c>
      <c r="L18" s="907">
        <f ca="1">L17/$H$12</f>
        <v>0.19336674000211282</v>
      </c>
      <c r="M18" s="905">
        <f t="shared" ref="M18:P18" si="10" ca="1">$H18-I18</f>
        <v>1e-12</v>
      </c>
      <c r="N18" s="906">
        <f ca="1">$H18-J18</f>
        <v>-0.20421155515545128</v>
      </c>
      <c r="O18" s="906">
        <f ca="1">$H18-K18</f>
        <v>-0.23239267227323046</v>
      </c>
      <c r="P18" s="906">
        <f ca="1">$H18-L18</f>
        <v>-0.29857829515756407</v>
      </c>
      <c r="Q18" s="16"/>
      <c r="R18" s="16"/>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1">
        <f ca="1">INDEX(Data,MATCH($C19,Line_Items,0),MATCH($H$6,Fiscal_Periods,0))</f>
      </c>
      <c r="J19" s="902">
        <v>1379.1</v>
      </c>
      <c r="K19" s="901">
        <f t="array" ref="K19" ca="1">INDEX(Data,MATCH($C19,Line_Items,0),MATCH(LEFT(K$10,4),Fiscal_Periods,0))</f>
        <v>978</v>
      </c>
      <c r="L19" s="901">
        <f t="array" ref="L19" ca="1">INDEX(Data,MATCH($C19,Line_Items,0),MATCH(LEFT(L$10,4),Fiscal_Periods,0))</f>
        <v>3018</v>
      </c>
      <c r="M19" s="900" t="str">
        <f t="shared" ref="M19:P19" si="11" ca="1">IFERROR($H19/I19-1,"N/A")</f>
        <v>N/A</v>
      </c>
      <c r="N19" s="595" t="str">
        <f ca="1">IFERROR($H19/J19-1,"N/A")</f>
        <v>N/A</v>
      </c>
      <c r="O19" s="595" t="str">
        <f ca="1">IFERROR($H19/K19-1,"N/A")</f>
        <v>N/A</v>
      </c>
      <c r="P19" s="595" t="str">
        <f ca="1">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 ca="1">H19/H12</f>
        <v>1e-12</v>
      </c>
      <c r="I20" s="903">
        <f ca="1">I19/I12</f>
        <v>1e-12</v>
      </c>
      <c r="J20" s="904">
        <v>0.07</v>
      </c>
      <c r="K20" s="903">
        <f t="shared" ref="K20:L20" si="12" ca="1">K19/K12</f>
        <v>0.04815124809216681</v>
      </c>
      <c r="L20" s="903">
        <f ca="1">L19/L12</f>
        <v>0.10946681175190424</v>
      </c>
      <c r="M20" s="905">
        <f ca="1">$H20-I20</f>
        <v>1e-12</v>
      </c>
      <c r="N20" s="906">
        <f ca="1">$H20-J20</f>
        <v>-0.07</v>
      </c>
      <c r="O20" s="906">
        <f ca="1">$H20-K20</f>
        <v>-0.04815124809216681</v>
      </c>
      <c r="P20" s="906">
        <f ca="1">$H20-L20</f>
        <v>-0.10946681175190424</v>
      </c>
      <c r="Q20" s="16"/>
      <c r="R20" s="16"/>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8">
        <f ca="1">INDEX(Data,MATCH($C21,Line_Items,0),MATCH($H$6,Fiscal_Periods,0))</f>
      </c>
      <c r="J21" s="909">
        <v>2.15</v>
      </c>
      <c r="K21" s="908">
        <f t="array" ref="K21" ca="1">INDEX(Data,MATCH($C21,Line_Items,0),MATCH(LEFT(K$10,4),Fiscal_Periods,0))</f>
        <v>1.304</v>
      </c>
      <c r="L21" s="908">
        <f t="array" ref="L21" ca="1">INDEX(Data,MATCH($C21,Line_Items,0),MATCH(LEFT(L$10,4),Fiscal_Periods,0))</f>
        <v>4.2687411598302685</v>
      </c>
      <c r="M21" s="900" t="str">
        <f t="shared" ref="M21:P21" si="13" ca="1">IFERROR($H21/I21-1,"N/A")</f>
        <v>N/A</v>
      </c>
      <c r="N21" s="595" t="str">
        <f ca="1">IFERROR($H21/J21-1,"N/A")</f>
        <v>N/A</v>
      </c>
      <c r="O21" s="595" t="str">
        <f ca="1">IFERROR($H21/K21-1,"N/A")</f>
        <v>N/A</v>
      </c>
      <c r="P21" s="595" t="str">
        <f ca="1">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 ca="1">Ticker&amp;" "&amp;H4&amp;RIGHT(H5,2)&amp;" Segment Results"</f>
        <v>LOW 4Q26 Segment Results</v>
      </c>
      <c r="D24" s="110"/>
      <c r="E24" s="110"/>
      <c r="F24" s="110"/>
      <c r="G24" s="110"/>
      <c r="H24" s="111" t="str">
        <f t="shared" ref="H24:P24" si="14" ca="1">H10</f>
        <v>4Q26a</v>
      </c>
      <c r="I24" s="111" t="str">
        <f ca="1">I10</f>
        <v>OFe</v>
      </c>
      <c r="J24" s="111" t="str">
        <f ca="1">J10</f>
        <v>Consensus</v>
      </c>
      <c r="K24" s="111" t="str">
        <f ca="1">K10</f>
        <v>4Q25a</v>
      </c>
      <c r="L24" s="111" t="str">
        <f ca="1">L10</f>
        <v>2Q26a</v>
      </c>
      <c r="M24" s="897" t="str">
        <f ca="1">M10</f>
        <v>v. OFe</v>
      </c>
      <c r="N24" s="111" t="str">
        <f ca="1">N10</f>
        <v>v. Consensus</v>
      </c>
      <c r="O24" s="111" t="str">
        <f ca="1">O10</f>
        <v>v. 4Q25a</v>
      </c>
      <c r="P24" s="111" t="str">
        <f ca="1">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8">
        <f ca="1">INDEX(Data,MATCH($C26,Line_Items,0),MATCH($H$6,Fiscal_Periods,0))</f>
      </c>
      <c r="J26" s="899">
        <v>6520.1</v>
      </c>
      <c r="K26" s="898">
        <f ca="1">INDEX(Data,MATCH($C26,Line_Items,0),MATCH(LEFT(K$24,4),Fiscal_Periods,0))</f>
      </c>
      <c r="L26" s="898">
        <f ca="1">INDEX(Data,MATCH($C26,Line_Items,0),MATCH(LEFT(L$24,4),Fiscal_Periods,0))</f>
      </c>
      <c r="M26" s="900" t="str">
        <f t="shared" ref="M26:N26" si="15" ca="1">IFERROR($H26/I26-1,"N/A")</f>
        <v>N/A</v>
      </c>
      <c r="N26" s="595" t="str">
        <f ca="1">IFERROR($H26/J26-1,"N/A")</f>
        <v>N/A</v>
      </c>
      <c r="O26" s="595" t="str">
        <f t="shared" ref="O26:P26" si="16" ca="1">IFERROR($I26/K26-1,"N/A")</f>
        <v>N/A</v>
      </c>
      <c r="P26" s="595" t="str">
        <f ca="1">IFERROR($I26/L26-1,"N/A")</f>
        <v>N/A</v>
      </c>
      <c r="Q26" s="16"/>
      <c r="R26" s="16"/>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1">
        <f ca="1">INDEX(Data,MATCH($C27,Line_Items,0),MATCH($H$6,Fiscal_Periods,0))</f>
      </c>
      <c r="J27" s="902">
        <v>11000.3</v>
      </c>
      <c r="K27" s="901">
        <f ca="1">INDEX(Data,MATCH($C27,Line_Items,0),MATCH(LEFT(K$24,4),Fiscal_Periods,0))</f>
      </c>
      <c r="L27" s="901">
        <f ca="1">INDEX(Data,MATCH($C27,Line_Items,0),MATCH(LEFT(L$24,4),Fiscal_Periods,0))</f>
      </c>
      <c r="M27" s="900" t="str">
        <f t="shared" ref="M27:N27" si="17" ca="1">IFERROR($H27/I27-1,"N/A")</f>
        <v>N/A</v>
      </c>
      <c r="N27" s="595" t="str">
        <f ca="1">IFERROR($H27/J27-1,"N/A")</f>
        <v>N/A</v>
      </c>
      <c r="O27" s="595" t="str">
        <f t="shared" ref="O27:P27" si="18" ca="1">IFERROR($I27/K27-1,"N/A")</f>
        <v>N/A</v>
      </c>
      <c r="P27" s="595" t="str">
        <f ca="1">IFERROR($I27/L27-1,"N/A")</f>
        <v>N/A</v>
      </c>
      <c r="Q27" s="16"/>
      <c r="R27" s="16"/>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1">
        <f ca="1">INDEX(Data,MATCH($C28,Line_Items,0),MATCH($H$6,Fiscal_Periods,0))</f>
      </c>
      <c r="J28" s="902">
        <v>75</v>
      </c>
      <c r="K28" s="901">
        <f ca="1">INDEX(Data,MATCH($C28,Line_Items,0),MATCH(LEFT(K$24,4),Fiscal_Periods,0))</f>
      </c>
      <c r="L28" s="901">
        <f ca="1">INDEX(Data,MATCH($C28,Line_Items,0),MATCH(LEFT(L$24,4),Fiscal_Periods,0))</f>
      </c>
      <c r="M28" s="900" t="str">
        <f t="shared" ref="M28:N28" si="19" ca="1">IFERROR($H28/I28-1,"N/A")</f>
        <v>N/A</v>
      </c>
      <c r="N28" s="595" t="str">
        <f ca="1">IFERROR($H28/J28-1,"N/A")</f>
        <v>N/A</v>
      </c>
      <c r="O28" s="595" t="str">
        <f t="shared" ref="O28:P28" si="20" ca="1">IFERROR($I28/K28-1,"N/A")</f>
        <v>N/A</v>
      </c>
      <c r="P28" s="595" t="str">
        <f ca="1">IFERROR($I28/L28-1,"N/A")</f>
        <v>N/A</v>
      </c>
      <c r="Q28" s="16"/>
      <c r="R28" s="16"/>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1">
        <f ca="1">INDEX(Data,MATCH($C29,Line_Items,0),MATCH($H$6,Fiscal_Periods,0))</f>
      </c>
      <c r="J29" s="902">
        <v>-200</v>
      </c>
      <c r="K29" s="901">
        <f ca="1">INDEX(Data,MATCH($C29,Line_Items,0),MATCH(LEFT(K$24,4),Fiscal_Periods,0))</f>
      </c>
      <c r="L29" s="901">
        <f ca="1">INDEX(Data,MATCH($C29,Line_Items,0),MATCH(LEFT(L$24,4),Fiscal_Periods,0))</f>
      </c>
      <c r="M29" s="900" t="str">
        <f t="shared" ref="M29:N29" si="21" ca="1">IFERROR($H29/I29-1,"N/A")</f>
        <v>N/A</v>
      </c>
      <c r="N29" s="595" t="str">
        <f ca="1">IFERROR($H29/J29-1,"N/A")</f>
        <v>N/A</v>
      </c>
      <c r="O29" s="595" t="str">
        <f t="shared" ref="O29:P29" si="22" ca="1">IFERROR($I29/K29-1,"N/A")</f>
        <v>N/A</v>
      </c>
      <c r="P29" s="595" t="str">
        <f ca="1">IFERROR($I29/L29-1,"N/A")</f>
        <v>N/A</v>
      </c>
      <c r="Q29" s="16"/>
      <c r="R29" s="16"/>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0">
        <f ca="1">INDEX(Data,MATCH($C30,Line_Items,0),MATCH($H$6,Fiscal_Periods,0))</f>
      </c>
      <c r="J30" s="911">
        <v>5000</v>
      </c>
      <c r="K30" s="910">
        <f ca="1">INDEX(Data,MATCH($C30,Line_Items,0),MATCH(LEFT(K$24,4),Fiscal_Periods,0))</f>
      </c>
      <c r="L30" s="910">
        <f ca="1">INDEX(Data,MATCH($C30,Line_Items,0),MATCH(LEFT(L$24,4),Fiscal_Periods,0))</f>
      </c>
      <c r="M30" s="912" t="str">
        <f t="shared" ref="M30:N30" si="23" ca="1">IFERROR($H30/I30-1,"N/A")</f>
        <v>N/A</v>
      </c>
      <c r="N30" s="591" t="str">
        <f ca="1">IFERROR($H30/J30-1,"N/A")</f>
        <v>N/A</v>
      </c>
      <c r="O30" s="591" t="str">
        <f t="shared" ref="O30:P30" si="24" ca="1">IFERROR($I30/K30-1,"N/A")</f>
        <v>N/A</v>
      </c>
      <c r="P30" s="591" t="str">
        <f ca="1">IFERROR($I30/L30-1,"N/A")</f>
        <v>N/A</v>
      </c>
      <c r="Q30" s="16"/>
      <c r="R30" s="16"/>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3">
        <f ca="1">INDEX(Data,MATCH($C31,Line_Items,0),MATCH($H$6,Fiscal_Periods,0))</f>
      </c>
      <c r="J31" s="914">
        <f ca="1">INDEX(Data,MATCH($C31,Line_Items,0),MATCH($H$6,Fiscal_Periods,0))</f>
      </c>
      <c r="K31" s="913">
        <f ca="1">INDEX(Data,MATCH($C31,Line_Items,0),MATCH(LEFT(K$24,4),Fiscal_Periods,0))</f>
      </c>
      <c r="L31" s="913">
        <f ca="1">INDEX(Data,MATCH($C31,Line_Items,0),MATCH(LEFT(L$24,4),Fiscal_Periods,0))</f>
      </c>
      <c r="M31" s="916" t="str">
        <f t="shared" ref="M31:N31" si="25" ca="1">IFERROR($H31/I31-1,"N/A")</f>
        <v>N/A</v>
      </c>
      <c r="N31" s="917" t="str">
        <f ca="1">IFERROR($H31/J31-1,"N/A")</f>
        <v>N/A</v>
      </c>
      <c r="O31" s="917" t="str">
        <f t="shared" ref="O31:P31" si="26" ca="1">IFERROR($I31/K31-1,"N/A")</f>
        <v>N/A</v>
      </c>
      <c r="P31" s="917" t="str">
        <f ca="1">IFERROR($I31/L31-1,"N/A")</f>
        <v>N/A</v>
      </c>
      <c r="Q31" s="16"/>
      <c r="R31" s="16"/>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8">
        <f ca="1">INDEX(Data,MATCH($C32,Line_Items,0),MATCH($H$6,Fiscal_Periods,0))</f>
      </c>
      <c r="J32" s="899">
        <v>820</v>
      </c>
      <c r="K32" s="898">
        <f ca="1">INDEX(Data,MATCH($C32,Line_Items,0),MATCH(LEFT(K$24,4),Fiscal_Periods,0))</f>
      </c>
      <c r="L32" s="898">
        <f ca="1">INDEX(Data,MATCH($C32,Line_Items,0),MATCH(LEFT(L$24,4),Fiscal_Periods,0))</f>
      </c>
      <c r="M32" s="900" t="str">
        <f t="shared" ref="M32:N32" si="27" ca="1">IFERROR($H32/I32-1,"N/A")</f>
        <v>N/A</v>
      </c>
      <c r="N32" s="595" t="str">
        <f ca="1">IFERROR($H32/J32-1,"N/A")</f>
        <v>N/A</v>
      </c>
      <c r="O32" s="595" t="str">
        <f t="shared" ref="O32:P32" si="28" ca="1">IFERROR($I32/K32-1,"N/A")</f>
        <v>N/A</v>
      </c>
      <c r="P32" s="595" t="str">
        <f ca="1">IFERROR($I32/L32-1,"N/A")</f>
        <v>N/A</v>
      </c>
      <c r="Q32" s="16"/>
      <c r="R32" s="16"/>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1">
        <f ca="1">INDEX(Data,MATCH($C33,Line_Items,0),MATCH($H$6,Fiscal_Periods,0))</f>
      </c>
      <c r="J33" s="902">
        <v>1400</v>
      </c>
      <c r="K33" s="901">
        <f ca="1">INDEX(Data,MATCH($C33,Line_Items,0),MATCH(LEFT(K$24,4),Fiscal_Periods,0))</f>
      </c>
      <c r="L33" s="901">
        <f ca="1">INDEX(Data,MATCH($C33,Line_Items,0),MATCH(LEFT(L$24,4),Fiscal_Periods,0))</f>
      </c>
      <c r="M33" s="900" t="str">
        <f t="shared" ref="M33:N33" si="29" ca="1">IFERROR($H33/I33-1,"N/A")</f>
        <v>N/A</v>
      </c>
      <c r="N33" s="595" t="str">
        <f ca="1">IFERROR($H33/J33-1,"N/A")</f>
        <v>N/A</v>
      </c>
      <c r="O33" s="595" t="str">
        <f t="shared" ref="O33:P33" si="30" ca="1">IFERROR($I33/K33-1,"N/A")</f>
        <v>N/A</v>
      </c>
      <c r="P33" s="595" t="str">
        <f ca="1">IFERROR($I33/L33-1,"N/A")</f>
        <v>N/A</v>
      </c>
      <c r="Q33" s="16"/>
      <c r="R33" s="16"/>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1">
        <f ca="1">INDEX(Data,MATCH($C34,Line_Items,0),MATCH($H$6,Fiscal_Periods,0))</f>
      </c>
      <c r="J34" s="902">
        <v>10</v>
      </c>
      <c r="K34" s="901">
        <f ca="1">INDEX(Data,MATCH($C34,Line_Items,0),MATCH(LEFT(K$24,4),Fiscal_Periods,0))</f>
      </c>
      <c r="L34" s="901">
        <f ca="1">INDEX(Data,MATCH($C34,Line_Items,0),MATCH(LEFT(L$24,4),Fiscal_Periods,0))</f>
      </c>
      <c r="M34" s="900" t="str">
        <f t="shared" ref="M34:N34" si="31" ca="1">IFERROR($H34/I34-1,"N/A")</f>
        <v>N/A</v>
      </c>
      <c r="N34" s="595" t="str">
        <f ca="1">IFERROR($H34/J34-1,"N/A")</f>
        <v>N/A</v>
      </c>
      <c r="O34" s="595" t="str">
        <f t="shared" ref="O34:P34" si="32" ca="1">IFERROR($I34/K34-1,"N/A")</f>
        <v>N/A</v>
      </c>
      <c r="P34" s="595" t="str">
        <f ca="1">IFERROR($I34/L34-1,"N/A")</f>
        <v>N/A</v>
      </c>
      <c r="Q34" s="16"/>
      <c r="R34" s="16"/>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1">
        <f ca="1">INDEX(Data,MATCH($C35,Line_Items,0),MATCH($H$6,Fiscal_Periods,0))</f>
      </c>
      <c r="J35" s="902">
        <v>-23</v>
      </c>
      <c r="K35" s="901">
        <f ca="1">INDEX(Data,MATCH($C35,Line_Items,0),MATCH(LEFT(K$24,4),Fiscal_Periods,0))</f>
      </c>
      <c r="L35" s="901">
        <f ca="1">INDEX(Data,MATCH($C35,Line_Items,0),MATCH(LEFT(L$24,4),Fiscal_Periods,0))</f>
      </c>
      <c r="M35" s="900" t="str">
        <f t="shared" ref="M35:N35" si="33" ca="1">IFERROR($H35/I35-1,"N/A")</f>
        <v>N/A</v>
      </c>
      <c r="N35" s="595" t="str">
        <f ca="1">IFERROR($H35/J35-1,"N/A")</f>
        <v>N/A</v>
      </c>
      <c r="O35" s="595" t="str">
        <f t="shared" ref="O35:P35" si="34" ca="1">IFERROR($I35/K35-1,"N/A")</f>
        <v>N/A</v>
      </c>
      <c r="P35" s="595" t="str">
        <f ca="1">IFERROR($I35/L35-1,"N/A")</f>
        <v>N/A</v>
      </c>
      <c r="Q35" s="16"/>
      <c r="R35" s="16"/>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1">
        <f ca="1">INDEX(Data,MATCH($C36,Line_Items,0),MATCH($H$6,Fiscal_Periods,0))</f>
      </c>
      <c r="J36" s="902">
        <v>650</v>
      </c>
      <c r="K36" s="901">
        <f ca="1">INDEX(Data,MATCH($C36,Line_Items,0),MATCH(LEFT(K$24,4),Fiscal_Periods,0))</f>
      </c>
      <c r="L36" s="901">
        <f ca="1">INDEX(Data,MATCH($C36,Line_Items,0),MATCH(LEFT(L$24,4),Fiscal_Periods,0))</f>
      </c>
      <c r="M36" s="900" t="str">
        <f t="shared" ref="M36:N36" si="35" ca="1">IFERROR($H36/I36-1,"N/A")</f>
        <v>N/A</v>
      </c>
      <c r="N36" s="595" t="str">
        <f ca="1">IFERROR($H36/J36-1,"N/A")</f>
        <v>N/A</v>
      </c>
      <c r="O36" s="595" t="str">
        <f t="shared" ref="O36:P36" si="36" ca="1">IFERROR($I36/K36-1,"N/A")</f>
        <v>N/A</v>
      </c>
      <c r="P36" s="595" t="str">
        <f ca="1">IFERROR($I36/L36-1,"N/A")</f>
        <v>N/A</v>
      </c>
      <c r="Q36" s="16"/>
      <c r="R36" s="16"/>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1">
        <f ca="1">INDEX(Data,MATCH($C37,Line_Items,0),MATCH($H$6,Fiscal_Periods,0))</f>
      </c>
      <c r="J37" s="902">
        <v>300</v>
      </c>
      <c r="K37" s="901">
        <f ca="1">INDEX(Data,MATCH($C37,Line_Items,0),MATCH(LEFT(K$24,4),Fiscal_Periods,0))</f>
      </c>
      <c r="L37" s="901">
        <f ca="1">INDEX(Data,MATCH($C37,Line_Items,0),MATCH(LEFT(L$24,4),Fiscal_Periods,0))</f>
      </c>
      <c r="M37" s="900" t="str">
        <f t="shared" ref="M37:N37" si="37" ca="1">IFERROR($H37/I37-1,"N/A")</f>
        <v>N/A</v>
      </c>
      <c r="N37" s="595" t="str">
        <f ca="1">IFERROR($H37/J37-1,"N/A")</f>
        <v>N/A</v>
      </c>
      <c r="O37" s="595" t="str">
        <f t="shared" ref="O37:P37" si="38" ca="1">IFERROR($I37/K37-1,"N/A")</f>
        <v>N/A</v>
      </c>
      <c r="P37" s="595" t="str">
        <f ca="1">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 ca="1">Ticker&amp;" "&amp;H4&amp;RIGHT(H5,2)&amp;" Cash Flow Results"</f>
        <v>LOW 4Q26 Cash Flow Results</v>
      </c>
      <c r="D40" s="110"/>
      <c r="E40" s="110"/>
      <c r="F40" s="110"/>
      <c r="G40" s="110"/>
      <c r="H40" s="111" t="str">
        <f t="shared" ref="H40:P40" si="39" ca="1">H10</f>
        <v>4Q26a</v>
      </c>
      <c r="I40" s="111" t="str">
        <f ca="1">I10</f>
        <v>OFe</v>
      </c>
      <c r="J40" s="111" t="str">
        <f ca="1">J10</f>
        <v>Consensus</v>
      </c>
      <c r="K40" s="111" t="str">
        <f ca="1">K10</f>
        <v>4Q25a</v>
      </c>
      <c r="L40" s="111" t="str">
        <f ca="1">L10</f>
        <v>2Q26a</v>
      </c>
      <c r="M40" s="897" t="str">
        <f ca="1">M10</f>
        <v>v. OFe</v>
      </c>
      <c r="N40" s="111" t="str">
        <f ca="1">N10</f>
        <v>v. Consensus</v>
      </c>
      <c r="O40" s="111" t="str">
        <f ca="1">O10</f>
        <v>v. 4Q25a</v>
      </c>
      <c r="P40" s="111" t="str">
        <f ca="1">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8">
        <f ca="1">INDEX(Data,MATCH($C42,Line_Items,0),MATCH($H$6,Fiscal_Periods,0))</f>
      </c>
      <c r="J42" s="899">
        <v>50</v>
      </c>
      <c r="K42" s="898">
        <f t="array" ref="K42" ca="1">INDEX(Data,MATCH($C42,Line_Items,0),MATCH(LEFT(K$40,4),Fiscal_Periods,0))</f>
        <v>0</v>
      </c>
      <c r="L42" s="898">
        <f t="array" ref="L42" ca="1">INDEX(Data,MATCH($C42,Line_Items,0),MATCH(LEFT(L$40,4),Fiscal_Periods,0))</f>
        <v>0</v>
      </c>
      <c r="M42" s="900" t="str">
        <f t="shared" ref="M42:N42" si="40" ca="1">IFERROR($H42/I42-1,"N/A")</f>
        <v>N/A</v>
      </c>
      <c r="N42" s="595" t="str">
        <f ca="1">IFERROR($H42/J42-1,"N/A")</f>
        <v>N/A</v>
      </c>
      <c r="O42" s="595" t="str">
        <f t="shared" ref="O42:P42" si="41" ca="1">IFERROR($I42/K42-1,"N/A")</f>
        <v>N/A</v>
      </c>
      <c r="P42" s="595" t="str">
        <f ca="1">IFERROR($I42/L42-1,"N/A")</f>
        <v>N/A</v>
      </c>
      <c r="Q42" s="16"/>
      <c r="R42" s="16"/>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1">
        <f t="array" ref="I43" ca="1">INDEX(Data,MATCH($C43,Line_Items,0),MATCH($H$6,Fiscal_Periods,0))</f>
        <v>-370.1257</v>
      </c>
      <c r="J43" s="902">
        <v>-668</v>
      </c>
      <c r="K43" s="901">
        <f t="array" ref="K43" ca="1">INDEX(Data,MATCH($C43,Line_Items,0),MATCH(LEFT(K$40,4),Fiscal_Periods,0))</f>
        <v>0</v>
      </c>
      <c r="L43" s="901">
        <f t="array" ref="L43" ca="1">INDEX(Data,MATCH($C43,Line_Items,0),MATCH(LEFT(L$40,4),Fiscal_Periods,0))</f>
        <v>0</v>
      </c>
      <c r="M43" s="900">
        <f t="shared" ref="M43:N43" si="42" ca="1">IFERROR($H43/I43-1,"N/A")</f>
        <v>0</v>
      </c>
      <c r="N43" s="595">
        <f ca="1">IFERROR($H43/J43-1,"N/A")</f>
        <v>-0.4459196107784431</v>
      </c>
      <c r="O43" s="595" t="str">
        <f t="shared" ref="O43:P43" si="43" ca="1">IFERROR($I43/K43-1,"N/A")</f>
        <v>N/A</v>
      </c>
      <c r="P43" s="595" t="str">
        <f ca="1">IFERROR($I43/L43-1,"N/A")</f>
        <v>N/A</v>
      </c>
      <c r="Q43" s="16"/>
      <c r="R43" s="16"/>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1">
        <f ca="1">INDEX(Data,MATCH($C44,Line_Items,0),MATCH($H$6,Fiscal_Periods,0))</f>
      </c>
      <c r="J44" s="902">
        <v>1412.6</v>
      </c>
      <c r="K44" s="901">
        <f t="array" ref="K44" ca="1">INDEX(Data,MATCH($C44,Line_Items,0),MATCH(LEFT(K$40,4),Fiscal_Periods,0))</f>
        <v>-1545</v>
      </c>
      <c r="L44" s="901">
        <f t="array" ref="L44" ca="1">INDEX(Data,MATCH($C44,Line_Items,0),MATCH(LEFT(L$40,4),Fiscal_Periods,0))</f>
        <v>2149</v>
      </c>
      <c r="M44" s="900" t="str">
        <f t="shared" ref="M44:N44" si="44" ca="1">IFERROR($H44/I44-1,"N/A")</f>
        <v>N/A</v>
      </c>
      <c r="N44" s="595" t="str">
        <f ca="1">IFERROR($H44/J44-1,"N/A")</f>
        <v>N/A</v>
      </c>
      <c r="O44" s="595" t="str">
        <f t="shared" ref="O44:P44" si="45" ca="1">IFERROR($I44/K44-1,"N/A")</f>
        <v>N/A</v>
      </c>
      <c r="P44" s="595" t="str">
        <f ca="1">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818"/>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967</v>
      </c>
      <c r="B1" s="918" t="s">
        <v>968</v>
      </c>
      <c r="C1" s="918" t="s">
        <v>969</v>
      </c>
      <c r="D1" s="918" t="s">
        <v>970</v>
      </c>
      <c r="E1" s="918" t="s">
        <v>971</v>
      </c>
      <c r="F1" s="918" t="s">
        <v>972</v>
      </c>
      <c r="G1" s="918" t="s">
        <v>973</v>
      </c>
      <c r="H1" s="918" t="s">
        <v>974</v>
      </c>
      <c r="I1" s="918" t="s">
        <v>975</v>
      </c>
      <c r="J1" s="918" t="s">
        <v>976</v>
      </c>
      <c r="K1" s="918" t="s">
        <v>977</v>
      </c>
      <c r="L1" s="918" t="s">
        <v>978</v>
      </c>
      <c r="M1" s="918" t="s">
        <v>979</v>
      </c>
      <c r="N1" s="918" t="s">
        <v>980</v>
      </c>
      <c r="O1" s="918" t="s">
        <v>981</v>
      </c>
      <c r="P1" s="918" t="s">
        <v>982</v>
      </c>
      <c r="Q1" s="918" t="s">
        <v>983</v>
      </c>
      <c r="R1" s="918" t="s">
        <v>984</v>
      </c>
      <c r="S1" s="918" t="s">
        <v>985</v>
      </c>
      <c r="T1" s="918" t="s">
        <v>986</v>
      </c>
      <c r="U1" s="918" t="s">
        <v>987</v>
      </c>
      <c r="V1" s="918" t="s">
        <v>988</v>
      </c>
      <c r="W1" s="918" t="s">
        <v>989</v>
      </c>
      <c r="X1" s="918" t="s">
        <v>990</v>
      </c>
    </row>
    <row r="2" spans="1:24" x14ac:dyDescent="0.25">
      <c r="A2" t="s">
        <v>42</v>
      </c>
      <c r="B2" t="s">
        <v>991</v>
      </c>
      <c r="C2" t="s">
        <v>375</v>
      </c>
      <c r="E2" t="s">
        <v>992</v>
      </c>
      <c r="F2">
        <v>0</v>
      </c>
      <c r="G2" t="s">
        <v>993</v>
      </c>
      <c r="H2" t="s">
        <v>994</v>
      </c>
      <c r="J2" t="s">
        <v>995</v>
      </c>
      <c r="K2" t="s">
        <v>994</v>
      </c>
      <c r="L2" t="s">
        <v>994</v>
      </c>
      <c r="Q2" t="b">
        <v>1</v>
      </c>
      <c r="R2" t="b">
        <v>0</v>
      </c>
      <c r="T2" t="s">
        <v>994</v>
      </c>
      <c r="U2" t="s">
        <v>996</v>
      </c>
      <c r="V2" t="s">
        <v>997</v>
      </c>
      <c r="W2" t="s">
        <v>998</v>
      </c>
      <c r="X2" t="s">
        <v>994</v>
      </c>
    </row>
    <row r="3" spans="1:24" x14ac:dyDescent="0.25">
      <c r="A3" t="s">
        <v>42</v>
      </c>
      <c r="B3" t="s">
        <v>999</v>
      </c>
      <c r="C3" t="s">
        <v>375</v>
      </c>
      <c r="E3" t="s">
        <v>1000</v>
      </c>
      <c r="F3">
        <v>0</v>
      </c>
      <c r="G3" t="s">
        <v>993</v>
      </c>
      <c r="H3" t="s">
        <v>994</v>
      </c>
      <c r="J3" t="s">
        <v>995</v>
      </c>
      <c r="K3" t="s">
        <v>994</v>
      </c>
      <c r="L3" t="s">
        <v>994</v>
      </c>
      <c r="Q3" t="b">
        <v>1</v>
      </c>
      <c r="R3" t="b">
        <v>0</v>
      </c>
      <c r="T3" t="s">
        <v>994</v>
      </c>
      <c r="U3" t="s">
        <v>996</v>
      </c>
      <c r="V3" t="s">
        <v>997</v>
      </c>
      <c r="W3" t="s">
        <v>998</v>
      </c>
      <c r="X3" t="s">
        <v>994</v>
      </c>
    </row>
    <row r="4" spans="1:24" x14ac:dyDescent="0.25">
      <c r="A4" t="s">
        <v>42</v>
      </c>
      <c r="B4" t="s">
        <v>1001</v>
      </c>
      <c r="C4" t="s">
        <v>375</v>
      </c>
      <c r="E4" t="s">
        <v>1002</v>
      </c>
      <c r="F4">
        <v>0</v>
      </c>
      <c r="G4" t="s">
        <v>993</v>
      </c>
      <c r="H4" t="s">
        <v>994</v>
      </c>
      <c r="J4" t="s">
        <v>995</v>
      </c>
      <c r="K4" t="s">
        <v>994</v>
      </c>
      <c r="L4" t="s">
        <v>994</v>
      </c>
      <c r="Q4" t="b">
        <v>1</v>
      </c>
      <c r="R4" t="b">
        <v>0</v>
      </c>
      <c r="T4" t="s">
        <v>994</v>
      </c>
      <c r="U4" t="s">
        <v>996</v>
      </c>
      <c r="V4" t="s">
        <v>997</v>
      </c>
      <c r="W4" t="s">
        <v>998</v>
      </c>
      <c r="X4" t="s">
        <v>994</v>
      </c>
    </row>
    <row r="5" spans="1:24" x14ac:dyDescent="0.25">
      <c r="A5" t="s">
        <v>42</v>
      </c>
      <c r="B5" t="s">
        <v>1003</v>
      </c>
      <c r="C5" t="s">
        <v>375</v>
      </c>
      <c r="E5" t="s">
        <v>1004</v>
      </c>
      <c r="F5">
        <v>0</v>
      </c>
      <c r="G5" t="s">
        <v>993</v>
      </c>
      <c r="H5" t="s">
        <v>994</v>
      </c>
      <c r="J5" t="s">
        <v>995</v>
      </c>
      <c r="K5" t="s">
        <v>994</v>
      </c>
      <c r="L5" t="s">
        <v>994</v>
      </c>
      <c r="Q5" t="b">
        <v>1</v>
      </c>
      <c r="R5" t="b">
        <v>0</v>
      </c>
      <c r="T5" t="s">
        <v>994</v>
      </c>
      <c r="U5" t="s">
        <v>996</v>
      </c>
      <c r="V5" t="s">
        <v>997</v>
      </c>
      <c r="W5" t="s">
        <v>998</v>
      </c>
      <c r="X5" t="s">
        <v>994</v>
      </c>
    </row>
    <row r="6" spans="1:24" x14ac:dyDescent="0.25">
      <c r="A6" t="s">
        <v>42</v>
      </c>
      <c r="B6" t="s">
        <v>1005</v>
      </c>
      <c r="C6" t="s">
        <v>375</v>
      </c>
      <c r="E6" t="s">
        <v>1006</v>
      </c>
      <c r="F6">
        <v>0</v>
      </c>
      <c r="G6" t="s">
        <v>993</v>
      </c>
      <c r="H6" t="s">
        <v>994</v>
      </c>
      <c r="J6" t="s">
        <v>995</v>
      </c>
      <c r="K6" t="s">
        <v>994</v>
      </c>
      <c r="L6" t="s">
        <v>994</v>
      </c>
      <c r="Q6" t="b">
        <v>1</v>
      </c>
      <c r="R6" t="b">
        <v>0</v>
      </c>
      <c r="T6" t="s">
        <v>994</v>
      </c>
      <c r="U6" t="s">
        <v>996</v>
      </c>
      <c r="V6" t="s">
        <v>997</v>
      </c>
      <c r="W6" t="s">
        <v>998</v>
      </c>
      <c r="X6" t="s">
        <v>994</v>
      </c>
    </row>
    <row r="7" spans="1:24" x14ac:dyDescent="0.25">
      <c r="A7" t="s">
        <v>42</v>
      </c>
      <c r="B7" t="s">
        <v>1007</v>
      </c>
      <c r="C7" t="s">
        <v>375</v>
      </c>
      <c r="E7" t="s">
        <v>1008</v>
      </c>
      <c r="F7">
        <v>0</v>
      </c>
      <c r="G7" t="s">
        <v>993</v>
      </c>
      <c r="H7" t="s">
        <v>994</v>
      </c>
      <c r="J7" t="s">
        <v>995</v>
      </c>
      <c r="K7" t="s">
        <v>994</v>
      </c>
      <c r="L7" t="s">
        <v>994</v>
      </c>
      <c r="Q7" t="b">
        <v>1</v>
      </c>
      <c r="R7" t="b">
        <v>0</v>
      </c>
      <c r="T7" t="s">
        <v>994</v>
      </c>
      <c r="U7" t="s">
        <v>996</v>
      </c>
      <c r="V7" t="s">
        <v>997</v>
      </c>
      <c r="W7" t="s">
        <v>998</v>
      </c>
      <c r="X7" t="s">
        <v>994</v>
      </c>
    </row>
    <row r="8" spans="1:24" x14ac:dyDescent="0.25">
      <c r="A8" t="s">
        <v>42</v>
      </c>
      <c r="B8" t="s">
        <v>1009</v>
      </c>
      <c r="C8" t="s">
        <v>375</v>
      </c>
      <c r="E8" t="s">
        <v>1010</v>
      </c>
      <c r="F8">
        <v>0</v>
      </c>
      <c r="G8" t="s">
        <v>993</v>
      </c>
      <c r="H8" t="s">
        <v>994</v>
      </c>
      <c r="J8" t="s">
        <v>995</v>
      </c>
      <c r="K8" t="s">
        <v>994</v>
      </c>
      <c r="L8" t="s">
        <v>994</v>
      </c>
      <c r="Q8" t="b">
        <v>1</v>
      </c>
      <c r="R8" t="b">
        <v>0</v>
      </c>
      <c r="T8" t="s">
        <v>994</v>
      </c>
      <c r="U8" t="s">
        <v>996</v>
      </c>
      <c r="V8" t="s">
        <v>997</v>
      </c>
      <c r="W8" t="s">
        <v>998</v>
      </c>
      <c r="X8" t="s">
        <v>994</v>
      </c>
    </row>
    <row r="9" spans="1:24" x14ac:dyDescent="0.25">
      <c r="A9" t="s">
        <v>42</v>
      </c>
      <c r="B9" t="s">
        <v>1011</v>
      </c>
      <c r="C9" t="s">
        <v>375</v>
      </c>
      <c r="E9" t="s">
        <v>1012</v>
      </c>
      <c r="F9">
        <v>0</v>
      </c>
      <c r="G9" t="s">
        <v>993</v>
      </c>
      <c r="H9" t="s">
        <v>994</v>
      </c>
      <c r="J9" t="s">
        <v>995</v>
      </c>
      <c r="K9" t="s">
        <v>994</v>
      </c>
      <c r="L9" t="s">
        <v>994</v>
      </c>
      <c r="Q9" t="b">
        <v>1</v>
      </c>
      <c r="R9" t="b">
        <v>0</v>
      </c>
      <c r="T9" t="s">
        <v>994</v>
      </c>
      <c r="U9" t="s">
        <v>996</v>
      </c>
      <c r="V9" t="s">
        <v>997</v>
      </c>
      <c r="W9" t="s">
        <v>998</v>
      </c>
      <c r="X9" t="s">
        <v>994</v>
      </c>
    </row>
    <row r="10" spans="1:24" x14ac:dyDescent="0.25">
      <c r="A10" t="s">
        <v>42</v>
      </c>
      <c r="B10" t="s">
        <v>1013</v>
      </c>
      <c r="C10" t="s">
        <v>375</v>
      </c>
      <c r="E10" t="s">
        <v>1014</v>
      </c>
      <c r="F10">
        <v>0</v>
      </c>
      <c r="G10" t="s">
        <v>993</v>
      </c>
      <c r="H10" t="s">
        <v>994</v>
      </c>
      <c r="J10" t="s">
        <v>995</v>
      </c>
      <c r="K10" t="s">
        <v>994</v>
      </c>
      <c r="L10" t="s">
        <v>994</v>
      </c>
      <c r="Q10" t="b">
        <v>1</v>
      </c>
      <c r="R10" t="b">
        <v>0</v>
      </c>
      <c r="T10" t="s">
        <v>994</v>
      </c>
      <c r="U10" t="s">
        <v>996</v>
      </c>
      <c r="V10" t="s">
        <v>997</v>
      </c>
      <c r="W10" t="s">
        <v>998</v>
      </c>
      <c r="X10" t="s">
        <v>994</v>
      </c>
    </row>
    <row r="11" spans="1:24" x14ac:dyDescent="0.25">
      <c r="A11" t="s">
        <v>42</v>
      </c>
      <c r="B11" t="s">
        <v>1015</v>
      </c>
      <c r="C11" t="s">
        <v>375</v>
      </c>
      <c r="E11" t="s">
        <v>1016</v>
      </c>
      <c r="F11">
        <v>0</v>
      </c>
      <c r="G11" t="s">
        <v>993</v>
      </c>
      <c r="H11" t="s">
        <v>994</v>
      </c>
      <c r="J11" t="s">
        <v>995</v>
      </c>
      <c r="K11" t="s">
        <v>994</v>
      </c>
      <c r="L11" t="s">
        <v>994</v>
      </c>
      <c r="Q11" t="b">
        <v>1</v>
      </c>
      <c r="R11" t="b">
        <v>0</v>
      </c>
      <c r="T11" t="s">
        <v>994</v>
      </c>
      <c r="U11" t="s">
        <v>996</v>
      </c>
      <c r="V11" t="s">
        <v>997</v>
      </c>
      <c r="W11" t="s">
        <v>998</v>
      </c>
      <c r="X11" t="s">
        <v>994</v>
      </c>
    </row>
    <row r="12" spans="1:24" x14ac:dyDescent="0.25">
      <c r="A12" t="s">
        <v>42</v>
      </c>
      <c r="B12" t="s">
        <v>1017</v>
      </c>
      <c r="C12" t="s">
        <v>375</v>
      </c>
      <c r="E12" t="s">
        <v>1018</v>
      </c>
      <c r="F12">
        <v>0</v>
      </c>
      <c r="G12" t="s">
        <v>993</v>
      </c>
      <c r="H12" t="s">
        <v>994</v>
      </c>
      <c r="J12" t="s">
        <v>995</v>
      </c>
      <c r="K12" t="s">
        <v>994</v>
      </c>
      <c r="L12" t="s">
        <v>994</v>
      </c>
      <c r="Q12" t="b">
        <v>1</v>
      </c>
      <c r="R12" t="b">
        <v>0</v>
      </c>
      <c r="T12" t="s">
        <v>994</v>
      </c>
      <c r="U12" t="s">
        <v>996</v>
      </c>
      <c r="V12" t="s">
        <v>997</v>
      </c>
      <c r="W12" t="s">
        <v>998</v>
      </c>
      <c r="X12" t="s">
        <v>994</v>
      </c>
    </row>
    <row r="13" spans="1:24" x14ac:dyDescent="0.25">
      <c r="A13" t="s">
        <v>42</v>
      </c>
      <c r="B13" t="s">
        <v>1019</v>
      </c>
      <c r="C13" t="s">
        <v>375</v>
      </c>
      <c r="E13" t="s">
        <v>1020</v>
      </c>
      <c r="F13">
        <v>0</v>
      </c>
      <c r="G13" t="s">
        <v>993</v>
      </c>
      <c r="H13" t="s">
        <v>994</v>
      </c>
      <c r="J13" t="s">
        <v>995</v>
      </c>
      <c r="K13" t="s">
        <v>994</v>
      </c>
      <c r="L13" t="s">
        <v>994</v>
      </c>
      <c r="Q13" t="b">
        <v>1</v>
      </c>
      <c r="R13" t="b">
        <v>0</v>
      </c>
      <c r="T13" t="s">
        <v>994</v>
      </c>
      <c r="U13" t="s">
        <v>996</v>
      </c>
      <c r="V13" t="s">
        <v>997</v>
      </c>
      <c r="W13" t="s">
        <v>998</v>
      </c>
      <c r="X13" t="s">
        <v>994</v>
      </c>
    </row>
    <row r="14" spans="1:24" x14ac:dyDescent="0.25">
      <c r="A14" t="s">
        <v>42</v>
      </c>
      <c r="B14" t="s">
        <v>1021</v>
      </c>
      <c r="C14" t="s">
        <v>375</v>
      </c>
      <c r="E14" t="s">
        <v>1022</v>
      </c>
      <c r="F14">
        <v>0</v>
      </c>
      <c r="G14" t="s">
        <v>993</v>
      </c>
      <c r="H14" t="s">
        <v>994</v>
      </c>
      <c r="J14" t="s">
        <v>995</v>
      </c>
      <c r="K14" t="s">
        <v>994</v>
      </c>
      <c r="L14" t="s">
        <v>994</v>
      </c>
      <c r="Q14" t="b">
        <v>1</v>
      </c>
      <c r="R14" t="b">
        <v>0</v>
      </c>
      <c r="T14" t="s">
        <v>994</v>
      </c>
      <c r="U14" t="s">
        <v>996</v>
      </c>
      <c r="V14" t="s">
        <v>997</v>
      </c>
      <c r="W14" t="s">
        <v>998</v>
      </c>
      <c r="X14" t="s">
        <v>994</v>
      </c>
    </row>
    <row r="15" spans="1:24" x14ac:dyDescent="0.25">
      <c r="A15" t="s">
        <v>42</v>
      </c>
      <c r="B15" t="s">
        <v>1023</v>
      </c>
      <c r="C15" t="s">
        <v>269</v>
      </c>
      <c r="D15" t="s">
        <v>427</v>
      </c>
      <c r="E15" t="s">
        <v>992</v>
      </c>
      <c r="F15">
        <v>-30612</v>
      </c>
      <c r="G15" t="s">
        <v>1024</v>
      </c>
      <c r="H15" t="s">
        <v>1025</v>
      </c>
      <c r="I15" t="s">
        <v>1026</v>
      </c>
      <c r="J15" t="s">
        <v>995</v>
      </c>
      <c r="K15" t="s">
        <v>1027</v>
      </c>
      <c r="L15" t="s">
        <v>1028</v>
      </c>
      <c r="M15" t="s">
        <v>1029</v>
      </c>
      <c r="N15" t="s">
        <v>1030</v>
      </c>
      <c r="O15" t="s">
        <v>1031</v>
      </c>
      <c r="P15" t="s">
        <v>1032</v>
      </c>
      <c r="Q15" t="b">
        <v>1</v>
      </c>
      <c r="R15" t="b">
        <v>0</v>
      </c>
      <c r="S15" t="s">
        <v>1033</v>
      </c>
      <c r="T15" t="s">
        <v>994</v>
      </c>
      <c r="U15" t="s">
        <v>1034</v>
      </c>
      <c r="V15" t="s">
        <v>997</v>
      </c>
      <c r="W15" t="s">
        <v>1035</v>
      </c>
      <c r="X15" t="s">
        <v>1036</v>
      </c>
    </row>
    <row r="16" spans="1:24" x14ac:dyDescent="0.25">
      <c r="A16" t="s">
        <v>42</v>
      </c>
      <c r="B16" t="s">
        <v>1037</v>
      </c>
      <c r="C16" t="s">
        <v>269</v>
      </c>
      <c r="D16" t="s">
        <v>427</v>
      </c>
      <c r="E16" t="s">
        <v>1000</v>
      </c>
      <c r="F16">
        <v>-31916</v>
      </c>
      <c r="G16" t="s">
        <v>1024</v>
      </c>
      <c r="H16" t="s">
        <v>1038</v>
      </c>
      <c r="I16" t="s">
        <v>1026</v>
      </c>
      <c r="J16" t="s">
        <v>995</v>
      </c>
      <c r="K16" t="s">
        <v>1039</v>
      </c>
      <c r="L16" t="s">
        <v>1040</v>
      </c>
      <c r="M16" t="s">
        <v>1029</v>
      </c>
      <c r="N16" t="s">
        <v>1041</v>
      </c>
      <c r="O16" t="s">
        <v>1042</v>
      </c>
      <c r="P16" t="s">
        <v>1043</v>
      </c>
      <c r="Q16" t="b">
        <v>1</v>
      </c>
      <c r="R16" t="b">
        <v>0</v>
      </c>
      <c r="S16" t="s">
        <v>1033</v>
      </c>
      <c r="T16" t="s">
        <v>994</v>
      </c>
      <c r="U16" t="s">
        <v>1034</v>
      </c>
      <c r="V16" t="s">
        <v>997</v>
      </c>
      <c r="W16" t="s">
        <v>1035</v>
      </c>
      <c r="X16" t="s">
        <v>1036</v>
      </c>
    </row>
    <row r="17" spans="1:24" x14ac:dyDescent="0.25">
      <c r="A17" t="s">
        <v>42</v>
      </c>
      <c r="B17" t="s">
        <v>1044</v>
      </c>
      <c r="C17" t="s">
        <v>269</v>
      </c>
      <c r="D17" t="s">
        <v>427</v>
      </c>
      <c r="E17" t="s">
        <v>1002</v>
      </c>
      <c r="F17">
        <v>-33229</v>
      </c>
      <c r="G17" t="s">
        <v>1024</v>
      </c>
      <c r="H17" t="s">
        <v>1045</v>
      </c>
      <c r="I17" t="s">
        <v>1026</v>
      </c>
      <c r="J17" t="s">
        <v>995</v>
      </c>
      <c r="K17" t="s">
        <v>1046</v>
      </c>
      <c r="L17" t="s">
        <v>1047</v>
      </c>
      <c r="M17" t="s">
        <v>1029</v>
      </c>
      <c r="N17" t="s">
        <v>1048</v>
      </c>
      <c r="O17" t="s">
        <v>1049</v>
      </c>
      <c r="P17" t="s">
        <v>1050</v>
      </c>
      <c r="Q17" t="b">
        <v>1</v>
      </c>
      <c r="R17" t="b">
        <v>0</v>
      </c>
      <c r="S17" t="s">
        <v>1033</v>
      </c>
      <c r="T17" t="s">
        <v>994</v>
      </c>
      <c r="U17" t="s">
        <v>1034</v>
      </c>
      <c r="V17" t="s">
        <v>997</v>
      </c>
      <c r="W17" t="s">
        <v>1035</v>
      </c>
      <c r="X17" t="s">
        <v>1036</v>
      </c>
    </row>
    <row r="18" spans="1:24" x14ac:dyDescent="0.25">
      <c r="A18" t="s">
        <v>42</v>
      </c>
      <c r="B18" t="s">
        <v>1051</v>
      </c>
      <c r="C18" t="s">
        <v>269</v>
      </c>
      <c r="D18" t="s">
        <v>427</v>
      </c>
      <c r="E18" t="s">
        <v>1004</v>
      </c>
      <c r="F18">
        <v>-37575</v>
      </c>
      <c r="G18" t="s">
        <v>1052</v>
      </c>
      <c r="H18" t="s">
        <v>1053</v>
      </c>
      <c r="I18" t="s">
        <v>1054</v>
      </c>
      <c r="J18" t="s">
        <v>995</v>
      </c>
      <c r="K18" t="s">
        <v>1055</v>
      </c>
      <c r="L18" t="s">
        <v>1056</v>
      </c>
      <c r="M18" t="s">
        <v>1057</v>
      </c>
      <c r="N18" t="s">
        <v>1058</v>
      </c>
      <c r="O18" t="s">
        <v>1031</v>
      </c>
      <c r="P18" t="s">
        <v>1059</v>
      </c>
      <c r="Q18" t="b">
        <v>1</v>
      </c>
      <c r="R18" t="b">
        <v>1</v>
      </c>
      <c r="S18" t="s">
        <v>1060</v>
      </c>
      <c r="T18" t="s">
        <v>994</v>
      </c>
      <c r="U18" t="s">
        <v>1061</v>
      </c>
      <c r="V18" t="s">
        <v>1062</v>
      </c>
      <c r="W18" t="s">
        <v>1035</v>
      </c>
      <c r="X18" t="s">
        <v>994</v>
      </c>
    </row>
    <row r="19" spans="1:24" x14ac:dyDescent="0.25">
      <c r="A19" t="s">
        <v>42</v>
      </c>
      <c r="B19" t="s">
        <v>1063</v>
      </c>
      <c r="C19" t="s">
        <v>269</v>
      </c>
      <c r="D19" t="s">
        <v>427</v>
      </c>
      <c r="E19" t="s">
        <v>1006</v>
      </c>
      <c r="F19">
        <v>-33712</v>
      </c>
      <c r="G19" t="s">
        <v>1024</v>
      </c>
      <c r="H19" t="s">
        <v>1064</v>
      </c>
      <c r="I19" t="s">
        <v>1026</v>
      </c>
      <c r="J19" t="s">
        <v>995</v>
      </c>
      <c r="K19" t="s">
        <v>1065</v>
      </c>
      <c r="L19" t="s">
        <v>1066</v>
      </c>
      <c r="M19" t="s">
        <v>1029</v>
      </c>
      <c r="N19" t="s">
        <v>1067</v>
      </c>
      <c r="O19" t="s">
        <v>1068</v>
      </c>
      <c r="P19" t="s">
        <v>1069</v>
      </c>
      <c r="Q19" t="b">
        <v>1</v>
      </c>
      <c r="R19" t="b">
        <v>0</v>
      </c>
      <c r="S19" t="s">
        <v>1033</v>
      </c>
      <c r="T19" t="s">
        <v>994</v>
      </c>
      <c r="U19" t="s">
        <v>1034</v>
      </c>
      <c r="V19" t="s">
        <v>997</v>
      </c>
      <c r="W19" t="s">
        <v>1035</v>
      </c>
      <c r="X19" t="s">
        <v>1036</v>
      </c>
    </row>
    <row r="20" spans="1:24" x14ac:dyDescent="0.25">
      <c r="A20" t="s">
        <v>42</v>
      </c>
      <c r="B20" t="s">
        <v>1070</v>
      </c>
      <c r="C20" t="s">
        <v>269</v>
      </c>
      <c r="D20" t="s">
        <v>427</v>
      </c>
      <c r="E20" t="s">
        <v>1008</v>
      </c>
      <c r="F20">
        <v>-35507</v>
      </c>
      <c r="G20" t="s">
        <v>1024</v>
      </c>
      <c r="H20" t="s">
        <v>1071</v>
      </c>
      <c r="I20" t="s">
        <v>1026</v>
      </c>
      <c r="J20" t="s">
        <v>995</v>
      </c>
      <c r="K20" t="s">
        <v>1072</v>
      </c>
      <c r="L20" t="s">
        <v>1073</v>
      </c>
      <c r="M20" t="s">
        <v>1029</v>
      </c>
      <c r="N20" t="s">
        <v>1074</v>
      </c>
      <c r="O20" t="s">
        <v>1075</v>
      </c>
      <c r="P20" t="s">
        <v>1076</v>
      </c>
      <c r="Q20" t="b">
        <v>1</v>
      </c>
      <c r="R20" t="b">
        <v>0</v>
      </c>
      <c r="S20" t="s">
        <v>1033</v>
      </c>
      <c r="T20" t="s">
        <v>994</v>
      </c>
      <c r="U20" t="s">
        <v>1034</v>
      </c>
      <c r="V20" t="s">
        <v>997</v>
      </c>
      <c r="W20" t="s">
        <v>1035</v>
      </c>
      <c r="X20" t="s">
        <v>1036</v>
      </c>
    </row>
    <row r="21" spans="1:24" x14ac:dyDescent="0.25">
      <c r="A21" t="s">
        <v>42</v>
      </c>
      <c r="B21" t="s">
        <v>1077</v>
      </c>
      <c r="C21" t="s">
        <v>269</v>
      </c>
      <c r="D21" t="s">
        <v>427</v>
      </c>
      <c r="E21" t="s">
        <v>1010</v>
      </c>
      <c r="F21">
        <v>-36474</v>
      </c>
      <c r="G21" t="s">
        <v>1024</v>
      </c>
      <c r="H21" t="s">
        <v>1078</v>
      </c>
      <c r="I21" t="s">
        <v>1026</v>
      </c>
      <c r="J21" t="s">
        <v>995</v>
      </c>
      <c r="K21" t="s">
        <v>1079</v>
      </c>
      <c r="L21" t="s">
        <v>1080</v>
      </c>
      <c r="M21" t="s">
        <v>1029</v>
      </c>
      <c r="N21" t="s">
        <v>1081</v>
      </c>
      <c r="O21" t="s">
        <v>1082</v>
      </c>
      <c r="P21" t="s">
        <v>1083</v>
      </c>
      <c r="Q21" t="b">
        <v>1</v>
      </c>
      <c r="R21" t="b">
        <v>0</v>
      </c>
      <c r="S21" t="s">
        <v>1033</v>
      </c>
      <c r="T21" t="s">
        <v>994</v>
      </c>
      <c r="U21" t="s">
        <v>1034</v>
      </c>
      <c r="V21" t="s">
        <v>997</v>
      </c>
      <c r="W21" t="s">
        <v>1035</v>
      </c>
      <c r="X21" t="s">
        <v>1036</v>
      </c>
    </row>
    <row r="22" spans="1:24" x14ac:dyDescent="0.25">
      <c r="A22" t="s">
        <v>42</v>
      </c>
      <c r="B22" t="s">
        <v>1084</v>
      </c>
      <c r="C22" t="s">
        <v>269</v>
      </c>
      <c r="D22" t="s">
        <v>427</v>
      </c>
      <c r="E22" t="s">
        <v>1012</v>
      </c>
      <c r="F22">
        <v>-40613</v>
      </c>
      <c r="G22" t="s">
        <v>1024</v>
      </c>
      <c r="H22" t="s">
        <v>1085</v>
      </c>
      <c r="I22" t="s">
        <v>1054</v>
      </c>
      <c r="J22" t="s">
        <v>995</v>
      </c>
      <c r="K22" t="s">
        <v>1086</v>
      </c>
      <c r="L22" t="s">
        <v>1087</v>
      </c>
      <c r="M22" t="s">
        <v>1057</v>
      </c>
      <c r="N22" t="s">
        <v>1088</v>
      </c>
      <c r="O22" t="s">
        <v>1068</v>
      </c>
      <c r="P22" t="s">
        <v>1089</v>
      </c>
      <c r="Q22" t="b">
        <v>1</v>
      </c>
      <c r="R22" t="b">
        <v>0</v>
      </c>
      <c r="S22" t="s">
        <v>1033</v>
      </c>
      <c r="T22" t="s">
        <v>994</v>
      </c>
      <c r="U22" t="s">
        <v>1034</v>
      </c>
      <c r="V22" t="s">
        <v>1062</v>
      </c>
      <c r="W22" t="s">
        <v>1035</v>
      </c>
      <c r="X22" t="s">
        <v>994</v>
      </c>
    </row>
    <row r="23" spans="1:24" x14ac:dyDescent="0.25">
      <c r="A23" t="s">
        <v>42</v>
      </c>
      <c r="B23" t="s">
        <v>1090</v>
      </c>
      <c r="C23" t="s">
        <v>269</v>
      </c>
      <c r="D23" t="s">
        <v>427</v>
      </c>
      <c r="E23" t="s">
        <v>1014</v>
      </c>
      <c r="F23">
        <v>-36361</v>
      </c>
      <c r="G23" t="s">
        <v>1052</v>
      </c>
      <c r="H23" t="s">
        <v>1091</v>
      </c>
      <c r="I23" t="s">
        <v>1026</v>
      </c>
      <c r="J23" t="s">
        <v>995</v>
      </c>
      <c r="K23" t="s">
        <v>1092</v>
      </c>
      <c r="L23" t="s">
        <v>1093</v>
      </c>
      <c r="M23" t="s">
        <v>1029</v>
      </c>
      <c r="N23" t="s">
        <v>1094</v>
      </c>
      <c r="O23" t="s">
        <v>1095</v>
      </c>
      <c r="P23" t="s">
        <v>1096</v>
      </c>
      <c r="Q23" t="b">
        <v>1</v>
      </c>
      <c r="R23" t="b">
        <v>0</v>
      </c>
      <c r="S23" t="s">
        <v>1097</v>
      </c>
      <c r="T23" t="s">
        <v>994</v>
      </c>
      <c r="U23" t="s">
        <v>1061</v>
      </c>
      <c r="V23" t="s">
        <v>997</v>
      </c>
      <c r="W23" t="s">
        <v>1035</v>
      </c>
      <c r="X23" t="s">
        <v>1036</v>
      </c>
    </row>
    <row r="24" spans="1:24" x14ac:dyDescent="0.25">
      <c r="A24" t="s">
        <v>42</v>
      </c>
      <c r="B24" t="s">
        <v>1098</v>
      </c>
      <c r="C24" t="s">
        <v>269</v>
      </c>
      <c r="D24" t="s">
        <v>427</v>
      </c>
      <c r="E24" t="s">
        <v>1016</v>
      </c>
      <c r="F24">
        <v>-39039</v>
      </c>
      <c r="G24" t="s">
        <v>1052</v>
      </c>
      <c r="H24" t="s">
        <v>1099</v>
      </c>
      <c r="I24" t="s">
        <v>1026</v>
      </c>
      <c r="J24" t="s">
        <v>995</v>
      </c>
      <c r="K24" t="s">
        <v>1100</v>
      </c>
      <c r="L24" t="s">
        <v>1101</v>
      </c>
      <c r="M24" t="s">
        <v>1029</v>
      </c>
      <c r="N24" t="s">
        <v>1102</v>
      </c>
      <c r="O24" t="s">
        <v>1103</v>
      </c>
      <c r="P24" t="s">
        <v>1104</v>
      </c>
      <c r="Q24" t="b">
        <v>1</v>
      </c>
      <c r="R24" t="b">
        <v>0</v>
      </c>
      <c r="S24" t="s">
        <v>1097</v>
      </c>
      <c r="T24" t="s">
        <v>994</v>
      </c>
      <c r="U24" t="s">
        <v>1061</v>
      </c>
      <c r="V24" t="s">
        <v>997</v>
      </c>
      <c r="W24" t="s">
        <v>1035</v>
      </c>
      <c r="X24" t="s">
        <v>1036</v>
      </c>
    </row>
    <row r="25" spans="1:24" x14ac:dyDescent="0.25">
      <c r="A25" t="s">
        <v>42</v>
      </c>
      <c r="B25" t="s">
        <v>1105</v>
      </c>
      <c r="C25" t="s">
        <v>269</v>
      </c>
      <c r="D25" t="s">
        <v>427</v>
      </c>
      <c r="E25" t="s">
        <v>1018</v>
      </c>
      <c r="F25">
        <v>-41369</v>
      </c>
      <c r="G25" t="s">
        <v>1052</v>
      </c>
      <c r="H25" t="s">
        <v>1106</v>
      </c>
      <c r="I25" t="s">
        <v>1026</v>
      </c>
      <c r="J25" t="s">
        <v>995</v>
      </c>
      <c r="K25" t="s">
        <v>1107</v>
      </c>
      <c r="L25" t="s">
        <v>1108</v>
      </c>
      <c r="M25" t="s">
        <v>1029</v>
      </c>
      <c r="N25" t="s">
        <v>1109</v>
      </c>
      <c r="O25" t="s">
        <v>1110</v>
      </c>
      <c r="P25" t="s">
        <v>1111</v>
      </c>
      <c r="Q25" t="b">
        <v>1</v>
      </c>
      <c r="R25" t="b">
        <v>0</v>
      </c>
      <c r="S25" t="s">
        <v>1097</v>
      </c>
      <c r="T25" t="s">
        <v>994</v>
      </c>
      <c r="U25" t="s">
        <v>1061</v>
      </c>
      <c r="V25" t="s">
        <v>997</v>
      </c>
      <c r="W25" t="s">
        <v>1035</v>
      </c>
      <c r="X25" t="s">
        <v>1036</v>
      </c>
    </row>
    <row r="26" spans="1:24" x14ac:dyDescent="0.25">
      <c r="A26" t="s">
        <v>42</v>
      </c>
      <c r="B26" t="s">
        <v>1112</v>
      </c>
      <c r="C26" t="s">
        <v>269</v>
      </c>
      <c r="D26" t="s">
        <v>427</v>
      </c>
      <c r="E26" t="s">
        <v>1020</v>
      </c>
      <c r="F26">
        <v>-45767</v>
      </c>
      <c r="G26" t="s">
        <v>1024</v>
      </c>
      <c r="H26" t="s">
        <v>1113</v>
      </c>
      <c r="I26" t="s">
        <v>1054</v>
      </c>
      <c r="J26" t="s">
        <v>995</v>
      </c>
      <c r="K26" t="s">
        <v>1114</v>
      </c>
      <c r="L26" t="s">
        <v>1115</v>
      </c>
      <c r="M26" t="s">
        <v>1057</v>
      </c>
      <c r="N26" t="s">
        <v>1116</v>
      </c>
      <c r="O26" t="s">
        <v>1095</v>
      </c>
      <c r="P26" t="s">
        <v>1117</v>
      </c>
      <c r="Q26" t="b">
        <v>1</v>
      </c>
      <c r="R26" t="b">
        <v>0</v>
      </c>
      <c r="S26" t="s">
        <v>1033</v>
      </c>
      <c r="T26" t="s">
        <v>994</v>
      </c>
      <c r="U26" t="s">
        <v>1034</v>
      </c>
      <c r="V26" t="s">
        <v>1062</v>
      </c>
      <c r="W26" t="s">
        <v>1035</v>
      </c>
      <c r="X26" t="s">
        <v>994</v>
      </c>
    </row>
    <row r="27" spans="1:24" x14ac:dyDescent="0.25">
      <c r="A27" t="s">
        <v>42</v>
      </c>
      <c r="B27" t="s">
        <v>1118</v>
      </c>
      <c r="C27" t="s">
        <v>269</v>
      </c>
      <c r="D27" t="s">
        <v>427</v>
      </c>
      <c r="E27" t="s">
        <v>1022</v>
      </c>
      <c r="F27">
        <v>-41271</v>
      </c>
      <c r="G27" t="s">
        <v>1052</v>
      </c>
      <c r="H27" t="s">
        <v>1119</v>
      </c>
      <c r="I27" t="s">
        <v>1026</v>
      </c>
      <c r="J27" t="s">
        <v>995</v>
      </c>
      <c r="K27" t="s">
        <v>1120</v>
      </c>
      <c r="L27" t="s">
        <v>1121</v>
      </c>
      <c r="M27" t="s">
        <v>1029</v>
      </c>
      <c r="N27" t="s">
        <v>1122</v>
      </c>
      <c r="O27" t="s">
        <v>1123</v>
      </c>
      <c r="P27" t="s">
        <v>1124</v>
      </c>
      <c r="Q27" t="b">
        <v>1</v>
      </c>
      <c r="R27" t="b">
        <v>0</v>
      </c>
      <c r="S27" t="s">
        <v>1097</v>
      </c>
      <c r="T27" t="s">
        <v>994</v>
      </c>
      <c r="U27" t="s">
        <v>1061</v>
      </c>
      <c r="V27" t="s">
        <v>997</v>
      </c>
      <c r="W27" t="s">
        <v>1035</v>
      </c>
      <c r="X27" t="s">
        <v>1036</v>
      </c>
    </row>
    <row r="28" spans="1:24" x14ac:dyDescent="0.25">
      <c r="A28" t="s">
        <v>42</v>
      </c>
      <c r="B28" t="s">
        <v>1125</v>
      </c>
      <c r="C28" t="s">
        <v>271</v>
      </c>
      <c r="D28" t="s">
        <v>427</v>
      </c>
      <c r="E28" t="s">
        <v>992</v>
      </c>
      <c r="F28">
        <v>-10292</v>
      </c>
      <c r="G28" t="s">
        <v>1126</v>
      </c>
      <c r="H28" t="s">
        <v>1127</v>
      </c>
      <c r="I28" t="s">
        <v>1128</v>
      </c>
      <c r="J28" t="s">
        <v>995</v>
      </c>
      <c r="K28" t="s">
        <v>1027</v>
      </c>
      <c r="L28" t="s">
        <v>1028</v>
      </c>
      <c r="M28" t="s">
        <v>1029</v>
      </c>
      <c r="N28" t="s">
        <v>1030</v>
      </c>
      <c r="O28" t="s">
        <v>1031</v>
      </c>
      <c r="P28" t="s">
        <v>1032</v>
      </c>
      <c r="Q28" t="b">
        <v>1</v>
      </c>
      <c r="R28" t="b">
        <v>0</v>
      </c>
      <c r="S28" t="s">
        <v>1033</v>
      </c>
      <c r="T28" t="s">
        <v>994</v>
      </c>
      <c r="U28" t="s">
        <v>1034</v>
      </c>
      <c r="V28" t="s">
        <v>1062</v>
      </c>
      <c r="W28" t="s">
        <v>1035</v>
      </c>
      <c r="X28" t="s">
        <v>1129</v>
      </c>
    </row>
    <row r="29" spans="1:24" x14ac:dyDescent="0.25">
      <c r="A29" t="s">
        <v>42</v>
      </c>
      <c r="B29" t="s">
        <v>1130</v>
      </c>
      <c r="C29" t="s">
        <v>271</v>
      </c>
      <c r="D29" t="s">
        <v>427</v>
      </c>
      <c r="E29" t="s">
        <v>1000</v>
      </c>
      <c r="F29">
        <v>-10262</v>
      </c>
      <c r="G29" t="s">
        <v>1126</v>
      </c>
      <c r="H29" t="s">
        <v>1131</v>
      </c>
      <c r="I29" t="s">
        <v>1128</v>
      </c>
      <c r="J29" t="s">
        <v>995</v>
      </c>
      <c r="K29" t="s">
        <v>1039</v>
      </c>
      <c r="L29" t="s">
        <v>1040</v>
      </c>
      <c r="M29" t="s">
        <v>1029</v>
      </c>
      <c r="N29" t="s">
        <v>1041</v>
      </c>
      <c r="O29" t="s">
        <v>1042</v>
      </c>
      <c r="P29" t="s">
        <v>1043</v>
      </c>
      <c r="Q29" t="b">
        <v>1</v>
      </c>
      <c r="R29" t="b">
        <v>0</v>
      </c>
      <c r="S29" t="s">
        <v>1033</v>
      </c>
      <c r="T29" t="s">
        <v>994</v>
      </c>
      <c r="U29" t="s">
        <v>1034</v>
      </c>
      <c r="V29" t="s">
        <v>1062</v>
      </c>
      <c r="W29" t="s">
        <v>1035</v>
      </c>
      <c r="X29" t="s">
        <v>1129</v>
      </c>
    </row>
    <row r="30" spans="1:24" x14ac:dyDescent="0.25">
      <c r="A30" t="s">
        <v>42</v>
      </c>
      <c r="B30" t="s">
        <v>1132</v>
      </c>
      <c r="C30" t="s">
        <v>271</v>
      </c>
      <c r="D30" t="s">
        <v>427</v>
      </c>
      <c r="E30" t="s">
        <v>1002</v>
      </c>
      <c r="F30">
        <v>-10863</v>
      </c>
      <c r="G30" t="s">
        <v>1126</v>
      </c>
      <c r="H30" t="s">
        <v>1133</v>
      </c>
      <c r="I30" t="s">
        <v>1128</v>
      </c>
      <c r="J30" t="s">
        <v>995</v>
      </c>
      <c r="K30" t="s">
        <v>1046</v>
      </c>
      <c r="L30" t="s">
        <v>1047</v>
      </c>
      <c r="M30" t="s">
        <v>1029</v>
      </c>
      <c r="N30" t="s">
        <v>1048</v>
      </c>
      <c r="O30" t="s">
        <v>1049</v>
      </c>
      <c r="P30" t="s">
        <v>1050</v>
      </c>
      <c r="Q30" t="b">
        <v>1</v>
      </c>
      <c r="R30" t="b">
        <v>0</v>
      </c>
      <c r="S30" t="s">
        <v>1033</v>
      </c>
      <c r="T30" t="s">
        <v>994</v>
      </c>
      <c r="U30" t="s">
        <v>1034</v>
      </c>
      <c r="V30" t="s">
        <v>1062</v>
      </c>
      <c r="W30" t="s">
        <v>1035</v>
      </c>
      <c r="X30" t="s">
        <v>1129</v>
      </c>
    </row>
    <row r="31" spans="1:24" x14ac:dyDescent="0.25">
      <c r="A31" t="s">
        <v>42</v>
      </c>
      <c r="B31" t="s">
        <v>1134</v>
      </c>
      <c r="C31" t="s">
        <v>271</v>
      </c>
      <c r="D31" t="s">
        <v>427</v>
      </c>
      <c r="E31" t="s">
        <v>1004</v>
      </c>
      <c r="F31">
        <v>-12925</v>
      </c>
      <c r="G31" t="s">
        <v>1052</v>
      </c>
      <c r="H31" t="s">
        <v>1135</v>
      </c>
      <c r="I31" t="s">
        <v>1136</v>
      </c>
      <c r="J31" t="s">
        <v>995</v>
      </c>
      <c r="K31" t="s">
        <v>1055</v>
      </c>
      <c r="L31" t="s">
        <v>1056</v>
      </c>
      <c r="M31" t="s">
        <v>1057</v>
      </c>
      <c r="N31" t="s">
        <v>1058</v>
      </c>
      <c r="O31" t="s">
        <v>1031</v>
      </c>
      <c r="P31" t="s">
        <v>1059</v>
      </c>
      <c r="Q31" t="b">
        <v>1</v>
      </c>
      <c r="R31" t="b">
        <v>1</v>
      </c>
      <c r="S31" t="s">
        <v>1060</v>
      </c>
      <c r="T31" t="s">
        <v>994</v>
      </c>
      <c r="U31" t="s">
        <v>1061</v>
      </c>
      <c r="V31" t="s">
        <v>1062</v>
      </c>
      <c r="W31" t="s">
        <v>1035</v>
      </c>
      <c r="X31" t="s">
        <v>994</v>
      </c>
    </row>
    <row r="32" spans="1:24" x14ac:dyDescent="0.25">
      <c r="A32" t="s">
        <v>42</v>
      </c>
      <c r="B32" t="s">
        <v>1137</v>
      </c>
      <c r="C32" t="s">
        <v>271</v>
      </c>
      <c r="D32" t="s">
        <v>427</v>
      </c>
      <c r="E32" t="s">
        <v>1006</v>
      </c>
      <c r="F32">
        <v>-9452</v>
      </c>
      <c r="G32" t="s">
        <v>1126</v>
      </c>
      <c r="H32" t="s">
        <v>1138</v>
      </c>
      <c r="I32" t="s">
        <v>1128</v>
      </c>
      <c r="J32" t="s">
        <v>995</v>
      </c>
      <c r="K32" t="s">
        <v>1065</v>
      </c>
      <c r="L32" t="s">
        <v>1066</v>
      </c>
      <c r="M32" t="s">
        <v>1029</v>
      </c>
      <c r="N32" t="s">
        <v>1067</v>
      </c>
      <c r="O32" t="s">
        <v>1068</v>
      </c>
      <c r="P32" t="s">
        <v>1069</v>
      </c>
      <c r="Q32" t="b">
        <v>1</v>
      </c>
      <c r="R32" t="b">
        <v>0</v>
      </c>
      <c r="S32" t="s">
        <v>1033</v>
      </c>
      <c r="T32" t="s">
        <v>994</v>
      </c>
      <c r="U32" t="s">
        <v>1034</v>
      </c>
      <c r="V32" t="s">
        <v>1062</v>
      </c>
      <c r="W32" t="s">
        <v>1035</v>
      </c>
      <c r="X32" t="s">
        <v>1129</v>
      </c>
    </row>
    <row r="33" spans="1:24" x14ac:dyDescent="0.25">
      <c r="A33" t="s">
        <v>42</v>
      </c>
      <c r="B33" t="s">
        <v>1139</v>
      </c>
      <c r="C33" t="s">
        <v>271</v>
      </c>
      <c r="D33" t="s">
        <v>427</v>
      </c>
      <c r="E33" t="s">
        <v>1008</v>
      </c>
      <c r="F33">
        <v>-9950</v>
      </c>
      <c r="G33" t="s">
        <v>1126</v>
      </c>
      <c r="H33" t="s">
        <v>1140</v>
      </c>
      <c r="I33" t="s">
        <v>1128</v>
      </c>
      <c r="J33" t="s">
        <v>995</v>
      </c>
      <c r="K33" t="s">
        <v>1072</v>
      </c>
      <c r="L33" t="s">
        <v>1073</v>
      </c>
      <c r="M33" t="s">
        <v>1029</v>
      </c>
      <c r="N33" t="s">
        <v>1074</v>
      </c>
      <c r="O33" t="s">
        <v>1075</v>
      </c>
      <c r="P33" t="s">
        <v>1076</v>
      </c>
      <c r="Q33" t="b">
        <v>1</v>
      </c>
      <c r="R33" t="b">
        <v>0</v>
      </c>
      <c r="S33" t="s">
        <v>1033</v>
      </c>
      <c r="T33" t="s">
        <v>994</v>
      </c>
      <c r="U33" t="s">
        <v>1034</v>
      </c>
      <c r="V33" t="s">
        <v>1062</v>
      </c>
      <c r="W33" t="s">
        <v>1035</v>
      </c>
      <c r="X33" t="s">
        <v>1129</v>
      </c>
    </row>
    <row r="34" spans="1:24" x14ac:dyDescent="0.25">
      <c r="A34" t="s">
        <v>42</v>
      </c>
      <c r="B34" t="s">
        <v>1141</v>
      </c>
      <c r="C34" t="s">
        <v>271</v>
      </c>
      <c r="D34" t="s">
        <v>427</v>
      </c>
      <c r="E34" t="s">
        <v>1010</v>
      </c>
      <c r="F34">
        <v>-10826</v>
      </c>
      <c r="G34" t="s">
        <v>1126</v>
      </c>
      <c r="H34" t="s">
        <v>1142</v>
      </c>
      <c r="I34" t="s">
        <v>1128</v>
      </c>
      <c r="J34" t="s">
        <v>995</v>
      </c>
      <c r="K34" t="s">
        <v>1079</v>
      </c>
      <c r="L34" t="s">
        <v>1080</v>
      </c>
      <c r="M34" t="s">
        <v>1029</v>
      </c>
      <c r="N34" t="s">
        <v>1081</v>
      </c>
      <c r="O34" t="s">
        <v>1082</v>
      </c>
      <c r="P34" t="s">
        <v>1083</v>
      </c>
      <c r="Q34" t="b">
        <v>1</v>
      </c>
      <c r="R34" t="b">
        <v>0</v>
      </c>
      <c r="S34" t="s">
        <v>1033</v>
      </c>
      <c r="T34" t="s">
        <v>994</v>
      </c>
      <c r="U34" t="s">
        <v>1034</v>
      </c>
      <c r="V34" t="s">
        <v>1062</v>
      </c>
      <c r="W34" t="s">
        <v>1035</v>
      </c>
      <c r="X34" t="s">
        <v>1129</v>
      </c>
    </row>
    <row r="35" spans="1:24" x14ac:dyDescent="0.25">
      <c r="A35" t="s">
        <v>42</v>
      </c>
      <c r="B35" t="s">
        <v>1143</v>
      </c>
      <c r="C35" t="s">
        <v>271</v>
      </c>
      <c r="D35" t="s">
        <v>427</v>
      </c>
      <c r="E35" t="s">
        <v>1012</v>
      </c>
      <c r="F35">
        <v>-11768</v>
      </c>
      <c r="G35" t="s">
        <v>1126</v>
      </c>
      <c r="H35" t="s">
        <v>1144</v>
      </c>
      <c r="I35" t="s">
        <v>1136</v>
      </c>
      <c r="J35" t="s">
        <v>995</v>
      </c>
      <c r="K35" t="s">
        <v>1086</v>
      </c>
      <c r="L35" t="s">
        <v>1087</v>
      </c>
      <c r="M35" t="s">
        <v>1057</v>
      </c>
      <c r="N35" t="s">
        <v>1088</v>
      </c>
      <c r="O35" t="s">
        <v>1068</v>
      </c>
      <c r="P35" t="s">
        <v>1089</v>
      </c>
      <c r="Q35" t="b">
        <v>1</v>
      </c>
      <c r="R35" t="b">
        <v>0</v>
      </c>
      <c r="S35" t="s">
        <v>1033</v>
      </c>
      <c r="T35" t="s">
        <v>994</v>
      </c>
      <c r="U35" t="s">
        <v>1034</v>
      </c>
      <c r="V35" t="s">
        <v>1062</v>
      </c>
      <c r="W35" t="s">
        <v>1035</v>
      </c>
      <c r="X35" t="s">
        <v>994</v>
      </c>
    </row>
    <row r="36" spans="1:24" x14ac:dyDescent="0.25">
      <c r="A36" t="s">
        <v>42</v>
      </c>
      <c r="B36" t="s">
        <v>1145</v>
      </c>
      <c r="C36" t="s">
        <v>271</v>
      </c>
      <c r="D36" t="s">
        <v>427</v>
      </c>
      <c r="E36" t="s">
        <v>1014</v>
      </c>
      <c r="F36">
        <v>-9711</v>
      </c>
      <c r="G36" t="s">
        <v>1052</v>
      </c>
      <c r="H36" t="s">
        <v>1146</v>
      </c>
      <c r="I36" t="s">
        <v>1128</v>
      </c>
      <c r="J36" t="s">
        <v>995</v>
      </c>
      <c r="K36" t="s">
        <v>1092</v>
      </c>
      <c r="L36" t="s">
        <v>1093</v>
      </c>
      <c r="M36" t="s">
        <v>1029</v>
      </c>
      <c r="N36" t="s">
        <v>1094</v>
      </c>
      <c r="O36" t="s">
        <v>1095</v>
      </c>
      <c r="P36" t="s">
        <v>1096</v>
      </c>
      <c r="Q36" t="b">
        <v>1</v>
      </c>
      <c r="R36" t="b">
        <v>0</v>
      </c>
      <c r="S36" t="s">
        <v>1097</v>
      </c>
      <c r="T36" t="s">
        <v>994</v>
      </c>
      <c r="U36" t="s">
        <v>1061</v>
      </c>
      <c r="V36" t="s">
        <v>1062</v>
      </c>
      <c r="W36" t="s">
        <v>1035</v>
      </c>
      <c r="X36" t="s">
        <v>1129</v>
      </c>
    </row>
    <row r="37" spans="1:24" x14ac:dyDescent="0.25">
      <c r="A37" t="s">
        <v>42</v>
      </c>
      <c r="B37" t="s">
        <v>1147</v>
      </c>
      <c r="C37" t="s">
        <v>271</v>
      </c>
      <c r="D37" t="s">
        <v>427</v>
      </c>
      <c r="E37" t="s">
        <v>1016</v>
      </c>
      <c r="F37">
        <v>-12310</v>
      </c>
      <c r="G37" t="s">
        <v>1052</v>
      </c>
      <c r="H37" t="s">
        <v>1148</v>
      </c>
      <c r="I37" t="s">
        <v>1128</v>
      </c>
      <c r="J37" t="s">
        <v>995</v>
      </c>
      <c r="K37" t="s">
        <v>1100</v>
      </c>
      <c r="L37" t="s">
        <v>1101</v>
      </c>
      <c r="M37" t="s">
        <v>1029</v>
      </c>
      <c r="N37" t="s">
        <v>1102</v>
      </c>
      <c r="O37" t="s">
        <v>1103</v>
      </c>
      <c r="P37" t="s">
        <v>1104</v>
      </c>
      <c r="Q37" t="b">
        <v>1</v>
      </c>
      <c r="R37" t="b">
        <v>0</v>
      </c>
      <c r="S37" t="s">
        <v>1097</v>
      </c>
      <c r="T37" t="s">
        <v>994</v>
      </c>
      <c r="U37" t="s">
        <v>1061</v>
      </c>
      <c r="V37" t="s">
        <v>1062</v>
      </c>
      <c r="W37" t="s">
        <v>1035</v>
      </c>
      <c r="X37" t="s">
        <v>1129</v>
      </c>
    </row>
    <row r="38" spans="1:24" x14ac:dyDescent="0.25">
      <c r="A38" t="s">
        <v>42</v>
      </c>
      <c r="B38" t="s">
        <v>1149</v>
      </c>
      <c r="C38" t="s">
        <v>271</v>
      </c>
      <c r="D38" t="s">
        <v>427</v>
      </c>
      <c r="E38" t="s">
        <v>1018</v>
      </c>
      <c r="F38">
        <v>-14598</v>
      </c>
      <c r="G38" t="s">
        <v>1052</v>
      </c>
      <c r="H38" t="s">
        <v>1150</v>
      </c>
      <c r="I38" t="s">
        <v>1128</v>
      </c>
      <c r="J38" t="s">
        <v>995</v>
      </c>
      <c r="K38" t="s">
        <v>1107</v>
      </c>
      <c r="L38" t="s">
        <v>1108</v>
      </c>
      <c r="M38" t="s">
        <v>1029</v>
      </c>
      <c r="N38" t="s">
        <v>1109</v>
      </c>
      <c r="O38" t="s">
        <v>1110</v>
      </c>
      <c r="P38" t="s">
        <v>1111</v>
      </c>
      <c r="Q38" t="b">
        <v>1</v>
      </c>
      <c r="R38" t="b">
        <v>0</v>
      </c>
      <c r="S38" t="s">
        <v>1097</v>
      </c>
      <c r="T38" t="s">
        <v>994</v>
      </c>
      <c r="U38" t="s">
        <v>1061</v>
      </c>
      <c r="V38" t="s">
        <v>1062</v>
      </c>
      <c r="W38" t="s">
        <v>1035</v>
      </c>
      <c r="X38" t="s">
        <v>1129</v>
      </c>
    </row>
    <row r="39" spans="1:24" x14ac:dyDescent="0.25">
      <c r="A39" t="s">
        <v>42</v>
      </c>
      <c r="B39" t="s">
        <v>1151</v>
      </c>
      <c r="C39" t="s">
        <v>271</v>
      </c>
      <c r="D39" t="s">
        <v>427</v>
      </c>
      <c r="E39" t="s">
        <v>1020</v>
      </c>
      <c r="F39">
        <v>-13556</v>
      </c>
      <c r="G39" t="s">
        <v>1126</v>
      </c>
      <c r="H39" t="s">
        <v>1152</v>
      </c>
      <c r="I39" t="s">
        <v>1136</v>
      </c>
      <c r="J39" t="s">
        <v>995</v>
      </c>
      <c r="K39" t="s">
        <v>1114</v>
      </c>
      <c r="L39" t="s">
        <v>1115</v>
      </c>
      <c r="M39" t="s">
        <v>1057</v>
      </c>
      <c r="N39" t="s">
        <v>1116</v>
      </c>
      <c r="O39" t="s">
        <v>1095</v>
      </c>
      <c r="P39" t="s">
        <v>1117</v>
      </c>
      <c r="Q39" t="b">
        <v>1</v>
      </c>
      <c r="R39" t="b">
        <v>0</v>
      </c>
      <c r="S39" t="s">
        <v>1033</v>
      </c>
      <c r="T39" t="s">
        <v>994</v>
      </c>
      <c r="U39" t="s">
        <v>1034</v>
      </c>
      <c r="V39" t="s">
        <v>1062</v>
      </c>
      <c r="W39" t="s">
        <v>1035</v>
      </c>
      <c r="X39" t="s">
        <v>994</v>
      </c>
    </row>
    <row r="40" spans="1:24" x14ac:dyDescent="0.25">
      <c r="A40" t="s">
        <v>42</v>
      </c>
      <c r="B40" t="s">
        <v>1153</v>
      </c>
      <c r="C40" t="s">
        <v>271</v>
      </c>
      <c r="D40" t="s">
        <v>427</v>
      </c>
      <c r="E40" t="s">
        <v>1022</v>
      </c>
      <c r="F40">
        <v>-11897</v>
      </c>
      <c r="G40" t="s">
        <v>1126</v>
      </c>
      <c r="H40" t="s">
        <v>1154</v>
      </c>
      <c r="I40" t="s">
        <v>1128</v>
      </c>
      <c r="J40" t="s">
        <v>995</v>
      </c>
      <c r="K40" t="s">
        <v>1120</v>
      </c>
      <c r="L40" t="s">
        <v>1121</v>
      </c>
      <c r="M40" t="s">
        <v>1029</v>
      </c>
      <c r="N40" t="s">
        <v>1122</v>
      </c>
      <c r="O40" t="s">
        <v>1123</v>
      </c>
      <c r="P40" t="s">
        <v>1124</v>
      </c>
      <c r="Q40" t="b">
        <v>1</v>
      </c>
      <c r="R40" t="b">
        <v>0</v>
      </c>
      <c r="S40" t="s">
        <v>1033</v>
      </c>
      <c r="T40" t="s">
        <v>994</v>
      </c>
      <c r="U40" t="s">
        <v>1034</v>
      </c>
      <c r="V40" t="s">
        <v>1062</v>
      </c>
      <c r="W40" t="s">
        <v>1035</v>
      </c>
      <c r="X40" t="s">
        <v>1129</v>
      </c>
    </row>
    <row r="41" spans="1:24" x14ac:dyDescent="0.25">
      <c r="A41" t="s">
        <v>42</v>
      </c>
      <c r="B41" t="s">
        <v>1155</v>
      </c>
      <c r="C41" t="s">
        <v>272</v>
      </c>
      <c r="D41" t="s">
        <v>427</v>
      </c>
      <c r="E41" t="s">
        <v>992</v>
      </c>
      <c r="F41">
        <v>-11468</v>
      </c>
      <c r="G41" t="s">
        <v>1024</v>
      </c>
      <c r="H41" t="s">
        <v>1156</v>
      </c>
      <c r="I41" t="s">
        <v>1157</v>
      </c>
      <c r="J41" t="s">
        <v>995</v>
      </c>
      <c r="K41" t="s">
        <v>1027</v>
      </c>
      <c r="L41" t="s">
        <v>1028</v>
      </c>
      <c r="M41" t="s">
        <v>1029</v>
      </c>
      <c r="N41" t="s">
        <v>1030</v>
      </c>
      <c r="O41" t="s">
        <v>1031</v>
      </c>
      <c r="P41" t="s">
        <v>1032</v>
      </c>
      <c r="Q41" t="b">
        <v>1</v>
      </c>
      <c r="R41" t="b">
        <v>0</v>
      </c>
      <c r="S41" t="s">
        <v>1033</v>
      </c>
      <c r="T41" t="s">
        <v>994</v>
      </c>
      <c r="U41" t="s">
        <v>1034</v>
      </c>
      <c r="V41" t="s">
        <v>997</v>
      </c>
      <c r="W41" t="s">
        <v>1035</v>
      </c>
      <c r="X41" t="s">
        <v>1158</v>
      </c>
    </row>
    <row r="42" spans="1:24" x14ac:dyDescent="0.25">
      <c r="A42" t="s">
        <v>42</v>
      </c>
      <c r="B42" t="s">
        <v>1159</v>
      </c>
      <c r="C42" t="s">
        <v>272</v>
      </c>
      <c r="D42" t="s">
        <v>427</v>
      </c>
      <c r="E42" t="s">
        <v>1000</v>
      </c>
      <c r="F42">
        <v>-10588</v>
      </c>
      <c r="G42" t="s">
        <v>1024</v>
      </c>
      <c r="H42" t="s">
        <v>1160</v>
      </c>
      <c r="I42" t="s">
        <v>1157</v>
      </c>
      <c r="J42" t="s">
        <v>995</v>
      </c>
      <c r="K42" t="s">
        <v>1039</v>
      </c>
      <c r="L42" t="s">
        <v>1040</v>
      </c>
      <c r="M42" t="s">
        <v>1029</v>
      </c>
      <c r="N42" t="s">
        <v>1041</v>
      </c>
      <c r="O42" t="s">
        <v>1042</v>
      </c>
      <c r="P42" t="s">
        <v>1043</v>
      </c>
      <c r="Q42" t="b">
        <v>1</v>
      </c>
      <c r="R42" t="b">
        <v>0</v>
      </c>
      <c r="S42" t="s">
        <v>1033</v>
      </c>
      <c r="T42" t="s">
        <v>994</v>
      </c>
      <c r="U42" t="s">
        <v>1034</v>
      </c>
      <c r="V42" t="s">
        <v>997</v>
      </c>
      <c r="W42" t="s">
        <v>1035</v>
      </c>
      <c r="X42" t="s">
        <v>1158</v>
      </c>
    </row>
    <row r="43" spans="1:24" x14ac:dyDescent="0.25">
      <c r="A43" t="s">
        <v>42</v>
      </c>
      <c r="B43" t="s">
        <v>1161</v>
      </c>
      <c r="C43" t="s">
        <v>272</v>
      </c>
      <c r="D43" t="s">
        <v>427</v>
      </c>
      <c r="E43" t="s">
        <v>1002</v>
      </c>
      <c r="F43">
        <v>-11258</v>
      </c>
      <c r="G43" t="s">
        <v>1024</v>
      </c>
      <c r="H43" t="s">
        <v>1162</v>
      </c>
      <c r="I43" t="s">
        <v>1157</v>
      </c>
      <c r="J43" t="s">
        <v>995</v>
      </c>
      <c r="K43" t="s">
        <v>1046</v>
      </c>
      <c r="L43" t="s">
        <v>1047</v>
      </c>
      <c r="M43" t="s">
        <v>1029</v>
      </c>
      <c r="N43" t="s">
        <v>1048</v>
      </c>
      <c r="O43" t="s">
        <v>1049</v>
      </c>
      <c r="P43" t="s">
        <v>1050</v>
      </c>
      <c r="Q43" t="b">
        <v>1</v>
      </c>
      <c r="R43" t="b">
        <v>0</v>
      </c>
      <c r="S43" t="s">
        <v>1033</v>
      </c>
      <c r="T43" t="s">
        <v>994</v>
      </c>
      <c r="U43" t="s">
        <v>1034</v>
      </c>
      <c r="V43" t="s">
        <v>997</v>
      </c>
      <c r="W43" t="s">
        <v>1035</v>
      </c>
      <c r="X43" t="s">
        <v>1158</v>
      </c>
    </row>
    <row r="44" spans="1:24" x14ac:dyDescent="0.25">
      <c r="A44" t="s">
        <v>42</v>
      </c>
      <c r="B44" t="s">
        <v>1163</v>
      </c>
      <c r="C44" t="s">
        <v>272</v>
      </c>
      <c r="D44" t="s">
        <v>427</v>
      </c>
      <c r="E44" t="s">
        <v>1004</v>
      </c>
      <c r="F44">
        <v>-12113</v>
      </c>
      <c r="G44" t="s">
        <v>1024</v>
      </c>
      <c r="H44" t="s">
        <v>1164</v>
      </c>
      <c r="I44" t="s">
        <v>1165</v>
      </c>
      <c r="J44" t="s">
        <v>995</v>
      </c>
      <c r="K44" t="s">
        <v>1055</v>
      </c>
      <c r="L44" t="s">
        <v>1056</v>
      </c>
      <c r="M44" t="s">
        <v>1057</v>
      </c>
      <c r="N44" t="s">
        <v>1058</v>
      </c>
      <c r="O44" t="s">
        <v>1031</v>
      </c>
      <c r="P44" t="s">
        <v>1059</v>
      </c>
      <c r="Q44" t="b">
        <v>1</v>
      </c>
      <c r="R44" t="b">
        <v>0</v>
      </c>
      <c r="S44" t="s">
        <v>1033</v>
      </c>
      <c r="T44" t="s">
        <v>994</v>
      </c>
      <c r="U44" t="s">
        <v>1034</v>
      </c>
      <c r="V44" t="s">
        <v>1062</v>
      </c>
      <c r="W44" t="s">
        <v>1035</v>
      </c>
      <c r="X44" t="s">
        <v>994</v>
      </c>
    </row>
    <row r="45" spans="1:24" x14ac:dyDescent="0.25">
      <c r="A45" t="s">
        <v>42</v>
      </c>
      <c r="B45" t="s">
        <v>1166</v>
      </c>
      <c r="C45" t="s">
        <v>272</v>
      </c>
      <c r="D45" t="s">
        <v>427</v>
      </c>
      <c r="E45" t="s">
        <v>1006</v>
      </c>
      <c r="F45">
        <v>-11903</v>
      </c>
      <c r="G45" t="s">
        <v>1024</v>
      </c>
      <c r="H45" t="s">
        <v>1167</v>
      </c>
      <c r="I45" t="s">
        <v>1157</v>
      </c>
      <c r="J45" t="s">
        <v>995</v>
      </c>
      <c r="K45" t="s">
        <v>1065</v>
      </c>
      <c r="L45" t="s">
        <v>1066</v>
      </c>
      <c r="M45" t="s">
        <v>1029</v>
      </c>
      <c r="N45" t="s">
        <v>1067</v>
      </c>
      <c r="O45" t="s">
        <v>1068</v>
      </c>
      <c r="P45" t="s">
        <v>1069</v>
      </c>
      <c r="Q45" t="b">
        <v>1</v>
      </c>
      <c r="R45" t="b">
        <v>0</v>
      </c>
      <c r="S45" t="s">
        <v>1033</v>
      </c>
      <c r="T45" t="s">
        <v>994</v>
      </c>
      <c r="U45" t="s">
        <v>1034</v>
      </c>
      <c r="V45" t="s">
        <v>997</v>
      </c>
      <c r="W45" t="s">
        <v>1035</v>
      </c>
      <c r="X45" t="s">
        <v>1158</v>
      </c>
    </row>
    <row r="46" spans="1:24" x14ac:dyDescent="0.25">
      <c r="A46" t="s">
        <v>42</v>
      </c>
      <c r="B46" t="s">
        <v>1168</v>
      </c>
      <c r="C46" t="s">
        <v>272</v>
      </c>
      <c r="D46" t="s">
        <v>427</v>
      </c>
      <c r="E46" t="s">
        <v>1008</v>
      </c>
      <c r="F46">
        <v>-11860</v>
      </c>
      <c r="G46" t="s">
        <v>1024</v>
      </c>
      <c r="H46" t="s">
        <v>1169</v>
      </c>
      <c r="I46" t="s">
        <v>1157</v>
      </c>
      <c r="J46" t="s">
        <v>995</v>
      </c>
      <c r="K46" t="s">
        <v>1072</v>
      </c>
      <c r="L46" t="s">
        <v>1073</v>
      </c>
      <c r="M46" t="s">
        <v>1029</v>
      </c>
      <c r="N46" t="s">
        <v>1074</v>
      </c>
      <c r="O46" t="s">
        <v>1075</v>
      </c>
      <c r="P46" t="s">
        <v>1076</v>
      </c>
      <c r="Q46" t="b">
        <v>1</v>
      </c>
      <c r="R46" t="b">
        <v>0</v>
      </c>
      <c r="S46" t="s">
        <v>1033</v>
      </c>
      <c r="T46" t="s">
        <v>994</v>
      </c>
      <c r="U46" t="s">
        <v>1034</v>
      </c>
      <c r="V46" t="s">
        <v>997</v>
      </c>
      <c r="W46" t="s">
        <v>1035</v>
      </c>
      <c r="X46" t="s">
        <v>1158</v>
      </c>
    </row>
    <row r="47" spans="1:24" x14ac:dyDescent="0.25">
      <c r="A47" t="s">
        <v>42</v>
      </c>
      <c r="B47" t="s">
        <v>1170</v>
      </c>
      <c r="C47" t="s">
        <v>272</v>
      </c>
      <c r="D47" t="s">
        <v>427</v>
      </c>
      <c r="E47" t="s">
        <v>1010</v>
      </c>
      <c r="F47">
        <v>-12447</v>
      </c>
      <c r="G47" t="s">
        <v>1024</v>
      </c>
      <c r="H47" t="s">
        <v>1171</v>
      </c>
      <c r="I47" t="s">
        <v>1157</v>
      </c>
      <c r="J47" t="s">
        <v>995</v>
      </c>
      <c r="K47" t="s">
        <v>1079</v>
      </c>
      <c r="L47" t="s">
        <v>1080</v>
      </c>
      <c r="M47" t="s">
        <v>1029</v>
      </c>
      <c r="N47" t="s">
        <v>1081</v>
      </c>
      <c r="O47" t="s">
        <v>1082</v>
      </c>
      <c r="P47" t="s">
        <v>1083</v>
      </c>
      <c r="Q47" t="b">
        <v>1</v>
      </c>
      <c r="R47" t="b">
        <v>0</v>
      </c>
      <c r="S47" t="s">
        <v>1033</v>
      </c>
      <c r="T47" t="s">
        <v>994</v>
      </c>
      <c r="U47" t="s">
        <v>1034</v>
      </c>
      <c r="V47" t="s">
        <v>997</v>
      </c>
      <c r="W47" t="s">
        <v>1035</v>
      </c>
      <c r="X47" t="s">
        <v>1158</v>
      </c>
    </row>
    <row r="48" spans="1:24" x14ac:dyDescent="0.25">
      <c r="A48" t="s">
        <v>42</v>
      </c>
      <c r="B48" t="s">
        <v>1172</v>
      </c>
      <c r="C48" t="s">
        <v>272</v>
      </c>
      <c r="D48" t="s">
        <v>427</v>
      </c>
      <c r="E48" t="s">
        <v>1012</v>
      </c>
      <c r="F48">
        <v>-13116</v>
      </c>
      <c r="G48" t="s">
        <v>1024</v>
      </c>
      <c r="H48" t="s">
        <v>1173</v>
      </c>
      <c r="I48" t="s">
        <v>1165</v>
      </c>
      <c r="J48" t="s">
        <v>995</v>
      </c>
      <c r="K48" t="s">
        <v>1086</v>
      </c>
      <c r="L48" t="s">
        <v>1087</v>
      </c>
      <c r="M48" t="s">
        <v>1057</v>
      </c>
      <c r="N48" t="s">
        <v>1088</v>
      </c>
      <c r="O48" t="s">
        <v>1068</v>
      </c>
      <c r="P48" t="s">
        <v>1089</v>
      </c>
      <c r="Q48" t="b">
        <v>1</v>
      </c>
      <c r="R48" t="b">
        <v>0</v>
      </c>
      <c r="S48" t="s">
        <v>1033</v>
      </c>
      <c r="T48" t="s">
        <v>994</v>
      </c>
      <c r="U48" t="s">
        <v>1034</v>
      </c>
      <c r="V48" t="s">
        <v>1062</v>
      </c>
      <c r="W48" t="s">
        <v>1035</v>
      </c>
      <c r="X48" t="s">
        <v>994</v>
      </c>
    </row>
    <row r="49" spans="1:24" x14ac:dyDescent="0.25">
      <c r="A49" t="s">
        <v>42</v>
      </c>
      <c r="B49" t="s">
        <v>1174</v>
      </c>
      <c r="C49" t="s">
        <v>272</v>
      </c>
      <c r="D49" t="s">
        <v>427</v>
      </c>
      <c r="E49" t="s">
        <v>1014</v>
      </c>
      <c r="F49">
        <v>-13556</v>
      </c>
      <c r="G49" t="s">
        <v>1024</v>
      </c>
      <c r="H49" t="s">
        <v>1175</v>
      </c>
      <c r="I49" t="s">
        <v>1157</v>
      </c>
      <c r="J49" t="s">
        <v>995</v>
      </c>
      <c r="K49" t="s">
        <v>1092</v>
      </c>
      <c r="L49" t="s">
        <v>1093</v>
      </c>
      <c r="M49" t="s">
        <v>1029</v>
      </c>
      <c r="N49" t="s">
        <v>1094</v>
      </c>
      <c r="O49" t="s">
        <v>1095</v>
      </c>
      <c r="P49" t="s">
        <v>1096</v>
      </c>
      <c r="Q49" t="b">
        <v>1</v>
      </c>
      <c r="R49" t="b">
        <v>0</v>
      </c>
      <c r="S49" t="s">
        <v>1033</v>
      </c>
      <c r="T49" t="s">
        <v>994</v>
      </c>
      <c r="U49" t="s">
        <v>1034</v>
      </c>
      <c r="V49" t="s">
        <v>997</v>
      </c>
      <c r="W49" t="s">
        <v>1035</v>
      </c>
      <c r="X49" t="s">
        <v>1158</v>
      </c>
    </row>
    <row r="50" spans="1:24" x14ac:dyDescent="0.25">
      <c r="A50" t="s">
        <v>42</v>
      </c>
      <c r="B50" t="s">
        <v>1176</v>
      </c>
      <c r="C50" t="s">
        <v>272</v>
      </c>
      <c r="D50" t="s">
        <v>427</v>
      </c>
      <c r="E50" t="s">
        <v>1016</v>
      </c>
      <c r="F50">
        <v>-13808</v>
      </c>
      <c r="G50" t="s">
        <v>1024</v>
      </c>
      <c r="H50" t="s">
        <v>1177</v>
      </c>
      <c r="I50" t="s">
        <v>1157</v>
      </c>
      <c r="J50" t="s">
        <v>995</v>
      </c>
      <c r="K50" t="s">
        <v>1100</v>
      </c>
      <c r="L50" t="s">
        <v>1101</v>
      </c>
      <c r="M50" t="s">
        <v>1029</v>
      </c>
      <c r="N50" t="s">
        <v>1102</v>
      </c>
      <c r="O50" t="s">
        <v>1103</v>
      </c>
      <c r="P50" t="s">
        <v>1104</v>
      </c>
      <c r="Q50" t="b">
        <v>1</v>
      </c>
      <c r="R50" t="b">
        <v>0</v>
      </c>
      <c r="S50" t="s">
        <v>1033</v>
      </c>
      <c r="T50" t="s">
        <v>994</v>
      </c>
      <c r="U50" t="s">
        <v>1034</v>
      </c>
      <c r="V50" t="s">
        <v>997</v>
      </c>
      <c r="W50" t="s">
        <v>1035</v>
      </c>
      <c r="X50" t="s">
        <v>1158</v>
      </c>
    </row>
    <row r="51" spans="1:24" x14ac:dyDescent="0.25">
      <c r="A51" t="s">
        <v>42</v>
      </c>
      <c r="B51" t="s">
        <v>1178</v>
      </c>
      <c r="C51" t="s">
        <v>272</v>
      </c>
      <c r="D51" t="s">
        <v>427</v>
      </c>
      <c r="E51" t="s">
        <v>1018</v>
      </c>
      <c r="F51">
        <v>-15151</v>
      </c>
      <c r="G51" t="s">
        <v>1024</v>
      </c>
      <c r="H51" t="s">
        <v>1179</v>
      </c>
      <c r="I51" t="s">
        <v>1157</v>
      </c>
      <c r="J51" t="s">
        <v>995</v>
      </c>
      <c r="K51" t="s">
        <v>1107</v>
      </c>
      <c r="L51" t="s">
        <v>1108</v>
      </c>
      <c r="M51" t="s">
        <v>1029</v>
      </c>
      <c r="N51" t="s">
        <v>1109</v>
      </c>
      <c r="O51" t="s">
        <v>1110</v>
      </c>
      <c r="P51" t="s">
        <v>1111</v>
      </c>
      <c r="Q51" t="b">
        <v>1</v>
      </c>
      <c r="R51" t="b">
        <v>0</v>
      </c>
      <c r="S51" t="s">
        <v>1033</v>
      </c>
      <c r="T51" t="s">
        <v>994</v>
      </c>
      <c r="U51" t="s">
        <v>1034</v>
      </c>
      <c r="V51" t="s">
        <v>997</v>
      </c>
      <c r="W51" t="s">
        <v>1035</v>
      </c>
      <c r="X51" t="s">
        <v>1158</v>
      </c>
    </row>
    <row r="52" spans="1:24" x14ac:dyDescent="0.25">
      <c r="A52" t="s">
        <v>42</v>
      </c>
      <c r="B52" t="s">
        <v>1180</v>
      </c>
      <c r="C52" t="s">
        <v>272</v>
      </c>
      <c r="D52" t="s">
        <v>427</v>
      </c>
      <c r="E52" t="s">
        <v>1020</v>
      </c>
      <c r="F52">
        <v>-18572</v>
      </c>
      <c r="G52" t="s">
        <v>1024</v>
      </c>
      <c r="H52" t="s">
        <v>1181</v>
      </c>
      <c r="I52" t="s">
        <v>1165</v>
      </c>
      <c r="J52" t="s">
        <v>995</v>
      </c>
      <c r="K52" t="s">
        <v>1114</v>
      </c>
      <c r="L52" t="s">
        <v>1115</v>
      </c>
      <c r="M52" t="s">
        <v>1057</v>
      </c>
      <c r="N52" t="s">
        <v>1116</v>
      </c>
      <c r="O52" t="s">
        <v>1095</v>
      </c>
      <c r="P52" t="s">
        <v>1117</v>
      </c>
      <c r="Q52" t="b">
        <v>1</v>
      </c>
      <c r="R52" t="b">
        <v>0</v>
      </c>
      <c r="S52" t="s">
        <v>1033</v>
      </c>
      <c r="T52" t="s">
        <v>994</v>
      </c>
      <c r="U52" t="s">
        <v>1034</v>
      </c>
      <c r="V52" t="s">
        <v>1062</v>
      </c>
      <c r="W52" t="s">
        <v>1035</v>
      </c>
      <c r="X52" t="s">
        <v>994</v>
      </c>
    </row>
    <row r="53" spans="1:24" x14ac:dyDescent="0.25">
      <c r="A53" t="s">
        <v>42</v>
      </c>
      <c r="B53" t="s">
        <v>1182</v>
      </c>
      <c r="C53" t="s">
        <v>272</v>
      </c>
      <c r="D53" t="s">
        <v>427</v>
      </c>
      <c r="E53" t="s">
        <v>1022</v>
      </c>
      <c r="F53">
        <v>-17032</v>
      </c>
      <c r="G53" t="s">
        <v>1024</v>
      </c>
      <c r="H53" t="s">
        <v>1183</v>
      </c>
      <c r="I53" t="s">
        <v>1157</v>
      </c>
      <c r="J53" t="s">
        <v>995</v>
      </c>
      <c r="K53" t="s">
        <v>1120</v>
      </c>
      <c r="L53" t="s">
        <v>1121</v>
      </c>
      <c r="M53" t="s">
        <v>1029</v>
      </c>
      <c r="N53" t="s">
        <v>1122</v>
      </c>
      <c r="O53" t="s">
        <v>1123</v>
      </c>
      <c r="P53" t="s">
        <v>1124</v>
      </c>
      <c r="Q53" t="b">
        <v>1</v>
      </c>
      <c r="R53" t="b">
        <v>0</v>
      </c>
      <c r="S53" t="s">
        <v>1033</v>
      </c>
      <c r="T53" t="s">
        <v>994</v>
      </c>
      <c r="U53" t="s">
        <v>1034</v>
      </c>
      <c r="V53" t="s">
        <v>997</v>
      </c>
      <c r="W53" t="s">
        <v>1035</v>
      </c>
      <c r="X53" t="s">
        <v>1158</v>
      </c>
    </row>
    <row r="54" spans="1:24" x14ac:dyDescent="0.25">
      <c r="A54" t="s">
        <v>42</v>
      </c>
      <c r="B54" t="s">
        <v>1184</v>
      </c>
      <c r="C54" t="s">
        <v>273</v>
      </c>
      <c r="D54" t="s">
        <v>427</v>
      </c>
      <c r="E54" t="s">
        <v>992</v>
      </c>
      <c r="F54">
        <v>0</v>
      </c>
      <c r="G54" t="s">
        <v>1126</v>
      </c>
      <c r="H54" t="s">
        <v>1185</v>
      </c>
      <c r="I54" t="s">
        <v>1186</v>
      </c>
      <c r="J54" t="s">
        <v>995</v>
      </c>
      <c r="K54" t="s">
        <v>994</v>
      </c>
      <c r="L54" t="s">
        <v>994</v>
      </c>
      <c r="M54" t="s">
        <v>994</v>
      </c>
      <c r="N54" t="s">
        <v>994</v>
      </c>
      <c r="O54" t="s">
        <v>994</v>
      </c>
      <c r="P54" t="s">
        <v>994</v>
      </c>
      <c r="Q54" t="b">
        <v>1</v>
      </c>
      <c r="R54" t="b">
        <v>0</v>
      </c>
      <c r="S54" t="s">
        <v>1033</v>
      </c>
      <c r="T54" t="s">
        <v>994</v>
      </c>
      <c r="U54" t="s">
        <v>1034</v>
      </c>
      <c r="V54" t="s">
        <v>1062</v>
      </c>
      <c r="W54" t="s">
        <v>1187</v>
      </c>
      <c r="X54" t="s">
        <v>994</v>
      </c>
    </row>
    <row r="55" spans="1:24" x14ac:dyDescent="0.25">
      <c r="A55" t="s">
        <v>42</v>
      </c>
      <c r="B55" t="s">
        <v>1188</v>
      </c>
      <c r="C55" t="s">
        <v>273</v>
      </c>
      <c r="D55" t="s">
        <v>427</v>
      </c>
      <c r="E55" t="s">
        <v>1000</v>
      </c>
      <c r="F55">
        <v>0</v>
      </c>
      <c r="G55" t="s">
        <v>1126</v>
      </c>
      <c r="H55" t="s">
        <v>1185</v>
      </c>
      <c r="I55" t="s">
        <v>1186</v>
      </c>
      <c r="J55" t="s">
        <v>995</v>
      </c>
      <c r="K55" t="s">
        <v>994</v>
      </c>
      <c r="L55" t="s">
        <v>994</v>
      </c>
      <c r="M55" t="s">
        <v>994</v>
      </c>
      <c r="N55" t="s">
        <v>994</v>
      </c>
      <c r="O55" t="s">
        <v>994</v>
      </c>
      <c r="P55" t="s">
        <v>994</v>
      </c>
      <c r="Q55" t="b">
        <v>1</v>
      </c>
      <c r="R55" t="b">
        <v>0</v>
      </c>
      <c r="S55" t="s">
        <v>1033</v>
      </c>
      <c r="T55" t="s">
        <v>994</v>
      </c>
      <c r="U55" t="s">
        <v>1034</v>
      </c>
      <c r="V55" t="s">
        <v>1062</v>
      </c>
      <c r="W55" t="s">
        <v>1187</v>
      </c>
      <c r="X55" t="s">
        <v>994</v>
      </c>
    </row>
    <row r="56" spans="1:24" x14ac:dyDescent="0.25">
      <c r="A56" t="s">
        <v>42</v>
      </c>
      <c r="B56" t="s">
        <v>1189</v>
      </c>
      <c r="C56" t="s">
        <v>273</v>
      </c>
      <c r="D56" t="s">
        <v>427</v>
      </c>
      <c r="E56" t="s">
        <v>1002</v>
      </c>
      <c r="F56">
        <v>0</v>
      </c>
      <c r="G56" t="s">
        <v>1126</v>
      </c>
      <c r="H56" t="s">
        <v>1185</v>
      </c>
      <c r="I56" t="s">
        <v>1186</v>
      </c>
      <c r="J56" t="s">
        <v>995</v>
      </c>
      <c r="K56" t="s">
        <v>994</v>
      </c>
      <c r="L56" t="s">
        <v>994</v>
      </c>
      <c r="M56" t="s">
        <v>994</v>
      </c>
      <c r="N56" t="s">
        <v>994</v>
      </c>
      <c r="O56" t="s">
        <v>994</v>
      </c>
      <c r="P56" t="s">
        <v>994</v>
      </c>
      <c r="Q56" t="b">
        <v>1</v>
      </c>
      <c r="R56" t="b">
        <v>0</v>
      </c>
      <c r="S56" t="s">
        <v>1033</v>
      </c>
      <c r="T56" t="s">
        <v>994</v>
      </c>
      <c r="U56" t="s">
        <v>1034</v>
      </c>
      <c r="V56" t="s">
        <v>1062</v>
      </c>
      <c r="W56" t="s">
        <v>1187</v>
      </c>
      <c r="X56" t="s">
        <v>994</v>
      </c>
    </row>
    <row r="57" spans="1:24" x14ac:dyDescent="0.25">
      <c r="A57" t="s">
        <v>42</v>
      </c>
      <c r="B57" t="s">
        <v>1190</v>
      </c>
      <c r="C57" t="s">
        <v>273</v>
      </c>
      <c r="D57" t="s">
        <v>427</v>
      </c>
      <c r="E57" t="s">
        <v>1004</v>
      </c>
      <c r="F57">
        <v>0</v>
      </c>
      <c r="G57" t="s">
        <v>1052</v>
      </c>
      <c r="H57" t="s">
        <v>1185</v>
      </c>
      <c r="I57" t="s">
        <v>1186</v>
      </c>
      <c r="J57" t="s">
        <v>995</v>
      </c>
      <c r="K57" t="s">
        <v>994</v>
      </c>
      <c r="L57" t="s">
        <v>994</v>
      </c>
      <c r="M57" t="s">
        <v>994</v>
      </c>
      <c r="N57" t="s">
        <v>994</v>
      </c>
      <c r="O57" t="s">
        <v>994</v>
      </c>
      <c r="P57" t="s">
        <v>994</v>
      </c>
      <c r="Q57" t="b">
        <v>1</v>
      </c>
      <c r="R57" t="b">
        <v>0</v>
      </c>
      <c r="S57" t="s">
        <v>1097</v>
      </c>
      <c r="T57" t="s">
        <v>994</v>
      </c>
      <c r="U57" t="s">
        <v>1061</v>
      </c>
      <c r="V57" t="s">
        <v>1062</v>
      </c>
      <c r="W57" t="s">
        <v>1187</v>
      </c>
      <c r="X57" t="s">
        <v>994</v>
      </c>
    </row>
    <row r="58" spans="1:24" x14ac:dyDescent="0.25">
      <c r="A58" t="s">
        <v>42</v>
      </c>
      <c r="B58" t="s">
        <v>1191</v>
      </c>
      <c r="C58" t="s">
        <v>273</v>
      </c>
      <c r="D58" t="s">
        <v>427</v>
      </c>
      <c r="E58" t="s">
        <v>1006</v>
      </c>
      <c r="F58">
        <v>0</v>
      </c>
      <c r="G58" t="s">
        <v>1126</v>
      </c>
      <c r="H58" t="s">
        <v>1185</v>
      </c>
      <c r="I58" t="s">
        <v>1186</v>
      </c>
      <c r="J58" t="s">
        <v>995</v>
      </c>
      <c r="K58" t="s">
        <v>994</v>
      </c>
      <c r="L58" t="s">
        <v>994</v>
      </c>
      <c r="M58" t="s">
        <v>994</v>
      </c>
      <c r="N58" t="s">
        <v>994</v>
      </c>
      <c r="O58" t="s">
        <v>994</v>
      </c>
      <c r="P58" t="s">
        <v>994</v>
      </c>
      <c r="Q58" t="b">
        <v>1</v>
      </c>
      <c r="R58" t="b">
        <v>0</v>
      </c>
      <c r="S58" t="s">
        <v>1033</v>
      </c>
      <c r="T58" t="s">
        <v>994</v>
      </c>
      <c r="U58" t="s">
        <v>1034</v>
      </c>
      <c r="V58" t="s">
        <v>1062</v>
      </c>
      <c r="W58" t="s">
        <v>1187</v>
      </c>
      <c r="X58" t="s">
        <v>994</v>
      </c>
    </row>
    <row r="59" spans="1:24" x14ac:dyDescent="0.25">
      <c r="A59" t="s">
        <v>42</v>
      </c>
      <c r="B59" t="s">
        <v>1192</v>
      </c>
      <c r="C59" t="s">
        <v>273</v>
      </c>
      <c r="D59" t="s">
        <v>427</v>
      </c>
      <c r="E59" t="s">
        <v>1008</v>
      </c>
      <c r="F59">
        <v>0</v>
      </c>
      <c r="G59" t="s">
        <v>1126</v>
      </c>
      <c r="H59" t="s">
        <v>1185</v>
      </c>
      <c r="I59" t="s">
        <v>1186</v>
      </c>
      <c r="J59" t="s">
        <v>995</v>
      </c>
      <c r="K59" t="s">
        <v>994</v>
      </c>
      <c r="L59" t="s">
        <v>994</v>
      </c>
      <c r="M59" t="s">
        <v>994</v>
      </c>
      <c r="N59" t="s">
        <v>994</v>
      </c>
      <c r="O59" t="s">
        <v>994</v>
      </c>
      <c r="P59" t="s">
        <v>994</v>
      </c>
      <c r="Q59" t="b">
        <v>1</v>
      </c>
      <c r="R59" t="b">
        <v>0</v>
      </c>
      <c r="S59" t="s">
        <v>1033</v>
      </c>
      <c r="T59" t="s">
        <v>994</v>
      </c>
      <c r="U59" t="s">
        <v>1034</v>
      </c>
      <c r="V59" t="s">
        <v>1062</v>
      </c>
      <c r="W59" t="s">
        <v>1187</v>
      </c>
      <c r="X59" t="s">
        <v>994</v>
      </c>
    </row>
    <row r="60" spans="1:24" x14ac:dyDescent="0.25">
      <c r="A60" t="s">
        <v>42</v>
      </c>
      <c r="B60" t="s">
        <v>1193</v>
      </c>
      <c r="C60" t="s">
        <v>273</v>
      </c>
      <c r="D60" t="s">
        <v>427</v>
      </c>
      <c r="E60" t="s">
        <v>1010</v>
      </c>
      <c r="F60">
        <v>0</v>
      </c>
      <c r="G60" t="s">
        <v>1126</v>
      </c>
      <c r="H60" t="s">
        <v>1185</v>
      </c>
      <c r="I60" t="s">
        <v>1186</v>
      </c>
      <c r="J60" t="s">
        <v>995</v>
      </c>
      <c r="K60" t="s">
        <v>994</v>
      </c>
      <c r="L60" t="s">
        <v>994</v>
      </c>
      <c r="M60" t="s">
        <v>994</v>
      </c>
      <c r="N60" t="s">
        <v>994</v>
      </c>
      <c r="O60" t="s">
        <v>994</v>
      </c>
      <c r="P60" t="s">
        <v>994</v>
      </c>
      <c r="Q60" t="b">
        <v>1</v>
      </c>
      <c r="R60" t="b">
        <v>0</v>
      </c>
      <c r="S60" t="s">
        <v>1033</v>
      </c>
      <c r="T60" t="s">
        <v>994</v>
      </c>
      <c r="U60" t="s">
        <v>1034</v>
      </c>
      <c r="V60" t="s">
        <v>1062</v>
      </c>
      <c r="W60" t="s">
        <v>1187</v>
      </c>
      <c r="X60" t="s">
        <v>994</v>
      </c>
    </row>
    <row r="61" spans="1:24" x14ac:dyDescent="0.25">
      <c r="A61" t="s">
        <v>42</v>
      </c>
      <c r="B61" t="s">
        <v>1194</v>
      </c>
      <c r="C61" t="s">
        <v>273</v>
      </c>
      <c r="D61" t="s">
        <v>427</v>
      </c>
      <c r="E61" t="s">
        <v>1012</v>
      </c>
      <c r="F61">
        <v>0</v>
      </c>
      <c r="G61" t="s">
        <v>1126</v>
      </c>
      <c r="H61" t="s">
        <v>1185</v>
      </c>
      <c r="I61" t="s">
        <v>1186</v>
      </c>
      <c r="J61" t="s">
        <v>995</v>
      </c>
      <c r="K61" t="s">
        <v>994</v>
      </c>
      <c r="L61" t="s">
        <v>994</v>
      </c>
      <c r="M61" t="s">
        <v>994</v>
      </c>
      <c r="N61" t="s">
        <v>994</v>
      </c>
      <c r="O61" t="s">
        <v>994</v>
      </c>
      <c r="P61" t="s">
        <v>994</v>
      </c>
      <c r="Q61" t="b">
        <v>1</v>
      </c>
      <c r="R61" t="b">
        <v>0</v>
      </c>
      <c r="S61" t="s">
        <v>1033</v>
      </c>
      <c r="T61" t="s">
        <v>994</v>
      </c>
      <c r="U61" t="s">
        <v>1034</v>
      </c>
      <c r="V61" t="s">
        <v>1062</v>
      </c>
      <c r="W61" t="s">
        <v>1187</v>
      </c>
      <c r="X61" t="s">
        <v>994</v>
      </c>
    </row>
    <row r="62" spans="1:24" x14ac:dyDescent="0.25">
      <c r="A62" t="s">
        <v>42</v>
      </c>
      <c r="B62" t="s">
        <v>1195</v>
      </c>
      <c r="C62" t="s">
        <v>273</v>
      </c>
      <c r="D62" t="s">
        <v>427</v>
      </c>
      <c r="E62" t="s">
        <v>1014</v>
      </c>
      <c r="F62">
        <v>0</v>
      </c>
      <c r="G62" t="s">
        <v>1052</v>
      </c>
      <c r="H62" t="s">
        <v>1185</v>
      </c>
      <c r="I62" t="s">
        <v>1186</v>
      </c>
      <c r="J62" t="s">
        <v>995</v>
      </c>
      <c r="K62" t="s">
        <v>994</v>
      </c>
      <c r="L62" t="s">
        <v>994</v>
      </c>
      <c r="M62" t="s">
        <v>994</v>
      </c>
      <c r="N62" t="s">
        <v>994</v>
      </c>
      <c r="O62" t="s">
        <v>994</v>
      </c>
      <c r="P62" t="s">
        <v>994</v>
      </c>
      <c r="Q62" t="b">
        <v>1</v>
      </c>
      <c r="R62" t="b">
        <v>0</v>
      </c>
      <c r="S62" t="s">
        <v>1097</v>
      </c>
      <c r="T62" t="s">
        <v>994</v>
      </c>
      <c r="U62" t="s">
        <v>1061</v>
      </c>
      <c r="V62" t="s">
        <v>1062</v>
      </c>
      <c r="W62" t="s">
        <v>1187</v>
      </c>
      <c r="X62" t="s">
        <v>994</v>
      </c>
    </row>
    <row r="63" spans="1:24" x14ac:dyDescent="0.25">
      <c r="A63" t="s">
        <v>42</v>
      </c>
      <c r="B63" t="s">
        <v>1196</v>
      </c>
      <c r="C63" t="s">
        <v>273</v>
      </c>
      <c r="D63" t="s">
        <v>427</v>
      </c>
      <c r="E63" t="s">
        <v>1016</v>
      </c>
      <c r="F63">
        <v>0</v>
      </c>
      <c r="G63" t="s">
        <v>1052</v>
      </c>
      <c r="H63" t="s">
        <v>1185</v>
      </c>
      <c r="I63" t="s">
        <v>1186</v>
      </c>
      <c r="J63" t="s">
        <v>995</v>
      </c>
      <c r="K63" t="s">
        <v>994</v>
      </c>
      <c r="L63" t="s">
        <v>994</v>
      </c>
      <c r="M63" t="s">
        <v>994</v>
      </c>
      <c r="N63" t="s">
        <v>994</v>
      </c>
      <c r="O63" t="s">
        <v>994</v>
      </c>
      <c r="P63" t="s">
        <v>994</v>
      </c>
      <c r="Q63" t="b">
        <v>1</v>
      </c>
      <c r="R63" t="b">
        <v>0</v>
      </c>
      <c r="S63" t="s">
        <v>1097</v>
      </c>
      <c r="T63" t="s">
        <v>994</v>
      </c>
      <c r="U63" t="s">
        <v>1061</v>
      </c>
      <c r="V63" t="s">
        <v>1062</v>
      </c>
      <c r="W63" t="s">
        <v>1187</v>
      </c>
      <c r="X63" t="s">
        <v>994</v>
      </c>
    </row>
    <row r="64" spans="1:24" x14ac:dyDescent="0.25">
      <c r="A64" t="s">
        <v>42</v>
      </c>
      <c r="B64" t="s">
        <v>1197</v>
      </c>
      <c r="C64" t="s">
        <v>273</v>
      </c>
      <c r="D64" t="s">
        <v>427</v>
      </c>
      <c r="E64" t="s">
        <v>1018</v>
      </c>
      <c r="F64">
        <v>0</v>
      </c>
      <c r="G64" t="s">
        <v>1052</v>
      </c>
      <c r="H64" t="s">
        <v>1185</v>
      </c>
      <c r="I64" t="s">
        <v>1186</v>
      </c>
      <c r="J64" t="s">
        <v>995</v>
      </c>
      <c r="K64" t="s">
        <v>994</v>
      </c>
      <c r="L64" t="s">
        <v>994</v>
      </c>
      <c r="M64" t="s">
        <v>994</v>
      </c>
      <c r="N64" t="s">
        <v>994</v>
      </c>
      <c r="O64" t="s">
        <v>994</v>
      </c>
      <c r="P64" t="s">
        <v>994</v>
      </c>
      <c r="Q64" t="b">
        <v>1</v>
      </c>
      <c r="R64" t="b">
        <v>0</v>
      </c>
      <c r="S64" t="s">
        <v>1097</v>
      </c>
      <c r="T64" t="s">
        <v>994</v>
      </c>
      <c r="U64" t="s">
        <v>1061</v>
      </c>
      <c r="V64" t="s">
        <v>1062</v>
      </c>
      <c r="W64" t="s">
        <v>1187</v>
      </c>
      <c r="X64" t="s">
        <v>994</v>
      </c>
    </row>
    <row r="65" spans="1:24" x14ac:dyDescent="0.25">
      <c r="A65" t="s">
        <v>42</v>
      </c>
      <c r="B65" t="s">
        <v>1198</v>
      </c>
      <c r="C65" t="s">
        <v>273</v>
      </c>
      <c r="D65" t="s">
        <v>427</v>
      </c>
      <c r="E65" t="s">
        <v>1020</v>
      </c>
      <c r="F65">
        <v>0</v>
      </c>
      <c r="G65" t="s">
        <v>1126</v>
      </c>
      <c r="H65" t="s">
        <v>1185</v>
      </c>
      <c r="I65" t="s">
        <v>1186</v>
      </c>
      <c r="J65" t="s">
        <v>995</v>
      </c>
      <c r="K65" t="s">
        <v>994</v>
      </c>
      <c r="L65" t="s">
        <v>994</v>
      </c>
      <c r="M65" t="s">
        <v>994</v>
      </c>
      <c r="N65" t="s">
        <v>994</v>
      </c>
      <c r="O65" t="s">
        <v>994</v>
      </c>
      <c r="P65" t="s">
        <v>994</v>
      </c>
      <c r="Q65" t="b">
        <v>1</v>
      </c>
      <c r="R65" t="b">
        <v>0</v>
      </c>
      <c r="S65" t="s">
        <v>1033</v>
      </c>
      <c r="T65" t="s">
        <v>994</v>
      </c>
      <c r="U65" t="s">
        <v>1034</v>
      </c>
      <c r="V65" t="s">
        <v>1062</v>
      </c>
      <c r="W65" t="s">
        <v>1187</v>
      </c>
      <c r="X65" t="s">
        <v>994</v>
      </c>
    </row>
    <row r="66" spans="1:24" x14ac:dyDescent="0.25">
      <c r="A66" t="s">
        <v>42</v>
      </c>
      <c r="B66" t="s">
        <v>1199</v>
      </c>
      <c r="C66" t="s">
        <v>273</v>
      </c>
      <c r="D66" t="s">
        <v>427</v>
      </c>
      <c r="E66" t="s">
        <v>1022</v>
      </c>
      <c r="F66">
        <v>0</v>
      </c>
      <c r="G66" t="s">
        <v>1126</v>
      </c>
      <c r="H66" t="s">
        <v>1185</v>
      </c>
      <c r="I66" t="s">
        <v>1186</v>
      </c>
      <c r="J66" t="s">
        <v>995</v>
      </c>
      <c r="K66" t="s">
        <v>994</v>
      </c>
      <c r="L66" t="s">
        <v>994</v>
      </c>
      <c r="M66" t="s">
        <v>994</v>
      </c>
      <c r="N66" t="s">
        <v>994</v>
      </c>
      <c r="O66" t="s">
        <v>994</v>
      </c>
      <c r="P66" t="s">
        <v>994</v>
      </c>
      <c r="Q66" t="b">
        <v>1</v>
      </c>
      <c r="R66" t="b">
        <v>0</v>
      </c>
      <c r="S66" t="s">
        <v>1033</v>
      </c>
      <c r="T66" t="s">
        <v>994</v>
      </c>
      <c r="U66" t="s">
        <v>1034</v>
      </c>
      <c r="V66" t="s">
        <v>1062</v>
      </c>
      <c r="W66" t="s">
        <v>1187</v>
      </c>
      <c r="X66" t="s">
        <v>994</v>
      </c>
    </row>
    <row r="67" spans="1:24" x14ac:dyDescent="0.25">
      <c r="A67" t="s">
        <v>42</v>
      </c>
      <c r="B67" t="s">
        <v>1200</v>
      </c>
      <c r="C67" t="s">
        <v>274</v>
      </c>
      <c r="D67" t="s">
        <v>427</v>
      </c>
      <c r="E67" t="s">
        <v>992</v>
      </c>
      <c r="F67">
        <v>0</v>
      </c>
      <c r="G67" t="s">
        <v>1126</v>
      </c>
      <c r="H67" t="s">
        <v>1201</v>
      </c>
      <c r="I67" t="s">
        <v>1202</v>
      </c>
      <c r="J67" t="s">
        <v>995</v>
      </c>
      <c r="K67" t="s">
        <v>994</v>
      </c>
      <c r="L67" t="s">
        <v>994</v>
      </c>
      <c r="M67" t="s">
        <v>994</v>
      </c>
      <c r="N67" t="s">
        <v>994</v>
      </c>
      <c r="O67" t="s">
        <v>994</v>
      </c>
      <c r="P67" t="s">
        <v>994</v>
      </c>
      <c r="Q67" t="b">
        <v>1</v>
      </c>
      <c r="R67" t="b">
        <v>0</v>
      </c>
      <c r="S67" t="s">
        <v>1033</v>
      </c>
      <c r="T67" t="s">
        <v>994</v>
      </c>
      <c r="U67" t="s">
        <v>1034</v>
      </c>
      <c r="V67" t="s">
        <v>1062</v>
      </c>
      <c r="W67" t="s">
        <v>1187</v>
      </c>
      <c r="X67" t="s">
        <v>994</v>
      </c>
    </row>
    <row r="68" spans="1:24" x14ac:dyDescent="0.25">
      <c r="A68" t="s">
        <v>42</v>
      </c>
      <c r="B68" t="s">
        <v>1203</v>
      </c>
      <c r="C68" t="s">
        <v>274</v>
      </c>
      <c r="D68" t="s">
        <v>427</v>
      </c>
      <c r="E68" t="s">
        <v>1000</v>
      </c>
      <c r="F68">
        <v>0</v>
      </c>
      <c r="G68" t="s">
        <v>1126</v>
      </c>
      <c r="H68" t="s">
        <v>1201</v>
      </c>
      <c r="I68" t="s">
        <v>1202</v>
      </c>
      <c r="J68" t="s">
        <v>995</v>
      </c>
      <c r="K68" t="s">
        <v>994</v>
      </c>
      <c r="L68" t="s">
        <v>994</v>
      </c>
      <c r="M68" t="s">
        <v>994</v>
      </c>
      <c r="N68" t="s">
        <v>994</v>
      </c>
      <c r="O68" t="s">
        <v>994</v>
      </c>
      <c r="P68" t="s">
        <v>994</v>
      </c>
      <c r="Q68" t="b">
        <v>1</v>
      </c>
      <c r="R68" t="b">
        <v>0</v>
      </c>
      <c r="S68" t="s">
        <v>1033</v>
      </c>
      <c r="T68" t="s">
        <v>994</v>
      </c>
      <c r="U68" t="s">
        <v>1034</v>
      </c>
      <c r="V68" t="s">
        <v>1062</v>
      </c>
      <c r="W68" t="s">
        <v>1187</v>
      </c>
      <c r="X68" t="s">
        <v>994</v>
      </c>
    </row>
    <row r="69" spans="1:24" x14ac:dyDescent="0.25">
      <c r="A69" t="s">
        <v>42</v>
      </c>
      <c r="B69" t="s">
        <v>1204</v>
      </c>
      <c r="C69" t="s">
        <v>274</v>
      </c>
      <c r="D69" t="s">
        <v>427</v>
      </c>
      <c r="E69" t="s">
        <v>1002</v>
      </c>
      <c r="F69">
        <v>0</v>
      </c>
      <c r="G69" t="s">
        <v>1126</v>
      </c>
      <c r="H69" t="s">
        <v>1201</v>
      </c>
      <c r="I69" t="s">
        <v>1202</v>
      </c>
      <c r="J69" t="s">
        <v>995</v>
      </c>
      <c r="K69" t="s">
        <v>994</v>
      </c>
      <c r="L69" t="s">
        <v>994</v>
      </c>
      <c r="M69" t="s">
        <v>994</v>
      </c>
      <c r="N69" t="s">
        <v>994</v>
      </c>
      <c r="O69" t="s">
        <v>994</v>
      </c>
      <c r="P69" t="s">
        <v>994</v>
      </c>
      <c r="Q69" t="b">
        <v>1</v>
      </c>
      <c r="R69" t="b">
        <v>0</v>
      </c>
      <c r="S69" t="s">
        <v>1033</v>
      </c>
      <c r="T69" t="s">
        <v>994</v>
      </c>
      <c r="U69" t="s">
        <v>1034</v>
      </c>
      <c r="V69" t="s">
        <v>1062</v>
      </c>
      <c r="W69" t="s">
        <v>1187</v>
      </c>
      <c r="X69" t="s">
        <v>994</v>
      </c>
    </row>
    <row r="70" spans="1:24" x14ac:dyDescent="0.25">
      <c r="A70" t="s">
        <v>42</v>
      </c>
      <c r="B70" t="s">
        <v>1205</v>
      </c>
      <c r="C70" t="s">
        <v>274</v>
      </c>
      <c r="D70" t="s">
        <v>427</v>
      </c>
      <c r="E70" t="s">
        <v>1004</v>
      </c>
      <c r="F70">
        <v>0</v>
      </c>
      <c r="G70" t="s">
        <v>1126</v>
      </c>
      <c r="H70" t="s">
        <v>1201</v>
      </c>
      <c r="I70" t="s">
        <v>1202</v>
      </c>
      <c r="J70" t="s">
        <v>995</v>
      </c>
      <c r="K70" t="s">
        <v>994</v>
      </c>
      <c r="L70" t="s">
        <v>994</v>
      </c>
      <c r="M70" t="s">
        <v>994</v>
      </c>
      <c r="N70" t="s">
        <v>994</v>
      </c>
      <c r="O70" t="s">
        <v>994</v>
      </c>
      <c r="P70" t="s">
        <v>994</v>
      </c>
      <c r="Q70" t="b">
        <v>1</v>
      </c>
      <c r="R70" t="b">
        <v>0</v>
      </c>
      <c r="S70" t="s">
        <v>1033</v>
      </c>
      <c r="T70" t="s">
        <v>994</v>
      </c>
      <c r="U70" t="s">
        <v>1034</v>
      </c>
      <c r="V70" t="s">
        <v>1062</v>
      </c>
      <c r="W70" t="s">
        <v>1187</v>
      </c>
      <c r="X70" t="s">
        <v>994</v>
      </c>
    </row>
    <row r="71" spans="1:24" x14ac:dyDescent="0.25">
      <c r="A71" t="s">
        <v>42</v>
      </c>
      <c r="B71" t="s">
        <v>1206</v>
      </c>
      <c r="C71" t="s">
        <v>274</v>
      </c>
      <c r="D71" t="s">
        <v>427</v>
      </c>
      <c r="E71" t="s">
        <v>1006</v>
      </c>
      <c r="F71">
        <v>0</v>
      </c>
      <c r="G71" t="s">
        <v>1126</v>
      </c>
      <c r="H71" t="s">
        <v>1201</v>
      </c>
      <c r="I71" t="s">
        <v>1202</v>
      </c>
      <c r="J71" t="s">
        <v>995</v>
      </c>
      <c r="K71" t="s">
        <v>994</v>
      </c>
      <c r="L71" t="s">
        <v>994</v>
      </c>
      <c r="M71" t="s">
        <v>994</v>
      </c>
      <c r="N71" t="s">
        <v>994</v>
      </c>
      <c r="O71" t="s">
        <v>994</v>
      </c>
      <c r="P71" t="s">
        <v>994</v>
      </c>
      <c r="Q71" t="b">
        <v>1</v>
      </c>
      <c r="R71" t="b">
        <v>0</v>
      </c>
      <c r="S71" t="s">
        <v>1033</v>
      </c>
      <c r="T71" t="s">
        <v>994</v>
      </c>
      <c r="U71" t="s">
        <v>1034</v>
      </c>
      <c r="V71" t="s">
        <v>1062</v>
      </c>
      <c r="W71" t="s">
        <v>1187</v>
      </c>
      <c r="X71" t="s">
        <v>994</v>
      </c>
    </row>
    <row r="72" spans="1:24" x14ac:dyDescent="0.25">
      <c r="A72" t="s">
        <v>42</v>
      </c>
      <c r="B72" t="s">
        <v>1207</v>
      </c>
      <c r="C72" t="s">
        <v>274</v>
      </c>
      <c r="D72" t="s">
        <v>427</v>
      </c>
      <c r="E72" t="s">
        <v>1008</v>
      </c>
      <c r="F72">
        <v>0</v>
      </c>
      <c r="G72" t="s">
        <v>1126</v>
      </c>
      <c r="H72" t="s">
        <v>1201</v>
      </c>
      <c r="I72" t="s">
        <v>1202</v>
      </c>
      <c r="J72" t="s">
        <v>995</v>
      </c>
      <c r="K72" t="s">
        <v>994</v>
      </c>
      <c r="L72" t="s">
        <v>994</v>
      </c>
      <c r="M72" t="s">
        <v>994</v>
      </c>
      <c r="N72" t="s">
        <v>994</v>
      </c>
      <c r="O72" t="s">
        <v>994</v>
      </c>
      <c r="P72" t="s">
        <v>994</v>
      </c>
      <c r="Q72" t="b">
        <v>1</v>
      </c>
      <c r="R72" t="b">
        <v>0</v>
      </c>
      <c r="S72" t="s">
        <v>1033</v>
      </c>
      <c r="T72" t="s">
        <v>994</v>
      </c>
      <c r="U72" t="s">
        <v>1034</v>
      </c>
      <c r="V72" t="s">
        <v>1062</v>
      </c>
      <c r="W72" t="s">
        <v>1187</v>
      </c>
      <c r="X72" t="s">
        <v>994</v>
      </c>
    </row>
    <row r="73" spans="1:24" x14ac:dyDescent="0.25">
      <c r="A73" t="s">
        <v>42</v>
      </c>
      <c r="B73" t="s">
        <v>1208</v>
      </c>
      <c r="C73" t="s">
        <v>274</v>
      </c>
      <c r="D73" t="s">
        <v>427</v>
      </c>
      <c r="E73" t="s">
        <v>1010</v>
      </c>
      <c r="F73">
        <v>0</v>
      </c>
      <c r="G73" t="s">
        <v>1126</v>
      </c>
      <c r="H73" t="s">
        <v>1201</v>
      </c>
      <c r="I73" t="s">
        <v>1202</v>
      </c>
      <c r="J73" t="s">
        <v>995</v>
      </c>
      <c r="K73" t="s">
        <v>994</v>
      </c>
      <c r="L73" t="s">
        <v>994</v>
      </c>
      <c r="M73" t="s">
        <v>994</v>
      </c>
      <c r="N73" t="s">
        <v>994</v>
      </c>
      <c r="O73" t="s">
        <v>994</v>
      </c>
      <c r="P73" t="s">
        <v>994</v>
      </c>
      <c r="Q73" t="b">
        <v>1</v>
      </c>
      <c r="R73" t="b">
        <v>0</v>
      </c>
      <c r="S73" t="s">
        <v>1033</v>
      </c>
      <c r="T73" t="s">
        <v>994</v>
      </c>
      <c r="U73" t="s">
        <v>1034</v>
      </c>
      <c r="V73" t="s">
        <v>1062</v>
      </c>
      <c r="W73" t="s">
        <v>1187</v>
      </c>
      <c r="X73" t="s">
        <v>994</v>
      </c>
    </row>
    <row r="74" spans="1:24" x14ac:dyDescent="0.25">
      <c r="A74" t="s">
        <v>42</v>
      </c>
      <c r="B74" t="s">
        <v>1209</v>
      </c>
      <c r="C74" t="s">
        <v>274</v>
      </c>
      <c r="D74" t="s">
        <v>427</v>
      </c>
      <c r="E74" t="s">
        <v>1012</v>
      </c>
      <c r="F74">
        <v>0</v>
      </c>
      <c r="G74" t="s">
        <v>1126</v>
      </c>
      <c r="H74" t="s">
        <v>1201</v>
      </c>
      <c r="I74" t="s">
        <v>1202</v>
      </c>
      <c r="J74" t="s">
        <v>995</v>
      </c>
      <c r="K74" t="s">
        <v>994</v>
      </c>
      <c r="L74" t="s">
        <v>994</v>
      </c>
      <c r="M74" t="s">
        <v>994</v>
      </c>
      <c r="N74" t="s">
        <v>994</v>
      </c>
      <c r="O74" t="s">
        <v>994</v>
      </c>
      <c r="P74" t="s">
        <v>994</v>
      </c>
      <c r="Q74" t="b">
        <v>1</v>
      </c>
      <c r="R74" t="b">
        <v>0</v>
      </c>
      <c r="S74" t="s">
        <v>1033</v>
      </c>
      <c r="T74" t="s">
        <v>994</v>
      </c>
      <c r="U74" t="s">
        <v>1034</v>
      </c>
      <c r="V74" t="s">
        <v>1062</v>
      </c>
      <c r="W74" t="s">
        <v>1187</v>
      </c>
      <c r="X74" t="s">
        <v>994</v>
      </c>
    </row>
    <row r="75" spans="1:24" x14ac:dyDescent="0.25">
      <c r="A75" t="s">
        <v>42</v>
      </c>
      <c r="B75" t="s">
        <v>1210</v>
      </c>
      <c r="C75" t="s">
        <v>274</v>
      </c>
      <c r="D75" t="s">
        <v>427</v>
      </c>
      <c r="E75" t="s">
        <v>1014</v>
      </c>
      <c r="F75">
        <v>0</v>
      </c>
      <c r="G75" t="s">
        <v>1126</v>
      </c>
      <c r="H75" t="s">
        <v>1201</v>
      </c>
      <c r="I75" t="s">
        <v>1202</v>
      </c>
      <c r="J75" t="s">
        <v>995</v>
      </c>
      <c r="K75" t="s">
        <v>994</v>
      </c>
      <c r="L75" t="s">
        <v>994</v>
      </c>
      <c r="M75" t="s">
        <v>994</v>
      </c>
      <c r="N75" t="s">
        <v>994</v>
      </c>
      <c r="O75" t="s">
        <v>994</v>
      </c>
      <c r="P75" t="s">
        <v>994</v>
      </c>
      <c r="Q75" t="b">
        <v>1</v>
      </c>
      <c r="R75" t="b">
        <v>0</v>
      </c>
      <c r="S75" t="s">
        <v>1033</v>
      </c>
      <c r="T75" t="s">
        <v>994</v>
      </c>
      <c r="U75" t="s">
        <v>1034</v>
      </c>
      <c r="V75" t="s">
        <v>1062</v>
      </c>
      <c r="W75" t="s">
        <v>1187</v>
      </c>
      <c r="X75" t="s">
        <v>994</v>
      </c>
    </row>
    <row r="76" spans="1:24" x14ac:dyDescent="0.25">
      <c r="A76" t="s">
        <v>42</v>
      </c>
      <c r="B76" t="s">
        <v>1211</v>
      </c>
      <c r="C76" t="s">
        <v>274</v>
      </c>
      <c r="D76" t="s">
        <v>427</v>
      </c>
      <c r="E76" t="s">
        <v>1016</v>
      </c>
      <c r="F76">
        <v>0</v>
      </c>
      <c r="G76" t="s">
        <v>1126</v>
      </c>
      <c r="H76" t="s">
        <v>1201</v>
      </c>
      <c r="I76" t="s">
        <v>1202</v>
      </c>
      <c r="J76" t="s">
        <v>995</v>
      </c>
      <c r="K76" t="s">
        <v>994</v>
      </c>
      <c r="L76" t="s">
        <v>994</v>
      </c>
      <c r="M76" t="s">
        <v>994</v>
      </c>
      <c r="N76" t="s">
        <v>994</v>
      </c>
      <c r="O76" t="s">
        <v>994</v>
      </c>
      <c r="P76" t="s">
        <v>994</v>
      </c>
      <c r="Q76" t="b">
        <v>1</v>
      </c>
      <c r="R76" t="b">
        <v>0</v>
      </c>
      <c r="S76" t="s">
        <v>1033</v>
      </c>
      <c r="T76" t="s">
        <v>994</v>
      </c>
      <c r="U76" t="s">
        <v>1034</v>
      </c>
      <c r="V76" t="s">
        <v>1062</v>
      </c>
      <c r="W76" t="s">
        <v>1187</v>
      </c>
      <c r="X76" t="s">
        <v>994</v>
      </c>
    </row>
    <row r="77" spans="1:24" x14ac:dyDescent="0.25">
      <c r="A77" t="s">
        <v>42</v>
      </c>
      <c r="B77" t="s">
        <v>1212</v>
      </c>
      <c r="C77" t="s">
        <v>274</v>
      </c>
      <c r="D77" t="s">
        <v>427</v>
      </c>
      <c r="E77" t="s">
        <v>1018</v>
      </c>
      <c r="F77">
        <v>0</v>
      </c>
      <c r="G77" t="s">
        <v>1126</v>
      </c>
      <c r="H77" t="s">
        <v>1201</v>
      </c>
      <c r="I77" t="s">
        <v>1202</v>
      </c>
      <c r="J77" t="s">
        <v>995</v>
      </c>
      <c r="K77" t="s">
        <v>994</v>
      </c>
      <c r="L77" t="s">
        <v>994</v>
      </c>
      <c r="M77" t="s">
        <v>994</v>
      </c>
      <c r="N77" t="s">
        <v>994</v>
      </c>
      <c r="O77" t="s">
        <v>994</v>
      </c>
      <c r="P77" t="s">
        <v>994</v>
      </c>
      <c r="Q77" t="b">
        <v>1</v>
      </c>
      <c r="R77" t="b">
        <v>0</v>
      </c>
      <c r="S77" t="s">
        <v>1033</v>
      </c>
      <c r="T77" t="s">
        <v>994</v>
      </c>
      <c r="U77" t="s">
        <v>1034</v>
      </c>
      <c r="V77" t="s">
        <v>1062</v>
      </c>
      <c r="W77" t="s">
        <v>1187</v>
      </c>
      <c r="X77" t="s">
        <v>994</v>
      </c>
    </row>
    <row r="78" spans="1:24" x14ac:dyDescent="0.25">
      <c r="A78" t="s">
        <v>42</v>
      </c>
      <c r="B78" t="s">
        <v>1213</v>
      </c>
      <c r="C78" t="s">
        <v>274</v>
      </c>
      <c r="D78" t="s">
        <v>427</v>
      </c>
      <c r="E78" t="s">
        <v>1020</v>
      </c>
      <c r="F78">
        <v>0</v>
      </c>
      <c r="G78" t="s">
        <v>1126</v>
      </c>
      <c r="H78" t="s">
        <v>1201</v>
      </c>
      <c r="I78" t="s">
        <v>1202</v>
      </c>
      <c r="J78" t="s">
        <v>995</v>
      </c>
      <c r="K78" t="s">
        <v>994</v>
      </c>
      <c r="L78" t="s">
        <v>994</v>
      </c>
      <c r="M78" t="s">
        <v>994</v>
      </c>
      <c r="N78" t="s">
        <v>994</v>
      </c>
      <c r="O78" t="s">
        <v>994</v>
      </c>
      <c r="P78" t="s">
        <v>994</v>
      </c>
      <c r="Q78" t="b">
        <v>1</v>
      </c>
      <c r="R78" t="b">
        <v>0</v>
      </c>
      <c r="S78" t="s">
        <v>1033</v>
      </c>
      <c r="T78" t="s">
        <v>994</v>
      </c>
      <c r="U78" t="s">
        <v>1034</v>
      </c>
      <c r="V78" t="s">
        <v>1062</v>
      </c>
      <c r="W78" t="s">
        <v>1187</v>
      </c>
      <c r="X78" t="s">
        <v>994</v>
      </c>
    </row>
    <row r="79" spans="1:24" x14ac:dyDescent="0.25">
      <c r="A79" t="s">
        <v>42</v>
      </c>
      <c r="B79" t="s">
        <v>1214</v>
      </c>
      <c r="C79" t="s">
        <v>274</v>
      </c>
      <c r="D79" t="s">
        <v>427</v>
      </c>
      <c r="E79" t="s">
        <v>1022</v>
      </c>
      <c r="F79">
        <v>0</v>
      </c>
      <c r="G79" t="s">
        <v>1126</v>
      </c>
      <c r="H79" t="s">
        <v>1201</v>
      </c>
      <c r="I79" t="s">
        <v>1202</v>
      </c>
      <c r="J79" t="s">
        <v>995</v>
      </c>
      <c r="K79" t="s">
        <v>994</v>
      </c>
      <c r="L79" t="s">
        <v>994</v>
      </c>
      <c r="M79" t="s">
        <v>994</v>
      </c>
      <c r="N79" t="s">
        <v>994</v>
      </c>
      <c r="O79" t="s">
        <v>994</v>
      </c>
      <c r="P79" t="s">
        <v>994</v>
      </c>
      <c r="Q79" t="b">
        <v>1</v>
      </c>
      <c r="R79" t="b">
        <v>0</v>
      </c>
      <c r="S79" t="s">
        <v>1033</v>
      </c>
      <c r="T79" t="s">
        <v>994</v>
      </c>
      <c r="U79" t="s">
        <v>1034</v>
      </c>
      <c r="V79" t="s">
        <v>1062</v>
      </c>
      <c r="W79" t="s">
        <v>1187</v>
      </c>
      <c r="X79" t="s">
        <v>994</v>
      </c>
    </row>
    <row r="80" spans="1:24" x14ac:dyDescent="0.25">
      <c r="A80" t="s">
        <v>42</v>
      </c>
      <c r="B80" t="s">
        <v>1215</v>
      </c>
      <c r="C80" t="s">
        <v>276</v>
      </c>
      <c r="D80" t="s">
        <v>427</v>
      </c>
      <c r="E80" t="s">
        <v>992</v>
      </c>
      <c r="F80">
        <v>797</v>
      </c>
      <c r="G80" t="s">
        <v>1126</v>
      </c>
      <c r="H80" t="s">
        <v>1216</v>
      </c>
      <c r="I80" t="s">
        <v>1217</v>
      </c>
      <c r="J80" t="s">
        <v>995</v>
      </c>
      <c r="K80" t="s">
        <v>1027</v>
      </c>
      <c r="L80" t="s">
        <v>1028</v>
      </c>
      <c r="M80" t="s">
        <v>1029</v>
      </c>
      <c r="N80" t="s">
        <v>1030</v>
      </c>
      <c r="O80" t="s">
        <v>1031</v>
      </c>
      <c r="P80" t="s">
        <v>1032</v>
      </c>
      <c r="Q80" t="b">
        <v>1</v>
      </c>
      <c r="R80" t="b">
        <v>0</v>
      </c>
      <c r="S80" t="s">
        <v>1033</v>
      </c>
      <c r="T80" t="s">
        <v>994</v>
      </c>
      <c r="U80" t="s">
        <v>1034</v>
      </c>
      <c r="V80" t="s">
        <v>1062</v>
      </c>
      <c r="W80" t="s">
        <v>1035</v>
      </c>
      <c r="X80" t="s">
        <v>1218</v>
      </c>
    </row>
    <row r="81" spans="1:24" x14ac:dyDescent="0.25">
      <c r="A81" t="s">
        <v>42</v>
      </c>
      <c r="B81" t="s">
        <v>1219</v>
      </c>
      <c r="C81" t="s">
        <v>276</v>
      </c>
      <c r="D81" t="s">
        <v>427</v>
      </c>
      <c r="E81" t="s">
        <v>1000</v>
      </c>
      <c r="F81">
        <v>892</v>
      </c>
      <c r="G81" t="s">
        <v>1126</v>
      </c>
      <c r="H81" t="s">
        <v>1220</v>
      </c>
      <c r="I81" t="s">
        <v>1217</v>
      </c>
      <c r="J81" t="s">
        <v>995</v>
      </c>
      <c r="K81" t="s">
        <v>1039</v>
      </c>
      <c r="L81" t="s">
        <v>1040</v>
      </c>
      <c r="M81" t="s">
        <v>1029</v>
      </c>
      <c r="N81" t="s">
        <v>1041</v>
      </c>
      <c r="O81" t="s">
        <v>1042</v>
      </c>
      <c r="P81" t="s">
        <v>1043</v>
      </c>
      <c r="Q81" t="b">
        <v>1</v>
      </c>
      <c r="R81" t="b">
        <v>0</v>
      </c>
      <c r="S81" t="s">
        <v>1033</v>
      </c>
      <c r="T81" t="s">
        <v>994</v>
      </c>
      <c r="U81" t="s">
        <v>1034</v>
      </c>
      <c r="V81" t="s">
        <v>1062</v>
      </c>
      <c r="W81" t="s">
        <v>1035</v>
      </c>
      <c r="X81" t="s">
        <v>1218</v>
      </c>
    </row>
    <row r="82" spans="1:24" x14ac:dyDescent="0.25">
      <c r="A82" t="s">
        <v>42</v>
      </c>
      <c r="B82" t="s">
        <v>1221</v>
      </c>
      <c r="C82" t="s">
        <v>276</v>
      </c>
      <c r="D82" t="s">
        <v>427</v>
      </c>
      <c r="E82" t="s">
        <v>1002</v>
      </c>
      <c r="F82">
        <v>1066</v>
      </c>
      <c r="G82" t="s">
        <v>1126</v>
      </c>
      <c r="H82" t="s">
        <v>1222</v>
      </c>
      <c r="I82" t="s">
        <v>1217</v>
      </c>
      <c r="J82" t="s">
        <v>995</v>
      </c>
      <c r="K82" t="s">
        <v>1046</v>
      </c>
      <c r="L82" t="s">
        <v>1047</v>
      </c>
      <c r="M82" t="s">
        <v>1029</v>
      </c>
      <c r="N82" t="s">
        <v>1048</v>
      </c>
      <c r="O82" t="s">
        <v>1049</v>
      </c>
      <c r="P82" t="s">
        <v>1050</v>
      </c>
      <c r="Q82" t="b">
        <v>1</v>
      </c>
      <c r="R82" t="b">
        <v>0</v>
      </c>
      <c r="S82" t="s">
        <v>1033</v>
      </c>
      <c r="T82" t="s">
        <v>994</v>
      </c>
      <c r="U82" t="s">
        <v>1034</v>
      </c>
      <c r="V82" t="s">
        <v>1062</v>
      </c>
      <c r="W82" t="s">
        <v>1035</v>
      </c>
      <c r="X82" t="s">
        <v>1218</v>
      </c>
    </row>
    <row r="83" spans="1:24" x14ac:dyDescent="0.25">
      <c r="A83" t="s">
        <v>42</v>
      </c>
      <c r="B83" t="s">
        <v>1223</v>
      </c>
      <c r="C83" t="s">
        <v>276</v>
      </c>
      <c r="D83" t="s">
        <v>427</v>
      </c>
      <c r="E83" t="s">
        <v>1004</v>
      </c>
      <c r="F83">
        <v>1110</v>
      </c>
      <c r="G83" t="s">
        <v>1126</v>
      </c>
      <c r="H83" t="s">
        <v>1224</v>
      </c>
      <c r="I83" t="s">
        <v>1225</v>
      </c>
      <c r="J83" t="s">
        <v>995</v>
      </c>
      <c r="K83" t="s">
        <v>1055</v>
      </c>
      <c r="L83" t="s">
        <v>1056</v>
      </c>
      <c r="M83" t="s">
        <v>1057</v>
      </c>
      <c r="N83" t="s">
        <v>1058</v>
      </c>
      <c r="O83" t="s">
        <v>1031</v>
      </c>
      <c r="P83" t="s">
        <v>1059</v>
      </c>
      <c r="Q83" t="b">
        <v>1</v>
      </c>
      <c r="R83" t="b">
        <v>0</v>
      </c>
      <c r="S83" t="s">
        <v>1033</v>
      </c>
      <c r="T83" t="s">
        <v>994</v>
      </c>
      <c r="U83" t="s">
        <v>1034</v>
      </c>
      <c r="V83" t="s">
        <v>1062</v>
      </c>
      <c r="W83" t="s">
        <v>1035</v>
      </c>
      <c r="X83" t="s">
        <v>994</v>
      </c>
    </row>
    <row r="84" spans="1:24" x14ac:dyDescent="0.25">
      <c r="A84" t="s">
        <v>42</v>
      </c>
      <c r="B84" t="s">
        <v>1226</v>
      </c>
      <c r="C84" t="s">
        <v>276</v>
      </c>
      <c r="D84" t="s">
        <v>427</v>
      </c>
      <c r="E84" t="s">
        <v>1006</v>
      </c>
      <c r="F84">
        <v>1061</v>
      </c>
      <c r="G84" t="s">
        <v>1126</v>
      </c>
      <c r="H84" t="s">
        <v>1227</v>
      </c>
      <c r="I84" t="s">
        <v>1217</v>
      </c>
      <c r="J84" t="s">
        <v>995</v>
      </c>
      <c r="K84" t="s">
        <v>1065</v>
      </c>
      <c r="L84" t="s">
        <v>1066</v>
      </c>
      <c r="M84" t="s">
        <v>1029</v>
      </c>
      <c r="N84" t="s">
        <v>1067</v>
      </c>
      <c r="O84" t="s">
        <v>1068</v>
      </c>
      <c r="P84" t="s">
        <v>1069</v>
      </c>
      <c r="Q84" t="b">
        <v>1</v>
      </c>
      <c r="R84" t="b">
        <v>0</v>
      </c>
      <c r="S84" t="s">
        <v>1033</v>
      </c>
      <c r="T84" t="s">
        <v>994</v>
      </c>
      <c r="U84" t="s">
        <v>1034</v>
      </c>
      <c r="V84" t="s">
        <v>1062</v>
      </c>
      <c r="W84" t="s">
        <v>1035</v>
      </c>
      <c r="X84" t="s">
        <v>1218</v>
      </c>
    </row>
    <row r="85" spans="1:24" x14ac:dyDescent="0.25">
      <c r="A85" t="s">
        <v>42</v>
      </c>
      <c r="B85" t="s">
        <v>1228</v>
      </c>
      <c r="C85" t="s">
        <v>276</v>
      </c>
      <c r="D85" t="s">
        <v>427</v>
      </c>
      <c r="E85" t="s">
        <v>1008</v>
      </c>
      <c r="F85">
        <v>1090</v>
      </c>
      <c r="G85" t="s">
        <v>1126</v>
      </c>
      <c r="H85" t="s">
        <v>1229</v>
      </c>
      <c r="I85" t="s">
        <v>1217</v>
      </c>
      <c r="J85" t="s">
        <v>995</v>
      </c>
      <c r="K85" t="s">
        <v>1072</v>
      </c>
      <c r="L85" t="s">
        <v>1073</v>
      </c>
      <c r="M85" t="s">
        <v>1029</v>
      </c>
      <c r="N85" t="s">
        <v>1074</v>
      </c>
      <c r="O85" t="s">
        <v>1075</v>
      </c>
      <c r="P85" t="s">
        <v>1076</v>
      </c>
      <c r="Q85" t="b">
        <v>1</v>
      </c>
      <c r="R85" t="b">
        <v>0</v>
      </c>
      <c r="S85" t="s">
        <v>1033</v>
      </c>
      <c r="T85" t="s">
        <v>994</v>
      </c>
      <c r="U85" t="s">
        <v>1034</v>
      </c>
      <c r="V85" t="s">
        <v>1062</v>
      </c>
      <c r="W85" t="s">
        <v>1035</v>
      </c>
      <c r="X85" t="s">
        <v>1218</v>
      </c>
    </row>
    <row r="86" spans="1:24" x14ac:dyDescent="0.25">
      <c r="A86" t="s">
        <v>42</v>
      </c>
      <c r="B86" t="s">
        <v>1230</v>
      </c>
      <c r="C86" t="s">
        <v>276</v>
      </c>
      <c r="D86" t="s">
        <v>427</v>
      </c>
      <c r="E86" t="s">
        <v>1010</v>
      </c>
      <c r="F86">
        <v>1243</v>
      </c>
      <c r="G86" t="s">
        <v>1126</v>
      </c>
      <c r="H86" t="s">
        <v>1231</v>
      </c>
      <c r="I86" t="s">
        <v>1217</v>
      </c>
      <c r="J86" t="s">
        <v>995</v>
      </c>
      <c r="K86" t="s">
        <v>1079</v>
      </c>
      <c r="L86" t="s">
        <v>1080</v>
      </c>
      <c r="M86" t="s">
        <v>1029</v>
      </c>
      <c r="N86" t="s">
        <v>1081</v>
      </c>
      <c r="O86" t="s">
        <v>1082</v>
      </c>
      <c r="P86" t="s">
        <v>1083</v>
      </c>
      <c r="Q86" t="b">
        <v>1</v>
      </c>
      <c r="R86" t="b">
        <v>0</v>
      </c>
      <c r="S86" t="s">
        <v>1033</v>
      </c>
      <c r="T86" t="s">
        <v>994</v>
      </c>
      <c r="U86" t="s">
        <v>1034</v>
      </c>
      <c r="V86" t="s">
        <v>1062</v>
      </c>
      <c r="W86" t="s">
        <v>1035</v>
      </c>
      <c r="X86" t="s">
        <v>1218</v>
      </c>
    </row>
    <row r="87" spans="1:24" x14ac:dyDescent="0.25">
      <c r="A87" t="s">
        <v>42</v>
      </c>
      <c r="B87" t="s">
        <v>1232</v>
      </c>
      <c r="C87" t="s">
        <v>276</v>
      </c>
      <c r="D87" t="s">
        <v>427</v>
      </c>
      <c r="E87" t="s">
        <v>1012</v>
      </c>
      <c r="F87">
        <v>1088</v>
      </c>
      <c r="G87" t="s">
        <v>1126</v>
      </c>
      <c r="H87" t="s">
        <v>1233</v>
      </c>
      <c r="I87" t="s">
        <v>1225</v>
      </c>
      <c r="J87" t="s">
        <v>995</v>
      </c>
      <c r="K87" t="s">
        <v>1086</v>
      </c>
      <c r="L87" t="s">
        <v>1087</v>
      </c>
      <c r="M87" t="s">
        <v>1057</v>
      </c>
      <c r="N87" t="s">
        <v>1088</v>
      </c>
      <c r="O87" t="s">
        <v>1068</v>
      </c>
      <c r="P87" t="s">
        <v>1089</v>
      </c>
      <c r="Q87" t="b">
        <v>1</v>
      </c>
      <c r="R87" t="b">
        <v>0</v>
      </c>
      <c r="S87" t="s">
        <v>1033</v>
      </c>
      <c r="T87" t="s">
        <v>994</v>
      </c>
      <c r="U87" t="s">
        <v>1034</v>
      </c>
      <c r="V87" t="s">
        <v>1062</v>
      </c>
      <c r="W87" t="s">
        <v>1035</v>
      </c>
      <c r="X87" t="s">
        <v>994</v>
      </c>
    </row>
    <row r="88" spans="1:24" x14ac:dyDescent="0.25">
      <c r="A88" t="s">
        <v>42</v>
      </c>
      <c r="B88" t="s">
        <v>1234</v>
      </c>
      <c r="C88" t="s">
        <v>276</v>
      </c>
      <c r="D88" t="s">
        <v>427</v>
      </c>
      <c r="E88" t="s">
        <v>1014</v>
      </c>
      <c r="F88">
        <v>1001</v>
      </c>
      <c r="G88" t="s">
        <v>1126</v>
      </c>
      <c r="H88" t="s">
        <v>1235</v>
      </c>
      <c r="I88" t="s">
        <v>1217</v>
      </c>
      <c r="J88" t="s">
        <v>995</v>
      </c>
      <c r="K88" t="s">
        <v>1092</v>
      </c>
      <c r="L88" t="s">
        <v>1093</v>
      </c>
      <c r="M88" t="s">
        <v>1029</v>
      </c>
      <c r="N88" t="s">
        <v>1094</v>
      </c>
      <c r="O88" t="s">
        <v>1095</v>
      </c>
      <c r="P88" t="s">
        <v>1096</v>
      </c>
      <c r="Q88" t="b">
        <v>1</v>
      </c>
      <c r="R88" t="b">
        <v>0</v>
      </c>
      <c r="S88" t="s">
        <v>1033</v>
      </c>
      <c r="T88" t="s">
        <v>994</v>
      </c>
      <c r="U88" t="s">
        <v>1034</v>
      </c>
      <c r="V88" t="s">
        <v>1062</v>
      </c>
      <c r="W88" t="s">
        <v>1035</v>
      </c>
      <c r="X88" t="s">
        <v>1218</v>
      </c>
    </row>
    <row r="89" spans="1:24" x14ac:dyDescent="0.25">
      <c r="A89" t="s">
        <v>42</v>
      </c>
      <c r="B89" t="s">
        <v>1236</v>
      </c>
      <c r="C89" t="s">
        <v>276</v>
      </c>
      <c r="D89" t="s">
        <v>427</v>
      </c>
      <c r="E89" t="s">
        <v>1016</v>
      </c>
      <c r="F89">
        <v>1050</v>
      </c>
      <c r="G89" t="s">
        <v>1126</v>
      </c>
      <c r="H89" t="s">
        <v>1237</v>
      </c>
      <c r="I89" t="s">
        <v>1217</v>
      </c>
      <c r="J89" t="s">
        <v>995</v>
      </c>
      <c r="K89" t="s">
        <v>1100</v>
      </c>
      <c r="L89" t="s">
        <v>1101</v>
      </c>
      <c r="M89" t="s">
        <v>1029</v>
      </c>
      <c r="N89" t="s">
        <v>1102</v>
      </c>
      <c r="O89" t="s">
        <v>1103</v>
      </c>
      <c r="P89" t="s">
        <v>1104</v>
      </c>
      <c r="Q89" t="b">
        <v>1</v>
      </c>
      <c r="R89" t="b">
        <v>0</v>
      </c>
      <c r="S89" t="s">
        <v>1033</v>
      </c>
      <c r="T89" t="s">
        <v>994</v>
      </c>
      <c r="U89" t="s">
        <v>1034</v>
      </c>
      <c r="V89" t="s">
        <v>1062</v>
      </c>
      <c r="W89" t="s">
        <v>1035</v>
      </c>
      <c r="X89" t="s">
        <v>1218</v>
      </c>
    </row>
    <row r="90" spans="1:24" x14ac:dyDescent="0.25">
      <c r="A90" t="s">
        <v>42</v>
      </c>
      <c r="B90" t="s">
        <v>1238</v>
      </c>
      <c r="C90" t="s">
        <v>276</v>
      </c>
      <c r="D90" t="s">
        <v>427</v>
      </c>
      <c r="E90" t="s">
        <v>1018</v>
      </c>
      <c r="F90">
        <v>1076</v>
      </c>
      <c r="G90" t="s">
        <v>1126</v>
      </c>
      <c r="H90" t="s">
        <v>1239</v>
      </c>
      <c r="I90" t="s">
        <v>1217</v>
      </c>
      <c r="J90" t="s">
        <v>995</v>
      </c>
      <c r="K90" t="s">
        <v>1107</v>
      </c>
      <c r="L90" t="s">
        <v>1108</v>
      </c>
      <c r="M90" t="s">
        <v>1029</v>
      </c>
      <c r="N90" t="s">
        <v>1109</v>
      </c>
      <c r="O90" t="s">
        <v>1110</v>
      </c>
      <c r="P90" t="s">
        <v>1111</v>
      </c>
      <c r="Q90" t="b">
        <v>1</v>
      </c>
      <c r="R90" t="b">
        <v>0</v>
      </c>
      <c r="S90" t="s">
        <v>1033</v>
      </c>
      <c r="T90" t="s">
        <v>994</v>
      </c>
      <c r="U90" t="s">
        <v>1034</v>
      </c>
      <c r="V90" t="s">
        <v>1062</v>
      </c>
      <c r="W90" t="s">
        <v>1035</v>
      </c>
      <c r="X90" t="s">
        <v>1218</v>
      </c>
    </row>
    <row r="91" spans="1:24" x14ac:dyDescent="0.25">
      <c r="A91" t="s">
        <v>42</v>
      </c>
      <c r="B91" t="s">
        <v>1240</v>
      </c>
      <c r="C91" t="s">
        <v>276</v>
      </c>
      <c r="D91" t="s">
        <v>427</v>
      </c>
      <c r="E91" t="s">
        <v>1020</v>
      </c>
      <c r="F91">
        <v>1209</v>
      </c>
      <c r="G91" t="s">
        <v>1126</v>
      </c>
      <c r="H91" t="s">
        <v>1241</v>
      </c>
      <c r="I91" t="s">
        <v>1225</v>
      </c>
      <c r="J91" t="s">
        <v>995</v>
      </c>
      <c r="K91" t="s">
        <v>1114</v>
      </c>
      <c r="L91" t="s">
        <v>1115</v>
      </c>
      <c r="M91" t="s">
        <v>1057</v>
      </c>
      <c r="N91" t="s">
        <v>1116</v>
      </c>
      <c r="O91" t="s">
        <v>1095</v>
      </c>
      <c r="P91" t="s">
        <v>1117</v>
      </c>
      <c r="Q91" t="b">
        <v>1</v>
      </c>
      <c r="R91" t="b">
        <v>0</v>
      </c>
      <c r="S91" t="s">
        <v>1033</v>
      </c>
      <c r="T91" t="s">
        <v>994</v>
      </c>
      <c r="U91" t="s">
        <v>1034</v>
      </c>
      <c r="V91" t="s">
        <v>1062</v>
      </c>
      <c r="W91" t="s">
        <v>1035</v>
      </c>
      <c r="X91" t="s">
        <v>994</v>
      </c>
    </row>
    <row r="92" spans="1:24" x14ac:dyDescent="0.25">
      <c r="A92" t="s">
        <v>42</v>
      </c>
      <c r="B92" t="s">
        <v>1242</v>
      </c>
      <c r="C92" t="s">
        <v>276</v>
      </c>
      <c r="D92" t="s">
        <v>427</v>
      </c>
      <c r="E92" t="s">
        <v>1022</v>
      </c>
      <c r="F92">
        <v>1381</v>
      </c>
      <c r="G92" t="s">
        <v>1126</v>
      </c>
      <c r="H92" t="s">
        <v>1243</v>
      </c>
      <c r="I92" t="s">
        <v>1217</v>
      </c>
      <c r="J92" t="s">
        <v>995</v>
      </c>
      <c r="K92" t="s">
        <v>1120</v>
      </c>
      <c r="L92" t="s">
        <v>1121</v>
      </c>
      <c r="M92" t="s">
        <v>1029</v>
      </c>
      <c r="N92" t="s">
        <v>1122</v>
      </c>
      <c r="O92" t="s">
        <v>1123</v>
      </c>
      <c r="P92" t="s">
        <v>1124</v>
      </c>
      <c r="Q92" t="b">
        <v>1</v>
      </c>
      <c r="R92" t="b">
        <v>0</v>
      </c>
      <c r="S92" t="s">
        <v>1033</v>
      </c>
      <c r="T92" t="s">
        <v>994</v>
      </c>
      <c r="U92" t="s">
        <v>1034</v>
      </c>
      <c r="V92" t="s">
        <v>1062</v>
      </c>
      <c r="W92" t="s">
        <v>1035</v>
      </c>
      <c r="X92" t="s">
        <v>1218</v>
      </c>
    </row>
    <row r="93" spans="1:24" x14ac:dyDescent="0.25">
      <c r="A93" t="s">
        <v>42</v>
      </c>
      <c r="B93" t="s">
        <v>1244</v>
      </c>
      <c r="C93" t="s">
        <v>277</v>
      </c>
      <c r="D93" t="s">
        <v>427</v>
      </c>
      <c r="E93" t="s">
        <v>992</v>
      </c>
      <c r="F93">
        <v>-80</v>
      </c>
      <c r="G93" t="s">
        <v>1024</v>
      </c>
      <c r="H93" t="s">
        <v>1245</v>
      </c>
      <c r="I93" t="s">
        <v>120</v>
      </c>
      <c r="J93" t="s">
        <v>995</v>
      </c>
      <c r="K93" t="s">
        <v>1027</v>
      </c>
      <c r="L93" t="s">
        <v>1028</v>
      </c>
      <c r="M93" t="s">
        <v>1029</v>
      </c>
      <c r="N93" t="s">
        <v>1030</v>
      </c>
      <c r="O93" t="s">
        <v>1031</v>
      </c>
      <c r="P93" t="s">
        <v>1032</v>
      </c>
      <c r="Q93" t="b">
        <v>1</v>
      </c>
      <c r="R93" t="b">
        <v>0</v>
      </c>
      <c r="S93" t="s">
        <v>1033</v>
      </c>
      <c r="T93" t="s">
        <v>994</v>
      </c>
      <c r="U93" t="s">
        <v>1034</v>
      </c>
      <c r="V93" t="s">
        <v>997</v>
      </c>
      <c r="W93" t="s">
        <v>1035</v>
      </c>
      <c r="X93" t="s">
        <v>1246</v>
      </c>
    </row>
    <row r="94" spans="1:24" x14ac:dyDescent="0.25">
      <c r="A94" t="s">
        <v>42</v>
      </c>
      <c r="B94" t="s">
        <v>1247</v>
      </c>
      <c r="C94" t="s">
        <v>277</v>
      </c>
      <c r="D94" t="s">
        <v>427</v>
      </c>
      <c r="E94" t="s">
        <v>1000</v>
      </c>
      <c r="F94">
        <v>-43</v>
      </c>
      <c r="G94" t="s">
        <v>1024</v>
      </c>
      <c r="H94" t="s">
        <v>1248</v>
      </c>
      <c r="I94" t="s">
        <v>120</v>
      </c>
      <c r="J94" t="s">
        <v>995</v>
      </c>
      <c r="K94" t="s">
        <v>1039</v>
      </c>
      <c r="L94" t="s">
        <v>1040</v>
      </c>
      <c r="M94" t="s">
        <v>1029</v>
      </c>
      <c r="N94" t="s">
        <v>1041</v>
      </c>
      <c r="O94" t="s">
        <v>1042</v>
      </c>
      <c r="P94" t="s">
        <v>1043</v>
      </c>
      <c r="Q94" t="b">
        <v>1</v>
      </c>
      <c r="R94" t="b">
        <v>0</v>
      </c>
      <c r="S94" t="s">
        <v>1033</v>
      </c>
      <c r="T94" t="s">
        <v>994</v>
      </c>
      <c r="U94" t="s">
        <v>1034</v>
      </c>
      <c r="V94" t="s">
        <v>997</v>
      </c>
      <c r="W94" t="s">
        <v>1035</v>
      </c>
      <c r="X94" t="s">
        <v>1246</v>
      </c>
    </row>
    <row r="95" spans="1:24" x14ac:dyDescent="0.25">
      <c r="A95" t="s">
        <v>42</v>
      </c>
      <c r="B95" t="s">
        <v>1249</v>
      </c>
      <c r="C95" t="s">
        <v>277</v>
      </c>
      <c r="D95" t="s">
        <v>427</v>
      </c>
      <c r="E95" t="s">
        <v>1002</v>
      </c>
      <c r="F95">
        <v>-116</v>
      </c>
      <c r="G95" t="s">
        <v>1024</v>
      </c>
      <c r="H95" t="s">
        <v>1250</v>
      </c>
      <c r="I95" t="s">
        <v>120</v>
      </c>
      <c r="J95" t="s">
        <v>995</v>
      </c>
      <c r="K95" t="s">
        <v>1046</v>
      </c>
      <c r="L95" t="s">
        <v>1047</v>
      </c>
      <c r="M95" t="s">
        <v>1029</v>
      </c>
      <c r="N95" t="s">
        <v>1048</v>
      </c>
      <c r="O95" t="s">
        <v>1049</v>
      </c>
      <c r="P95" t="s">
        <v>1050</v>
      </c>
      <c r="Q95" t="b">
        <v>1</v>
      </c>
      <c r="R95" t="b">
        <v>0</v>
      </c>
      <c r="S95" t="s">
        <v>1033</v>
      </c>
      <c r="T95" t="s">
        <v>994</v>
      </c>
      <c r="U95" t="s">
        <v>1034</v>
      </c>
      <c r="V95" t="s">
        <v>997</v>
      </c>
      <c r="W95" t="s">
        <v>1035</v>
      </c>
      <c r="X95" t="s">
        <v>1246</v>
      </c>
    </row>
    <row r="96" spans="1:24" x14ac:dyDescent="0.25">
      <c r="A96" t="s">
        <v>42</v>
      </c>
      <c r="B96" t="s">
        <v>1251</v>
      </c>
      <c r="C96" t="s">
        <v>277</v>
      </c>
      <c r="D96" t="s">
        <v>427</v>
      </c>
      <c r="E96" t="s">
        <v>1004</v>
      </c>
      <c r="F96">
        <v>-69</v>
      </c>
      <c r="G96" t="s">
        <v>1052</v>
      </c>
      <c r="H96" t="s">
        <v>1252</v>
      </c>
      <c r="I96" t="s">
        <v>1253</v>
      </c>
      <c r="J96" t="s">
        <v>995</v>
      </c>
      <c r="K96" t="s">
        <v>1055</v>
      </c>
      <c r="L96" t="s">
        <v>1056</v>
      </c>
      <c r="M96" t="s">
        <v>1057</v>
      </c>
      <c r="N96" t="s">
        <v>1058</v>
      </c>
      <c r="O96" t="s">
        <v>1031</v>
      </c>
      <c r="P96" t="s">
        <v>1059</v>
      </c>
      <c r="Q96" t="b">
        <v>1</v>
      </c>
      <c r="R96" t="b">
        <v>1</v>
      </c>
      <c r="S96" t="s">
        <v>1060</v>
      </c>
      <c r="T96" t="s">
        <v>994</v>
      </c>
      <c r="U96" t="s">
        <v>1061</v>
      </c>
      <c r="V96" t="s">
        <v>1062</v>
      </c>
      <c r="W96" t="s">
        <v>1035</v>
      </c>
      <c r="X96" t="s">
        <v>994</v>
      </c>
    </row>
    <row r="97" spans="1:24" x14ac:dyDescent="0.25">
      <c r="A97" t="s">
        <v>42</v>
      </c>
      <c r="B97" t="s">
        <v>1254</v>
      </c>
      <c r="C97" t="s">
        <v>277</v>
      </c>
      <c r="D97" t="s">
        <v>427</v>
      </c>
      <c r="E97" t="s">
        <v>1006</v>
      </c>
      <c r="F97">
        <v>-94</v>
      </c>
      <c r="G97" t="s">
        <v>1024</v>
      </c>
      <c r="H97" t="s">
        <v>1255</v>
      </c>
      <c r="I97" t="s">
        <v>120</v>
      </c>
      <c r="J97" t="s">
        <v>995</v>
      </c>
      <c r="K97" t="s">
        <v>1065</v>
      </c>
      <c r="L97" t="s">
        <v>1066</v>
      </c>
      <c r="M97" t="s">
        <v>1029</v>
      </c>
      <c r="N97" t="s">
        <v>1067</v>
      </c>
      <c r="O97" t="s">
        <v>1068</v>
      </c>
      <c r="P97" t="s">
        <v>1069</v>
      </c>
      <c r="Q97" t="b">
        <v>1</v>
      </c>
      <c r="R97" t="b">
        <v>0</v>
      </c>
      <c r="S97" t="s">
        <v>1033</v>
      </c>
      <c r="T97" t="s">
        <v>994</v>
      </c>
      <c r="U97" t="s">
        <v>1034</v>
      </c>
      <c r="V97" t="s">
        <v>997</v>
      </c>
      <c r="W97" t="s">
        <v>1035</v>
      </c>
      <c r="X97" t="s">
        <v>1246</v>
      </c>
    </row>
    <row r="98" spans="1:24" x14ac:dyDescent="0.25">
      <c r="A98" t="s">
        <v>42</v>
      </c>
      <c r="B98" t="s">
        <v>1256</v>
      </c>
      <c r="C98" t="s">
        <v>277</v>
      </c>
      <c r="D98" t="s">
        <v>427</v>
      </c>
      <c r="E98" t="s">
        <v>1008</v>
      </c>
      <c r="F98">
        <v>-7</v>
      </c>
      <c r="G98" t="s">
        <v>1024</v>
      </c>
      <c r="H98" t="s">
        <v>1257</v>
      </c>
      <c r="I98" t="s">
        <v>1258</v>
      </c>
      <c r="J98" t="s">
        <v>995</v>
      </c>
      <c r="K98" t="s">
        <v>1100</v>
      </c>
      <c r="L98" t="s">
        <v>1101</v>
      </c>
      <c r="M98" t="s">
        <v>1029</v>
      </c>
      <c r="N98" t="s">
        <v>1102</v>
      </c>
      <c r="O98" t="s">
        <v>1075</v>
      </c>
      <c r="P98" t="s">
        <v>1076</v>
      </c>
      <c r="Q98" t="b">
        <v>1</v>
      </c>
      <c r="R98" t="b">
        <v>0</v>
      </c>
      <c r="S98" t="s">
        <v>1033</v>
      </c>
      <c r="T98" t="s">
        <v>994</v>
      </c>
      <c r="U98" t="s">
        <v>1034</v>
      </c>
      <c r="V98" t="s">
        <v>997</v>
      </c>
      <c r="W98" t="s">
        <v>1035</v>
      </c>
      <c r="X98" t="s">
        <v>1259</v>
      </c>
    </row>
    <row r="99" spans="1:24" x14ac:dyDescent="0.25">
      <c r="A99" t="s">
        <v>42</v>
      </c>
      <c r="B99" t="s">
        <v>1260</v>
      </c>
      <c r="C99" t="s">
        <v>277</v>
      </c>
      <c r="D99" t="s">
        <v>427</v>
      </c>
      <c r="E99" t="s">
        <v>1010</v>
      </c>
      <c r="F99">
        <v>-8</v>
      </c>
      <c r="G99" t="s">
        <v>1024</v>
      </c>
      <c r="H99" t="s">
        <v>1261</v>
      </c>
      <c r="I99" t="s">
        <v>1258</v>
      </c>
      <c r="J99" t="s">
        <v>995</v>
      </c>
      <c r="K99" t="s">
        <v>1107</v>
      </c>
      <c r="L99" t="s">
        <v>1108</v>
      </c>
      <c r="M99" t="s">
        <v>1029</v>
      </c>
      <c r="N99" t="s">
        <v>1109</v>
      </c>
      <c r="O99" t="s">
        <v>1082</v>
      </c>
      <c r="P99" t="s">
        <v>1083</v>
      </c>
      <c r="Q99" t="b">
        <v>1</v>
      </c>
      <c r="R99" t="b">
        <v>0</v>
      </c>
      <c r="S99" t="s">
        <v>1033</v>
      </c>
      <c r="T99" t="s">
        <v>994</v>
      </c>
      <c r="U99" t="s">
        <v>1034</v>
      </c>
      <c r="V99" t="s">
        <v>997</v>
      </c>
      <c r="W99" t="s">
        <v>1035</v>
      </c>
      <c r="X99" t="s">
        <v>1259</v>
      </c>
    </row>
    <row r="100" spans="1:24" x14ac:dyDescent="0.25">
      <c r="A100" t="s">
        <v>42</v>
      </c>
      <c r="B100" t="s">
        <v>1262</v>
      </c>
      <c r="C100" t="s">
        <v>277</v>
      </c>
      <c r="D100" t="s">
        <v>427</v>
      </c>
      <c r="E100" t="s">
        <v>1012</v>
      </c>
      <c r="F100">
        <v>-9</v>
      </c>
      <c r="G100" t="s">
        <v>1024</v>
      </c>
      <c r="H100" t="s">
        <v>1263</v>
      </c>
      <c r="I100" t="s">
        <v>1264</v>
      </c>
      <c r="J100" t="s">
        <v>995</v>
      </c>
      <c r="K100" t="s">
        <v>1086</v>
      </c>
      <c r="L100" t="s">
        <v>1087</v>
      </c>
      <c r="M100" t="s">
        <v>1057</v>
      </c>
      <c r="N100" t="s">
        <v>1088</v>
      </c>
      <c r="O100" t="s">
        <v>1068</v>
      </c>
      <c r="P100" t="s">
        <v>1089</v>
      </c>
      <c r="Q100" t="b">
        <v>1</v>
      </c>
      <c r="R100" t="b">
        <v>0</v>
      </c>
      <c r="S100" t="s">
        <v>1033</v>
      </c>
      <c r="T100" t="s">
        <v>994</v>
      </c>
      <c r="U100" t="s">
        <v>1034</v>
      </c>
      <c r="V100" t="s">
        <v>1062</v>
      </c>
      <c r="W100" t="s">
        <v>1035</v>
      </c>
      <c r="X100" t="s">
        <v>994</v>
      </c>
    </row>
    <row r="101" spans="1:24" x14ac:dyDescent="0.25">
      <c r="A101" t="s">
        <v>42</v>
      </c>
      <c r="B101" t="s">
        <v>1265</v>
      </c>
      <c r="C101" t="s">
        <v>277</v>
      </c>
      <c r="D101" t="s">
        <v>427</v>
      </c>
      <c r="E101" t="s">
        <v>1014</v>
      </c>
      <c r="F101">
        <v>-15</v>
      </c>
      <c r="G101" t="s">
        <v>1024</v>
      </c>
      <c r="H101" t="s">
        <v>1266</v>
      </c>
      <c r="I101" t="s">
        <v>1258</v>
      </c>
      <c r="J101" t="s">
        <v>995</v>
      </c>
      <c r="K101" t="s">
        <v>1092</v>
      </c>
      <c r="L101" t="s">
        <v>1093</v>
      </c>
      <c r="M101" t="s">
        <v>1029</v>
      </c>
      <c r="N101" t="s">
        <v>1094</v>
      </c>
      <c r="O101" t="s">
        <v>1095</v>
      </c>
      <c r="P101" t="s">
        <v>1096</v>
      </c>
      <c r="Q101" t="b">
        <v>1</v>
      </c>
      <c r="R101" t="b">
        <v>0</v>
      </c>
      <c r="S101" t="s">
        <v>1033</v>
      </c>
      <c r="T101" t="s">
        <v>994</v>
      </c>
      <c r="U101" t="s">
        <v>1034</v>
      </c>
      <c r="V101" t="s">
        <v>997</v>
      </c>
      <c r="W101" t="s">
        <v>1035</v>
      </c>
      <c r="X101" t="s">
        <v>1259</v>
      </c>
    </row>
    <row r="102" spans="1:24" x14ac:dyDescent="0.25">
      <c r="A102" t="s">
        <v>42</v>
      </c>
      <c r="B102" t="s">
        <v>1267</v>
      </c>
      <c r="C102" t="s">
        <v>277</v>
      </c>
      <c r="D102" t="s">
        <v>427</v>
      </c>
      <c r="E102" t="s">
        <v>1016</v>
      </c>
      <c r="F102">
        <v>-16</v>
      </c>
      <c r="G102" t="s">
        <v>1052</v>
      </c>
      <c r="H102" t="s">
        <v>1268</v>
      </c>
      <c r="I102" t="s">
        <v>1258</v>
      </c>
      <c r="J102" t="s">
        <v>995</v>
      </c>
      <c r="K102" t="s">
        <v>1100</v>
      </c>
      <c r="L102" t="s">
        <v>1101</v>
      </c>
      <c r="M102" t="s">
        <v>1029</v>
      </c>
      <c r="N102" t="s">
        <v>1102</v>
      </c>
      <c r="O102" t="s">
        <v>1103</v>
      </c>
      <c r="P102" t="s">
        <v>1104</v>
      </c>
      <c r="Q102" t="b">
        <v>1</v>
      </c>
      <c r="R102" t="b">
        <v>0</v>
      </c>
      <c r="S102" t="s">
        <v>1097</v>
      </c>
      <c r="T102" t="s">
        <v>994</v>
      </c>
      <c r="U102" t="s">
        <v>1061</v>
      </c>
      <c r="V102" t="s">
        <v>997</v>
      </c>
      <c r="W102" t="s">
        <v>1035</v>
      </c>
      <c r="X102" t="s">
        <v>1259</v>
      </c>
    </row>
    <row r="103" spans="1:24" x14ac:dyDescent="0.25">
      <c r="A103" t="s">
        <v>42</v>
      </c>
      <c r="B103" t="s">
        <v>1269</v>
      </c>
      <c r="C103" t="s">
        <v>277</v>
      </c>
      <c r="D103" t="s">
        <v>427</v>
      </c>
      <c r="E103" t="s">
        <v>1018</v>
      </c>
      <c r="F103">
        <v>-17</v>
      </c>
      <c r="G103" t="s">
        <v>1024</v>
      </c>
      <c r="H103" t="s">
        <v>1270</v>
      </c>
      <c r="I103" t="s">
        <v>1258</v>
      </c>
      <c r="J103" t="s">
        <v>995</v>
      </c>
      <c r="K103" t="s">
        <v>1107</v>
      </c>
      <c r="L103" t="s">
        <v>1108</v>
      </c>
      <c r="M103" t="s">
        <v>1029</v>
      </c>
      <c r="N103" t="s">
        <v>1109</v>
      </c>
      <c r="O103" t="s">
        <v>1110</v>
      </c>
      <c r="P103" t="s">
        <v>1111</v>
      </c>
      <c r="Q103" t="b">
        <v>1</v>
      </c>
      <c r="R103" t="b">
        <v>0</v>
      </c>
      <c r="S103" t="s">
        <v>1033</v>
      </c>
      <c r="T103" t="s">
        <v>994</v>
      </c>
      <c r="U103" t="s">
        <v>1034</v>
      </c>
      <c r="V103" t="s">
        <v>997</v>
      </c>
      <c r="W103" t="s">
        <v>1035</v>
      </c>
      <c r="X103" t="s">
        <v>1259</v>
      </c>
    </row>
    <row r="104" spans="1:24" x14ac:dyDescent="0.25">
      <c r="A104" t="s">
        <v>42</v>
      </c>
      <c r="B104" t="s">
        <v>1271</v>
      </c>
      <c r="C104" t="s">
        <v>277</v>
      </c>
      <c r="D104" t="s">
        <v>427</v>
      </c>
      <c r="E104" t="s">
        <v>1020</v>
      </c>
      <c r="F104">
        <v>-17</v>
      </c>
      <c r="G104" t="s">
        <v>1024</v>
      </c>
      <c r="H104" t="s">
        <v>1270</v>
      </c>
      <c r="I104" t="s">
        <v>1264</v>
      </c>
      <c r="J104" t="s">
        <v>995</v>
      </c>
      <c r="K104" t="s">
        <v>1114</v>
      </c>
      <c r="L104" t="s">
        <v>1115</v>
      </c>
      <c r="M104" t="s">
        <v>1057</v>
      </c>
      <c r="N104" t="s">
        <v>1116</v>
      </c>
      <c r="O104" t="s">
        <v>1095</v>
      </c>
      <c r="P104" t="s">
        <v>1117</v>
      </c>
      <c r="Q104" t="b">
        <v>1</v>
      </c>
      <c r="R104" t="b">
        <v>0</v>
      </c>
      <c r="S104" t="s">
        <v>1033</v>
      </c>
      <c r="T104" t="s">
        <v>994</v>
      </c>
      <c r="U104" t="s">
        <v>1034</v>
      </c>
      <c r="V104" t="s">
        <v>1062</v>
      </c>
      <c r="W104" t="s">
        <v>1035</v>
      </c>
      <c r="X104" t="s">
        <v>994</v>
      </c>
    </row>
    <row r="105" spans="1:24" x14ac:dyDescent="0.25">
      <c r="A105" t="s">
        <v>42</v>
      </c>
      <c r="B105" t="s">
        <v>1272</v>
      </c>
      <c r="C105" t="s">
        <v>277</v>
      </c>
      <c r="D105" t="s">
        <v>427</v>
      </c>
      <c r="E105" t="s">
        <v>1022</v>
      </c>
      <c r="F105">
        <v>-17</v>
      </c>
      <c r="G105" t="s">
        <v>1024</v>
      </c>
      <c r="H105" t="s">
        <v>1270</v>
      </c>
      <c r="I105" t="s">
        <v>1258</v>
      </c>
      <c r="J105" t="s">
        <v>995</v>
      </c>
      <c r="K105" t="s">
        <v>1120</v>
      </c>
      <c r="L105" t="s">
        <v>1121</v>
      </c>
      <c r="M105" t="s">
        <v>1029</v>
      </c>
      <c r="N105" t="s">
        <v>1122</v>
      </c>
      <c r="O105" t="s">
        <v>1123</v>
      </c>
      <c r="P105" t="s">
        <v>1124</v>
      </c>
      <c r="Q105" t="b">
        <v>1</v>
      </c>
      <c r="R105" t="b">
        <v>0</v>
      </c>
      <c r="S105" t="s">
        <v>1033</v>
      </c>
      <c r="T105" t="s">
        <v>994</v>
      </c>
      <c r="U105" t="s">
        <v>1034</v>
      </c>
      <c r="V105" t="s">
        <v>997</v>
      </c>
      <c r="W105" t="s">
        <v>1035</v>
      </c>
      <c r="X105" t="s">
        <v>1259</v>
      </c>
    </row>
    <row r="106" spans="1:24" x14ac:dyDescent="0.25">
      <c r="A106" t="s">
        <v>42</v>
      </c>
      <c r="B106" t="s">
        <v>1273</v>
      </c>
      <c r="C106" t="s">
        <v>279</v>
      </c>
      <c r="D106" t="s">
        <v>427</v>
      </c>
      <c r="E106" t="s">
        <v>992</v>
      </c>
      <c r="F106">
        <v>73</v>
      </c>
      <c r="G106" t="s">
        <v>1126</v>
      </c>
      <c r="H106" t="s">
        <v>1274</v>
      </c>
      <c r="I106" t="s">
        <v>1275</v>
      </c>
      <c r="J106" t="s">
        <v>995</v>
      </c>
      <c r="K106" t="s">
        <v>1027</v>
      </c>
      <c r="L106" t="s">
        <v>1028</v>
      </c>
      <c r="M106" t="s">
        <v>1029</v>
      </c>
      <c r="N106" t="s">
        <v>1030</v>
      </c>
      <c r="O106" t="s">
        <v>1031</v>
      </c>
      <c r="P106" t="s">
        <v>1032</v>
      </c>
      <c r="Q106" t="b">
        <v>1</v>
      </c>
      <c r="R106" t="b">
        <v>0</v>
      </c>
      <c r="S106" t="s">
        <v>1033</v>
      </c>
      <c r="T106" t="s">
        <v>994</v>
      </c>
      <c r="U106" t="s">
        <v>1034</v>
      </c>
      <c r="V106" t="s">
        <v>1062</v>
      </c>
      <c r="W106" t="s">
        <v>1035</v>
      </c>
      <c r="X106" t="s">
        <v>1276</v>
      </c>
    </row>
    <row r="107" spans="1:24" x14ac:dyDescent="0.25">
      <c r="A107" t="s">
        <v>42</v>
      </c>
      <c r="B107" t="s">
        <v>1277</v>
      </c>
      <c r="C107" t="s">
        <v>279</v>
      </c>
      <c r="D107" t="s">
        <v>427</v>
      </c>
      <c r="E107" t="s">
        <v>1000</v>
      </c>
      <c r="F107">
        <v>-784</v>
      </c>
      <c r="G107" t="s">
        <v>1126</v>
      </c>
      <c r="H107" t="s">
        <v>1278</v>
      </c>
      <c r="I107" t="s">
        <v>1275</v>
      </c>
      <c r="J107" t="s">
        <v>995</v>
      </c>
      <c r="K107" t="s">
        <v>1039</v>
      </c>
      <c r="L107" t="s">
        <v>1040</v>
      </c>
      <c r="M107" t="s">
        <v>1029</v>
      </c>
      <c r="N107" t="s">
        <v>1041</v>
      </c>
      <c r="O107" t="s">
        <v>1042</v>
      </c>
      <c r="P107" t="s">
        <v>1043</v>
      </c>
      <c r="Q107" t="b">
        <v>1</v>
      </c>
      <c r="R107" t="b">
        <v>0</v>
      </c>
      <c r="S107" t="s">
        <v>1033</v>
      </c>
      <c r="T107" t="s">
        <v>994</v>
      </c>
      <c r="U107" t="s">
        <v>1034</v>
      </c>
      <c r="V107" t="s">
        <v>1062</v>
      </c>
      <c r="W107" t="s">
        <v>1035</v>
      </c>
      <c r="X107" t="s">
        <v>1276</v>
      </c>
    </row>
    <row r="108" spans="1:24" x14ac:dyDescent="0.25">
      <c r="A108" t="s">
        <v>42</v>
      </c>
      <c r="B108" t="s">
        <v>1279</v>
      </c>
      <c r="C108" t="s">
        <v>279</v>
      </c>
      <c r="D108" t="s">
        <v>427</v>
      </c>
      <c r="E108" t="s">
        <v>1002</v>
      </c>
      <c r="F108">
        <v>-1096</v>
      </c>
      <c r="G108" t="s">
        <v>1126</v>
      </c>
      <c r="H108" t="s">
        <v>1280</v>
      </c>
      <c r="I108" t="s">
        <v>1275</v>
      </c>
      <c r="J108" t="s">
        <v>995</v>
      </c>
      <c r="K108" t="s">
        <v>1046</v>
      </c>
      <c r="L108" t="s">
        <v>1047</v>
      </c>
      <c r="M108" t="s">
        <v>1029</v>
      </c>
      <c r="N108" t="s">
        <v>1048</v>
      </c>
      <c r="O108" t="s">
        <v>1049</v>
      </c>
      <c r="P108" t="s">
        <v>1050</v>
      </c>
      <c r="Q108" t="b">
        <v>1</v>
      </c>
      <c r="R108" t="b">
        <v>0</v>
      </c>
      <c r="S108" t="s">
        <v>1033</v>
      </c>
      <c r="T108" t="s">
        <v>994</v>
      </c>
      <c r="U108" t="s">
        <v>1034</v>
      </c>
      <c r="V108" t="s">
        <v>1062</v>
      </c>
      <c r="W108" t="s">
        <v>1035</v>
      </c>
      <c r="X108" t="s">
        <v>1276</v>
      </c>
    </row>
    <row r="109" spans="1:24" x14ac:dyDescent="0.25">
      <c r="A109" t="s">
        <v>42</v>
      </c>
      <c r="B109" t="s">
        <v>1281</v>
      </c>
      <c r="C109" t="s">
        <v>279</v>
      </c>
      <c r="D109" t="s">
        <v>427</v>
      </c>
      <c r="E109" t="s">
        <v>1004</v>
      </c>
      <c r="F109">
        <v>-326</v>
      </c>
      <c r="G109" t="s">
        <v>1126</v>
      </c>
      <c r="H109" t="s">
        <v>1282</v>
      </c>
      <c r="I109" t="s">
        <v>1283</v>
      </c>
      <c r="J109" t="s">
        <v>995</v>
      </c>
      <c r="K109" t="s">
        <v>1055</v>
      </c>
      <c r="L109" t="s">
        <v>1056</v>
      </c>
      <c r="M109" t="s">
        <v>1057</v>
      </c>
      <c r="N109" t="s">
        <v>1058</v>
      </c>
      <c r="O109" t="s">
        <v>1031</v>
      </c>
      <c r="P109" t="s">
        <v>1059</v>
      </c>
      <c r="Q109" t="b">
        <v>1</v>
      </c>
      <c r="R109" t="b">
        <v>0</v>
      </c>
      <c r="S109" t="s">
        <v>1033</v>
      </c>
      <c r="T109" t="s">
        <v>994</v>
      </c>
      <c r="U109" t="s">
        <v>1034</v>
      </c>
      <c r="V109" t="s">
        <v>1062</v>
      </c>
      <c r="W109" t="s">
        <v>1035</v>
      </c>
      <c r="X109" t="s">
        <v>1284</v>
      </c>
    </row>
    <row r="110" spans="1:24" x14ac:dyDescent="0.25">
      <c r="A110" t="s">
        <v>42</v>
      </c>
      <c r="B110" t="s">
        <v>1285</v>
      </c>
      <c r="C110" t="s">
        <v>279</v>
      </c>
      <c r="D110" t="s">
        <v>427</v>
      </c>
      <c r="E110" t="s">
        <v>1006</v>
      </c>
      <c r="F110">
        <v>1876</v>
      </c>
      <c r="G110" t="s">
        <v>1126</v>
      </c>
      <c r="H110" t="s">
        <v>1286</v>
      </c>
      <c r="I110" t="s">
        <v>1275</v>
      </c>
      <c r="J110" t="s">
        <v>995</v>
      </c>
      <c r="K110" t="s">
        <v>1065</v>
      </c>
      <c r="L110" t="s">
        <v>1066</v>
      </c>
      <c r="M110" t="s">
        <v>1029</v>
      </c>
      <c r="N110" t="s">
        <v>1067</v>
      </c>
      <c r="O110" t="s">
        <v>1068</v>
      </c>
      <c r="P110" t="s">
        <v>1069</v>
      </c>
      <c r="Q110" t="b">
        <v>1</v>
      </c>
      <c r="R110" t="b">
        <v>0</v>
      </c>
      <c r="S110" t="s">
        <v>1033</v>
      </c>
      <c r="T110" t="s">
        <v>994</v>
      </c>
      <c r="U110" t="s">
        <v>1034</v>
      </c>
      <c r="V110" t="s">
        <v>1062</v>
      </c>
      <c r="W110" t="s">
        <v>1035</v>
      </c>
      <c r="X110" t="s">
        <v>1276</v>
      </c>
    </row>
    <row r="111" spans="1:24" x14ac:dyDescent="0.25">
      <c r="A111" t="s">
        <v>42</v>
      </c>
      <c r="B111" t="s">
        <v>1287</v>
      </c>
      <c r="C111" t="s">
        <v>279</v>
      </c>
      <c r="D111" t="s">
        <v>427</v>
      </c>
      <c r="E111" t="s">
        <v>1008</v>
      </c>
      <c r="F111">
        <v>-957</v>
      </c>
      <c r="G111" t="s">
        <v>1126</v>
      </c>
      <c r="H111" t="s">
        <v>1288</v>
      </c>
      <c r="I111" t="s">
        <v>1289</v>
      </c>
      <c r="J111" t="s">
        <v>995</v>
      </c>
      <c r="K111" t="s">
        <v>1290</v>
      </c>
      <c r="L111" t="s">
        <v>1291</v>
      </c>
      <c r="M111" t="s">
        <v>1029</v>
      </c>
      <c r="N111" t="s">
        <v>1292</v>
      </c>
      <c r="O111" t="s">
        <v>1075</v>
      </c>
      <c r="P111" t="s">
        <v>1076</v>
      </c>
      <c r="Q111" t="b">
        <v>1</v>
      </c>
      <c r="R111" t="b">
        <v>0</v>
      </c>
      <c r="S111" t="s">
        <v>1033</v>
      </c>
      <c r="T111" t="s">
        <v>994</v>
      </c>
      <c r="U111" t="s">
        <v>1034</v>
      </c>
      <c r="V111" t="s">
        <v>1062</v>
      </c>
      <c r="W111" t="s">
        <v>1035</v>
      </c>
      <c r="X111" t="s">
        <v>1293</v>
      </c>
    </row>
    <row r="112" spans="1:24" x14ac:dyDescent="0.25">
      <c r="A112" t="s">
        <v>42</v>
      </c>
      <c r="B112" t="s">
        <v>1294</v>
      </c>
      <c r="C112" t="s">
        <v>279</v>
      </c>
      <c r="D112" t="s">
        <v>427</v>
      </c>
      <c r="E112" t="s">
        <v>1010</v>
      </c>
      <c r="F112">
        <v>1950</v>
      </c>
      <c r="G112" t="s">
        <v>1126</v>
      </c>
      <c r="H112" t="s">
        <v>1295</v>
      </c>
      <c r="I112" t="s">
        <v>1289</v>
      </c>
      <c r="J112" t="s">
        <v>995</v>
      </c>
      <c r="K112" t="s">
        <v>1296</v>
      </c>
      <c r="L112" t="s">
        <v>1297</v>
      </c>
      <c r="M112" t="s">
        <v>1029</v>
      </c>
      <c r="N112" t="s">
        <v>1298</v>
      </c>
      <c r="O112" t="s">
        <v>1082</v>
      </c>
      <c r="P112" t="s">
        <v>1083</v>
      </c>
      <c r="Q112" t="b">
        <v>1</v>
      </c>
      <c r="R112" t="b">
        <v>0</v>
      </c>
      <c r="S112" t="s">
        <v>1033</v>
      </c>
      <c r="T112" t="s">
        <v>994</v>
      </c>
      <c r="U112" t="s">
        <v>1034</v>
      </c>
      <c r="V112" t="s">
        <v>1062</v>
      </c>
      <c r="W112" t="s">
        <v>1035</v>
      </c>
      <c r="X112" t="s">
        <v>1293</v>
      </c>
    </row>
    <row r="113" spans="1:24" x14ac:dyDescent="0.25">
      <c r="A113" t="s">
        <v>42</v>
      </c>
      <c r="B113" t="s">
        <v>1299</v>
      </c>
      <c r="C113" t="s">
        <v>279</v>
      </c>
      <c r="D113" t="s">
        <v>427</v>
      </c>
      <c r="E113" t="s">
        <v>1012</v>
      </c>
      <c r="F113">
        <v>192</v>
      </c>
      <c r="G113" t="s">
        <v>1126</v>
      </c>
      <c r="H113" t="s">
        <v>1300</v>
      </c>
      <c r="I113" t="s">
        <v>1301</v>
      </c>
      <c r="J113" t="s">
        <v>995</v>
      </c>
      <c r="K113" t="s">
        <v>1086</v>
      </c>
      <c r="L113" t="s">
        <v>1087</v>
      </c>
      <c r="M113" t="s">
        <v>1057</v>
      </c>
      <c r="N113" t="s">
        <v>1088</v>
      </c>
      <c r="O113" t="s">
        <v>1068</v>
      </c>
      <c r="P113" t="s">
        <v>1089</v>
      </c>
      <c r="Q113" t="b">
        <v>1</v>
      </c>
      <c r="R113" t="b">
        <v>0</v>
      </c>
      <c r="S113" t="s">
        <v>1033</v>
      </c>
      <c r="T113" t="s">
        <v>994</v>
      </c>
      <c r="U113" t="s">
        <v>1034</v>
      </c>
      <c r="V113" t="s">
        <v>1062</v>
      </c>
      <c r="W113" t="s">
        <v>1035</v>
      </c>
      <c r="X113" t="s">
        <v>1284</v>
      </c>
    </row>
    <row r="114" spans="1:24" x14ac:dyDescent="0.25">
      <c r="A114" t="s">
        <v>42</v>
      </c>
      <c r="B114" t="s">
        <v>1302</v>
      </c>
      <c r="C114" t="s">
        <v>279</v>
      </c>
      <c r="D114" t="s">
        <v>427</v>
      </c>
      <c r="E114" t="s">
        <v>1014</v>
      </c>
      <c r="F114">
        <v>10197</v>
      </c>
      <c r="G114" t="s">
        <v>1126</v>
      </c>
      <c r="H114" t="s">
        <v>1303</v>
      </c>
      <c r="I114" t="s">
        <v>1289</v>
      </c>
      <c r="J114" t="s">
        <v>995</v>
      </c>
      <c r="K114" t="s">
        <v>1092</v>
      </c>
      <c r="L114" t="s">
        <v>1093</v>
      </c>
      <c r="M114" t="s">
        <v>1029</v>
      </c>
      <c r="N114" t="s">
        <v>1094</v>
      </c>
      <c r="O114" t="s">
        <v>1095</v>
      </c>
      <c r="P114" t="s">
        <v>1096</v>
      </c>
      <c r="Q114" t="b">
        <v>1</v>
      </c>
      <c r="R114" t="b">
        <v>0</v>
      </c>
      <c r="S114" t="s">
        <v>1033</v>
      </c>
      <c r="T114" t="s">
        <v>994</v>
      </c>
      <c r="U114" t="s">
        <v>1034</v>
      </c>
      <c r="V114" t="s">
        <v>1062</v>
      </c>
      <c r="W114" t="s">
        <v>1035</v>
      </c>
      <c r="X114" t="s">
        <v>1293</v>
      </c>
    </row>
    <row r="115" spans="1:24" x14ac:dyDescent="0.25">
      <c r="A115" t="s">
        <v>42</v>
      </c>
      <c r="B115" t="s">
        <v>1304</v>
      </c>
      <c r="C115" t="s">
        <v>279</v>
      </c>
      <c r="D115" t="s">
        <v>427</v>
      </c>
      <c r="E115" t="s">
        <v>1016</v>
      </c>
      <c r="F115">
        <v>1628</v>
      </c>
      <c r="G115" t="s">
        <v>1126</v>
      </c>
      <c r="H115" t="s">
        <v>1305</v>
      </c>
      <c r="I115" t="s">
        <v>1289</v>
      </c>
      <c r="J115" t="s">
        <v>995</v>
      </c>
      <c r="K115" t="s">
        <v>1100</v>
      </c>
      <c r="L115" t="s">
        <v>1101</v>
      </c>
      <c r="M115" t="s">
        <v>1029</v>
      </c>
      <c r="N115" t="s">
        <v>1102</v>
      </c>
      <c r="O115" t="s">
        <v>1103</v>
      </c>
      <c r="P115" t="s">
        <v>1104</v>
      </c>
      <c r="Q115" t="b">
        <v>1</v>
      </c>
      <c r="R115" t="b">
        <v>0</v>
      </c>
      <c r="S115" t="s">
        <v>1033</v>
      </c>
      <c r="T115" t="s">
        <v>994</v>
      </c>
      <c r="U115" t="s">
        <v>1034</v>
      </c>
      <c r="V115" t="s">
        <v>1062</v>
      </c>
      <c r="W115" t="s">
        <v>1035</v>
      </c>
      <c r="X115" t="s">
        <v>1293</v>
      </c>
    </row>
    <row r="116" spans="1:24" x14ac:dyDescent="0.25">
      <c r="A116" t="s">
        <v>42</v>
      </c>
      <c r="B116" t="s">
        <v>1306</v>
      </c>
      <c r="C116" t="s">
        <v>279</v>
      </c>
      <c r="D116" t="s">
        <v>427</v>
      </c>
      <c r="E116" t="s">
        <v>1018</v>
      </c>
      <c r="F116">
        <v>11700</v>
      </c>
      <c r="G116" t="s">
        <v>1126</v>
      </c>
      <c r="H116" t="s">
        <v>1307</v>
      </c>
      <c r="I116" t="s">
        <v>1289</v>
      </c>
      <c r="J116" t="s">
        <v>995</v>
      </c>
      <c r="K116" t="s">
        <v>1107</v>
      </c>
      <c r="L116" t="s">
        <v>1108</v>
      </c>
      <c r="M116" t="s">
        <v>1029</v>
      </c>
      <c r="N116" t="s">
        <v>1109</v>
      </c>
      <c r="O116" t="s">
        <v>1110</v>
      </c>
      <c r="P116" t="s">
        <v>1111</v>
      </c>
      <c r="Q116" t="b">
        <v>1</v>
      </c>
      <c r="R116" t="b">
        <v>0</v>
      </c>
      <c r="S116" t="s">
        <v>1033</v>
      </c>
      <c r="T116" t="s">
        <v>994</v>
      </c>
      <c r="U116" t="s">
        <v>1034</v>
      </c>
      <c r="V116" t="s">
        <v>1062</v>
      </c>
      <c r="W116" t="s">
        <v>1035</v>
      </c>
      <c r="X116" t="s">
        <v>1293</v>
      </c>
    </row>
    <row r="117" spans="1:24" x14ac:dyDescent="0.25">
      <c r="A117" t="s">
        <v>42</v>
      </c>
      <c r="B117" t="s">
        <v>1308</v>
      </c>
      <c r="C117" t="s">
        <v>279</v>
      </c>
      <c r="D117" t="s">
        <v>427</v>
      </c>
      <c r="E117" t="s">
        <v>1020</v>
      </c>
      <c r="F117">
        <v>1991</v>
      </c>
      <c r="G117" t="s">
        <v>1052</v>
      </c>
      <c r="H117" t="s">
        <v>1309</v>
      </c>
      <c r="I117" t="s">
        <v>1301</v>
      </c>
      <c r="J117" t="s">
        <v>995</v>
      </c>
      <c r="K117" t="s">
        <v>1114</v>
      </c>
      <c r="L117" t="s">
        <v>1115</v>
      </c>
      <c r="M117" t="s">
        <v>1057</v>
      </c>
      <c r="N117" t="s">
        <v>1116</v>
      </c>
      <c r="O117" t="s">
        <v>1095</v>
      </c>
      <c r="P117" t="s">
        <v>1117</v>
      </c>
      <c r="Q117" t="b">
        <v>1</v>
      </c>
      <c r="R117" t="b">
        <v>0</v>
      </c>
      <c r="S117" t="s">
        <v>1097</v>
      </c>
      <c r="T117" t="s">
        <v>994</v>
      </c>
      <c r="U117" t="s">
        <v>1061</v>
      </c>
      <c r="V117" t="s">
        <v>1062</v>
      </c>
      <c r="W117" t="s">
        <v>1035</v>
      </c>
      <c r="X117" t="s">
        <v>1284</v>
      </c>
    </row>
    <row r="118" spans="1:24" x14ac:dyDescent="0.25">
      <c r="A118" t="s">
        <v>42</v>
      </c>
      <c r="B118" t="s">
        <v>1310</v>
      </c>
      <c r="C118" t="s">
        <v>279</v>
      </c>
      <c r="D118" t="s">
        <v>427</v>
      </c>
      <c r="E118" t="s">
        <v>1022</v>
      </c>
      <c r="F118">
        <v>36352</v>
      </c>
      <c r="G118" t="s">
        <v>1126</v>
      </c>
      <c r="H118" t="s">
        <v>1311</v>
      </c>
      <c r="I118" t="s">
        <v>1289</v>
      </c>
      <c r="J118" t="s">
        <v>995</v>
      </c>
      <c r="K118" t="s">
        <v>1120</v>
      </c>
      <c r="L118" t="s">
        <v>1121</v>
      </c>
      <c r="M118" t="s">
        <v>1029</v>
      </c>
      <c r="N118" t="s">
        <v>1122</v>
      </c>
      <c r="O118" t="s">
        <v>1123</v>
      </c>
      <c r="P118" t="s">
        <v>1124</v>
      </c>
      <c r="Q118" t="b">
        <v>1</v>
      </c>
      <c r="R118" t="b">
        <v>0</v>
      </c>
      <c r="S118" t="s">
        <v>1033</v>
      </c>
      <c r="T118" t="s">
        <v>994</v>
      </c>
      <c r="U118" t="s">
        <v>1034</v>
      </c>
      <c r="V118" t="s">
        <v>1062</v>
      </c>
      <c r="W118" t="s">
        <v>1035</v>
      </c>
      <c r="X118" t="s">
        <v>1293</v>
      </c>
    </row>
    <row r="119" spans="1:24" x14ac:dyDescent="0.25">
      <c r="A119" t="s">
        <v>42</v>
      </c>
      <c r="B119" t="s">
        <v>1312</v>
      </c>
      <c r="C119" t="s">
        <v>281</v>
      </c>
      <c r="D119" t="s">
        <v>427</v>
      </c>
      <c r="E119" t="s">
        <v>992</v>
      </c>
      <c r="F119">
        <v>-3154</v>
      </c>
      <c r="G119" t="s">
        <v>1024</v>
      </c>
      <c r="H119" t="s">
        <v>1313</v>
      </c>
      <c r="I119" t="s">
        <v>1314</v>
      </c>
      <c r="J119" t="s">
        <v>995</v>
      </c>
      <c r="K119" t="s">
        <v>1027</v>
      </c>
      <c r="L119" t="s">
        <v>1028</v>
      </c>
      <c r="M119" t="s">
        <v>1029</v>
      </c>
      <c r="N119" t="s">
        <v>1030</v>
      </c>
      <c r="O119" t="s">
        <v>1031</v>
      </c>
      <c r="P119" t="s">
        <v>1032</v>
      </c>
      <c r="Q119" t="b">
        <v>1</v>
      </c>
      <c r="R119" t="b">
        <v>0</v>
      </c>
      <c r="S119" t="s">
        <v>1033</v>
      </c>
      <c r="T119" t="s">
        <v>994</v>
      </c>
      <c r="U119" t="s">
        <v>1034</v>
      </c>
      <c r="V119" t="s">
        <v>997</v>
      </c>
      <c r="W119" t="s">
        <v>1035</v>
      </c>
      <c r="X119" t="s">
        <v>1315</v>
      </c>
    </row>
    <row r="120" spans="1:24" x14ac:dyDescent="0.25">
      <c r="A120" t="s">
        <v>42</v>
      </c>
      <c r="B120" t="s">
        <v>1316</v>
      </c>
      <c r="C120" t="s">
        <v>281</v>
      </c>
      <c r="D120" t="s">
        <v>427</v>
      </c>
      <c r="E120" t="s">
        <v>1000</v>
      </c>
      <c r="F120">
        <v>-3535</v>
      </c>
      <c r="G120" t="s">
        <v>1024</v>
      </c>
      <c r="H120" t="s">
        <v>1317</v>
      </c>
      <c r="I120" t="s">
        <v>1314</v>
      </c>
      <c r="J120" t="s">
        <v>995</v>
      </c>
      <c r="K120" t="s">
        <v>1039</v>
      </c>
      <c r="L120" t="s">
        <v>1040</v>
      </c>
      <c r="M120" t="s">
        <v>1029</v>
      </c>
      <c r="N120" t="s">
        <v>1041</v>
      </c>
      <c r="O120" t="s">
        <v>1042</v>
      </c>
      <c r="P120" t="s">
        <v>1043</v>
      </c>
      <c r="Q120" t="b">
        <v>1</v>
      </c>
      <c r="R120" t="b">
        <v>0</v>
      </c>
      <c r="S120" t="s">
        <v>1033</v>
      </c>
      <c r="T120" t="s">
        <v>994</v>
      </c>
      <c r="U120" t="s">
        <v>1034</v>
      </c>
      <c r="V120" t="s">
        <v>997</v>
      </c>
      <c r="W120" t="s">
        <v>1035</v>
      </c>
      <c r="X120" t="s">
        <v>1315</v>
      </c>
    </row>
    <row r="121" spans="1:24" x14ac:dyDescent="0.25">
      <c r="A121" t="s">
        <v>42</v>
      </c>
      <c r="B121" t="s">
        <v>1318</v>
      </c>
      <c r="C121" t="s">
        <v>281</v>
      </c>
      <c r="D121" t="s">
        <v>427</v>
      </c>
      <c r="E121" t="s">
        <v>1002</v>
      </c>
      <c r="F121">
        <v>-1508</v>
      </c>
      <c r="G121" t="s">
        <v>1024</v>
      </c>
      <c r="H121" t="s">
        <v>1319</v>
      </c>
      <c r="I121" t="s">
        <v>1314</v>
      </c>
      <c r="J121" t="s">
        <v>995</v>
      </c>
      <c r="K121" t="s">
        <v>1046</v>
      </c>
      <c r="L121" t="s">
        <v>1047</v>
      </c>
      <c r="M121" t="s">
        <v>1029</v>
      </c>
      <c r="N121" t="s">
        <v>1048</v>
      </c>
      <c r="O121" t="s">
        <v>1049</v>
      </c>
      <c r="P121" t="s">
        <v>1050</v>
      </c>
      <c r="Q121" t="b">
        <v>1</v>
      </c>
      <c r="R121" t="b">
        <v>0</v>
      </c>
      <c r="S121" t="s">
        <v>1033</v>
      </c>
      <c r="T121" t="s">
        <v>994</v>
      </c>
      <c r="U121" t="s">
        <v>1034</v>
      </c>
      <c r="V121" t="s">
        <v>997</v>
      </c>
      <c r="W121" t="s">
        <v>1035</v>
      </c>
      <c r="X121" t="s">
        <v>1315</v>
      </c>
    </row>
    <row r="122" spans="1:24" x14ac:dyDescent="0.25">
      <c r="A122" t="s">
        <v>42</v>
      </c>
      <c r="B122" t="s">
        <v>1320</v>
      </c>
      <c r="C122" t="s">
        <v>281</v>
      </c>
      <c r="D122" t="s">
        <v>427</v>
      </c>
      <c r="E122" t="s">
        <v>1004</v>
      </c>
      <c r="F122">
        <v>-3725</v>
      </c>
      <c r="G122" t="s">
        <v>1052</v>
      </c>
      <c r="H122" t="s">
        <v>1321</v>
      </c>
      <c r="I122" t="s">
        <v>1322</v>
      </c>
      <c r="J122" t="s">
        <v>995</v>
      </c>
      <c r="K122" t="s">
        <v>1055</v>
      </c>
      <c r="L122" t="s">
        <v>1056</v>
      </c>
      <c r="M122" t="s">
        <v>1057</v>
      </c>
      <c r="N122" t="s">
        <v>1058</v>
      </c>
      <c r="O122" t="s">
        <v>1031</v>
      </c>
      <c r="P122" t="s">
        <v>1059</v>
      </c>
      <c r="Q122" t="b">
        <v>1</v>
      </c>
      <c r="R122" t="b">
        <v>1</v>
      </c>
      <c r="S122" t="s">
        <v>1060</v>
      </c>
      <c r="T122" t="s">
        <v>994</v>
      </c>
      <c r="U122" t="s">
        <v>1061</v>
      </c>
      <c r="V122" t="s">
        <v>1062</v>
      </c>
      <c r="W122" t="s">
        <v>1035</v>
      </c>
      <c r="X122" t="s">
        <v>994</v>
      </c>
    </row>
    <row r="123" spans="1:24" x14ac:dyDescent="0.25">
      <c r="A123" t="s">
        <v>42</v>
      </c>
      <c r="B123" t="s">
        <v>1323</v>
      </c>
      <c r="C123" t="s">
        <v>281</v>
      </c>
      <c r="D123" t="s">
        <v>427</v>
      </c>
      <c r="E123" t="s">
        <v>1006</v>
      </c>
      <c r="F123">
        <v>-4653</v>
      </c>
      <c r="G123" t="s">
        <v>1024</v>
      </c>
      <c r="H123" t="s">
        <v>1324</v>
      </c>
      <c r="I123" t="s">
        <v>1314</v>
      </c>
      <c r="J123" t="s">
        <v>995</v>
      </c>
      <c r="K123" t="s">
        <v>1065</v>
      </c>
      <c r="L123" t="s">
        <v>1066</v>
      </c>
      <c r="M123" t="s">
        <v>1029</v>
      </c>
      <c r="N123" t="s">
        <v>1067</v>
      </c>
      <c r="O123" t="s">
        <v>1068</v>
      </c>
      <c r="P123" t="s">
        <v>1069</v>
      </c>
      <c r="Q123" t="b">
        <v>1</v>
      </c>
      <c r="R123" t="b">
        <v>0</v>
      </c>
      <c r="S123" t="s">
        <v>1033</v>
      </c>
      <c r="T123" t="s">
        <v>994</v>
      </c>
      <c r="U123" t="s">
        <v>1034</v>
      </c>
      <c r="V123" t="s">
        <v>997</v>
      </c>
      <c r="W123" t="s">
        <v>1035</v>
      </c>
      <c r="X123" t="s">
        <v>1315</v>
      </c>
    </row>
    <row r="124" spans="1:24" x14ac:dyDescent="0.25">
      <c r="A124" t="s">
        <v>42</v>
      </c>
      <c r="B124" t="s">
        <v>1325</v>
      </c>
      <c r="C124" t="s">
        <v>281</v>
      </c>
      <c r="D124" t="s">
        <v>427</v>
      </c>
      <c r="E124" t="s">
        <v>1008</v>
      </c>
      <c r="F124">
        <v>-3932</v>
      </c>
      <c r="G124" t="s">
        <v>1024</v>
      </c>
      <c r="H124" t="s">
        <v>1326</v>
      </c>
      <c r="I124" t="s">
        <v>1314</v>
      </c>
      <c r="J124" t="s">
        <v>995</v>
      </c>
      <c r="K124" t="s">
        <v>1072</v>
      </c>
      <c r="L124" t="s">
        <v>1073</v>
      </c>
      <c r="M124" t="s">
        <v>1029</v>
      </c>
      <c r="N124" t="s">
        <v>1074</v>
      </c>
      <c r="O124" t="s">
        <v>1075</v>
      </c>
      <c r="P124" t="s">
        <v>1076</v>
      </c>
      <c r="Q124" t="b">
        <v>1</v>
      </c>
      <c r="R124" t="b">
        <v>0</v>
      </c>
      <c r="S124" t="s">
        <v>1033</v>
      </c>
      <c r="T124" t="s">
        <v>994</v>
      </c>
      <c r="U124" t="s">
        <v>1034</v>
      </c>
      <c r="V124" t="s">
        <v>997</v>
      </c>
      <c r="W124" t="s">
        <v>1035</v>
      </c>
      <c r="X124" t="s">
        <v>1315</v>
      </c>
    </row>
    <row r="125" spans="1:24" x14ac:dyDescent="0.25">
      <c r="A125" t="s">
        <v>42</v>
      </c>
      <c r="B125" t="s">
        <v>1327</v>
      </c>
      <c r="C125" t="s">
        <v>281</v>
      </c>
      <c r="D125" t="s">
        <v>427</v>
      </c>
      <c r="E125" t="s">
        <v>1010</v>
      </c>
      <c r="F125">
        <v>-5405</v>
      </c>
      <c r="G125" t="s">
        <v>1024</v>
      </c>
      <c r="H125" t="s">
        <v>1328</v>
      </c>
      <c r="I125" t="s">
        <v>1314</v>
      </c>
      <c r="J125" t="s">
        <v>995</v>
      </c>
      <c r="K125" t="s">
        <v>1079</v>
      </c>
      <c r="L125" t="s">
        <v>1080</v>
      </c>
      <c r="M125" t="s">
        <v>1029</v>
      </c>
      <c r="N125" t="s">
        <v>1081</v>
      </c>
      <c r="O125" t="s">
        <v>1082</v>
      </c>
      <c r="P125" t="s">
        <v>1083</v>
      </c>
      <c r="Q125" t="b">
        <v>1</v>
      </c>
      <c r="R125" t="b">
        <v>0</v>
      </c>
      <c r="S125" t="s">
        <v>1033</v>
      </c>
      <c r="T125" t="s">
        <v>994</v>
      </c>
      <c r="U125" t="s">
        <v>1034</v>
      </c>
      <c r="V125" t="s">
        <v>997</v>
      </c>
      <c r="W125" t="s">
        <v>1035</v>
      </c>
      <c r="X125" t="s">
        <v>1315</v>
      </c>
    </row>
    <row r="126" spans="1:24" x14ac:dyDescent="0.25">
      <c r="A126" t="s">
        <v>42</v>
      </c>
      <c r="B126" t="s">
        <v>1329</v>
      </c>
      <c r="C126" t="s">
        <v>281</v>
      </c>
      <c r="D126" t="s">
        <v>427</v>
      </c>
      <c r="E126" t="s">
        <v>1012</v>
      </c>
      <c r="F126">
        <v>-5707</v>
      </c>
      <c r="G126" t="s">
        <v>1024</v>
      </c>
      <c r="H126" t="s">
        <v>1330</v>
      </c>
      <c r="I126" t="s">
        <v>1322</v>
      </c>
      <c r="J126" t="s">
        <v>995</v>
      </c>
      <c r="K126" t="s">
        <v>1086</v>
      </c>
      <c r="L126" t="s">
        <v>1087</v>
      </c>
      <c r="M126" t="s">
        <v>1057</v>
      </c>
      <c r="N126" t="s">
        <v>1088</v>
      </c>
      <c r="O126" t="s">
        <v>1068</v>
      </c>
      <c r="P126" t="s">
        <v>1089</v>
      </c>
      <c r="Q126" t="b">
        <v>1</v>
      </c>
      <c r="R126" t="b">
        <v>0</v>
      </c>
      <c r="S126" t="s">
        <v>1033</v>
      </c>
      <c r="T126" t="s">
        <v>994</v>
      </c>
      <c r="U126" t="s">
        <v>1034</v>
      </c>
      <c r="V126" t="s">
        <v>1062</v>
      </c>
      <c r="W126" t="s">
        <v>1035</v>
      </c>
      <c r="X126" t="s">
        <v>994</v>
      </c>
    </row>
    <row r="127" spans="1:24" x14ac:dyDescent="0.25">
      <c r="A127" t="s">
        <v>42</v>
      </c>
      <c r="B127" t="s">
        <v>1331</v>
      </c>
      <c r="C127" t="s">
        <v>281</v>
      </c>
      <c r="D127" t="s">
        <v>427</v>
      </c>
      <c r="E127" t="s">
        <v>1014</v>
      </c>
      <c r="F127">
        <v>-7249</v>
      </c>
      <c r="G127" t="s">
        <v>1024</v>
      </c>
      <c r="H127" t="s">
        <v>1332</v>
      </c>
      <c r="I127" t="s">
        <v>1314</v>
      </c>
      <c r="J127" t="s">
        <v>995</v>
      </c>
      <c r="K127" t="s">
        <v>1092</v>
      </c>
      <c r="L127" t="s">
        <v>1093</v>
      </c>
      <c r="M127" t="s">
        <v>1029</v>
      </c>
      <c r="N127" t="s">
        <v>1094</v>
      </c>
      <c r="O127" t="s">
        <v>1095</v>
      </c>
      <c r="P127" t="s">
        <v>1096</v>
      </c>
      <c r="Q127" t="b">
        <v>1</v>
      </c>
      <c r="R127" t="b">
        <v>0</v>
      </c>
      <c r="S127" t="s">
        <v>1033</v>
      </c>
      <c r="T127" t="s">
        <v>994</v>
      </c>
      <c r="U127" t="s">
        <v>1034</v>
      </c>
      <c r="V127" t="s">
        <v>997</v>
      </c>
      <c r="W127" t="s">
        <v>1035</v>
      </c>
      <c r="X127" t="s">
        <v>1315</v>
      </c>
    </row>
    <row r="128" spans="1:24" x14ac:dyDescent="0.25">
      <c r="A128" t="s">
        <v>42</v>
      </c>
      <c r="B128" t="s">
        <v>1333</v>
      </c>
      <c r="C128" t="s">
        <v>281</v>
      </c>
      <c r="D128" t="s">
        <v>427</v>
      </c>
      <c r="E128" t="s">
        <v>1016</v>
      </c>
      <c r="F128">
        <v>-5737</v>
      </c>
      <c r="G128" t="s">
        <v>1024</v>
      </c>
      <c r="H128" t="s">
        <v>1334</v>
      </c>
      <c r="I128" t="s">
        <v>1314</v>
      </c>
      <c r="J128" t="s">
        <v>995</v>
      </c>
      <c r="K128" t="s">
        <v>1100</v>
      </c>
      <c r="L128" t="s">
        <v>1101</v>
      </c>
      <c r="M128" t="s">
        <v>1029</v>
      </c>
      <c r="N128" t="s">
        <v>1102</v>
      </c>
      <c r="O128" t="s">
        <v>1103</v>
      </c>
      <c r="P128" t="s">
        <v>1104</v>
      </c>
      <c r="Q128" t="b">
        <v>1</v>
      </c>
      <c r="R128" t="b">
        <v>0</v>
      </c>
      <c r="S128" t="s">
        <v>1033</v>
      </c>
      <c r="T128" t="s">
        <v>994</v>
      </c>
      <c r="U128" t="s">
        <v>1034</v>
      </c>
      <c r="V128" t="s">
        <v>997</v>
      </c>
      <c r="W128" t="s">
        <v>1035</v>
      </c>
      <c r="X128" t="s">
        <v>1315</v>
      </c>
    </row>
    <row r="129" spans="1:24" x14ac:dyDescent="0.25">
      <c r="A129" t="s">
        <v>42</v>
      </c>
      <c r="B129" t="s">
        <v>1335</v>
      </c>
      <c r="C129" t="s">
        <v>281</v>
      </c>
      <c r="D129" t="s">
        <v>427</v>
      </c>
      <c r="E129" t="s">
        <v>1018</v>
      </c>
      <c r="F129">
        <v>-9008</v>
      </c>
      <c r="G129" t="s">
        <v>1024</v>
      </c>
      <c r="H129" t="s">
        <v>1336</v>
      </c>
      <c r="I129" t="s">
        <v>1314</v>
      </c>
      <c r="J129" t="s">
        <v>995</v>
      </c>
      <c r="K129" t="s">
        <v>1107</v>
      </c>
      <c r="L129" t="s">
        <v>1108</v>
      </c>
      <c r="M129" t="s">
        <v>1029</v>
      </c>
      <c r="N129" t="s">
        <v>1109</v>
      </c>
      <c r="O129" t="s">
        <v>1110</v>
      </c>
      <c r="P129" t="s">
        <v>1111</v>
      </c>
      <c r="Q129" t="b">
        <v>1</v>
      </c>
      <c r="R129" t="b">
        <v>0</v>
      </c>
      <c r="S129" t="s">
        <v>1033</v>
      </c>
      <c r="T129" t="s">
        <v>994</v>
      </c>
      <c r="U129" t="s">
        <v>1034</v>
      </c>
      <c r="V129" t="s">
        <v>997</v>
      </c>
      <c r="W129" t="s">
        <v>1035</v>
      </c>
      <c r="X129" t="s">
        <v>1315</v>
      </c>
    </row>
    <row r="130" spans="1:24" x14ac:dyDescent="0.25">
      <c r="A130" t="s">
        <v>42</v>
      </c>
      <c r="B130" t="s">
        <v>1337</v>
      </c>
      <c r="C130" t="s">
        <v>281</v>
      </c>
      <c r="D130" t="s">
        <v>427</v>
      </c>
      <c r="E130" t="s">
        <v>1020</v>
      </c>
      <c r="F130">
        <v>-4662</v>
      </c>
      <c r="G130" t="s">
        <v>1024</v>
      </c>
      <c r="H130" t="s">
        <v>1338</v>
      </c>
      <c r="I130" t="s">
        <v>1322</v>
      </c>
      <c r="J130" t="s">
        <v>995</v>
      </c>
      <c r="K130" t="s">
        <v>1114</v>
      </c>
      <c r="L130" t="s">
        <v>1115</v>
      </c>
      <c r="M130" t="s">
        <v>1057</v>
      </c>
      <c r="N130" t="s">
        <v>1116</v>
      </c>
      <c r="O130" t="s">
        <v>1095</v>
      </c>
      <c r="P130" t="s">
        <v>1117</v>
      </c>
      <c r="Q130" t="b">
        <v>1</v>
      </c>
      <c r="R130" t="b">
        <v>0</v>
      </c>
      <c r="S130" t="s">
        <v>1033</v>
      </c>
      <c r="T130" t="s">
        <v>994</v>
      </c>
      <c r="U130" t="s">
        <v>1034</v>
      </c>
      <c r="V130" t="s">
        <v>1062</v>
      </c>
      <c r="W130" t="s">
        <v>1035</v>
      </c>
      <c r="X130" t="s">
        <v>994</v>
      </c>
    </row>
    <row r="131" spans="1:24" x14ac:dyDescent="0.25">
      <c r="A131" t="s">
        <v>42</v>
      </c>
      <c r="B131" t="s">
        <v>1339</v>
      </c>
      <c r="C131" t="s">
        <v>281</v>
      </c>
      <c r="D131" t="s">
        <v>427</v>
      </c>
      <c r="E131" t="s">
        <v>1022</v>
      </c>
      <c r="F131">
        <v>-14834</v>
      </c>
      <c r="G131" t="s">
        <v>1024</v>
      </c>
      <c r="H131" t="s">
        <v>1340</v>
      </c>
      <c r="I131" t="s">
        <v>1314</v>
      </c>
      <c r="J131" t="s">
        <v>995</v>
      </c>
      <c r="K131" t="s">
        <v>1120</v>
      </c>
      <c r="L131" t="s">
        <v>1121</v>
      </c>
      <c r="M131" t="s">
        <v>1029</v>
      </c>
      <c r="N131" t="s">
        <v>1122</v>
      </c>
      <c r="O131" t="s">
        <v>1123</v>
      </c>
      <c r="P131" t="s">
        <v>1124</v>
      </c>
      <c r="Q131" t="b">
        <v>1</v>
      </c>
      <c r="R131" t="b">
        <v>0</v>
      </c>
      <c r="S131" t="s">
        <v>1033</v>
      </c>
      <c r="T131" t="s">
        <v>994</v>
      </c>
      <c r="U131" t="s">
        <v>1034</v>
      </c>
      <c r="V131" t="s">
        <v>997</v>
      </c>
      <c r="W131" t="s">
        <v>1035</v>
      </c>
      <c r="X131" t="s">
        <v>1315</v>
      </c>
    </row>
    <row r="132" spans="1:24" x14ac:dyDescent="0.25">
      <c r="A132" t="s">
        <v>42</v>
      </c>
      <c r="B132" t="s">
        <v>1341</v>
      </c>
      <c r="C132" t="s">
        <v>283</v>
      </c>
      <c r="D132" t="s">
        <v>994</v>
      </c>
      <c r="E132" t="s">
        <v>992</v>
      </c>
      <c r="F132">
        <v>0</v>
      </c>
      <c r="G132" t="s">
        <v>1126</v>
      </c>
      <c r="H132" t="s">
        <v>1342</v>
      </c>
      <c r="I132" t="s">
        <v>1343</v>
      </c>
      <c r="J132" t="s">
        <v>995</v>
      </c>
      <c r="K132" t="s">
        <v>994</v>
      </c>
      <c r="L132" t="s">
        <v>994</v>
      </c>
      <c r="M132" t="s">
        <v>994</v>
      </c>
      <c r="N132" t="s">
        <v>994</v>
      </c>
      <c r="O132" t="s">
        <v>994</v>
      </c>
      <c r="P132" t="s">
        <v>994</v>
      </c>
      <c r="Q132" t="b">
        <v>1</v>
      </c>
      <c r="R132" t="b">
        <v>0</v>
      </c>
      <c r="S132" t="s">
        <v>1033</v>
      </c>
      <c r="T132" t="s">
        <v>994</v>
      </c>
      <c r="U132" t="s">
        <v>1034</v>
      </c>
      <c r="V132" t="s">
        <v>1062</v>
      </c>
      <c r="W132" t="s">
        <v>1187</v>
      </c>
      <c r="X132" t="s">
        <v>994</v>
      </c>
    </row>
    <row r="133" spans="1:24" x14ac:dyDescent="0.25">
      <c r="A133" t="s">
        <v>42</v>
      </c>
      <c r="B133" t="s">
        <v>1344</v>
      </c>
      <c r="C133" t="s">
        <v>283</v>
      </c>
      <c r="D133" t="s">
        <v>994</v>
      </c>
      <c r="E133" t="s">
        <v>1000</v>
      </c>
      <c r="F133">
        <v>0</v>
      </c>
      <c r="G133" t="s">
        <v>1126</v>
      </c>
      <c r="H133" t="s">
        <v>1342</v>
      </c>
      <c r="I133" t="s">
        <v>1343</v>
      </c>
      <c r="J133" t="s">
        <v>995</v>
      </c>
      <c r="K133" t="s">
        <v>994</v>
      </c>
      <c r="L133" t="s">
        <v>994</v>
      </c>
      <c r="M133" t="s">
        <v>994</v>
      </c>
      <c r="N133" t="s">
        <v>994</v>
      </c>
      <c r="O133" t="s">
        <v>994</v>
      </c>
      <c r="P133" t="s">
        <v>994</v>
      </c>
      <c r="Q133" t="b">
        <v>1</v>
      </c>
      <c r="R133" t="b">
        <v>0</v>
      </c>
      <c r="S133" t="s">
        <v>1033</v>
      </c>
      <c r="T133" t="s">
        <v>994</v>
      </c>
      <c r="U133" t="s">
        <v>1034</v>
      </c>
      <c r="V133" t="s">
        <v>1062</v>
      </c>
      <c r="W133" t="s">
        <v>1187</v>
      </c>
      <c r="X133" t="s">
        <v>994</v>
      </c>
    </row>
    <row r="134" spans="1:24" x14ac:dyDescent="0.25">
      <c r="A134" t="s">
        <v>42</v>
      </c>
      <c r="B134" t="s">
        <v>1345</v>
      </c>
      <c r="C134" t="s">
        <v>283</v>
      </c>
      <c r="D134" t="s">
        <v>994</v>
      </c>
      <c r="E134" t="s">
        <v>1002</v>
      </c>
      <c r="F134">
        <v>0</v>
      </c>
      <c r="G134" t="s">
        <v>1126</v>
      </c>
      <c r="H134" t="s">
        <v>1342</v>
      </c>
      <c r="I134" t="s">
        <v>1343</v>
      </c>
      <c r="J134" t="s">
        <v>995</v>
      </c>
      <c r="K134" t="s">
        <v>994</v>
      </c>
      <c r="L134" t="s">
        <v>994</v>
      </c>
      <c r="M134" t="s">
        <v>994</v>
      </c>
      <c r="N134" t="s">
        <v>994</v>
      </c>
      <c r="O134" t="s">
        <v>994</v>
      </c>
      <c r="P134" t="s">
        <v>994</v>
      </c>
      <c r="Q134" t="b">
        <v>1</v>
      </c>
      <c r="R134" t="b">
        <v>0</v>
      </c>
      <c r="S134" t="s">
        <v>1033</v>
      </c>
      <c r="T134" t="s">
        <v>994</v>
      </c>
      <c r="U134" t="s">
        <v>1034</v>
      </c>
      <c r="V134" t="s">
        <v>1062</v>
      </c>
      <c r="W134" t="s">
        <v>1187</v>
      </c>
      <c r="X134" t="s">
        <v>994</v>
      </c>
    </row>
    <row r="135" spans="1:24" x14ac:dyDescent="0.25">
      <c r="A135" t="s">
        <v>42</v>
      </c>
      <c r="B135" t="s">
        <v>1346</v>
      </c>
      <c r="C135" t="s">
        <v>283</v>
      </c>
      <c r="D135" t="s">
        <v>994</v>
      </c>
      <c r="E135" t="s">
        <v>1004</v>
      </c>
      <c r="F135">
        <v>0</v>
      </c>
      <c r="G135" t="s">
        <v>1126</v>
      </c>
      <c r="H135" t="s">
        <v>1342</v>
      </c>
      <c r="I135" t="s">
        <v>1343</v>
      </c>
      <c r="J135" t="s">
        <v>995</v>
      </c>
      <c r="K135" t="s">
        <v>994</v>
      </c>
      <c r="L135" t="s">
        <v>994</v>
      </c>
      <c r="M135" t="s">
        <v>994</v>
      </c>
      <c r="N135" t="s">
        <v>994</v>
      </c>
      <c r="O135" t="s">
        <v>994</v>
      </c>
      <c r="P135" t="s">
        <v>994</v>
      </c>
      <c r="Q135" t="b">
        <v>1</v>
      </c>
      <c r="R135" t="b">
        <v>0</v>
      </c>
      <c r="S135" t="s">
        <v>1033</v>
      </c>
      <c r="T135" t="s">
        <v>994</v>
      </c>
      <c r="U135" t="s">
        <v>1034</v>
      </c>
      <c r="V135" t="s">
        <v>1062</v>
      </c>
      <c r="W135" t="s">
        <v>1187</v>
      </c>
      <c r="X135" t="s">
        <v>994</v>
      </c>
    </row>
    <row r="136" spans="1:24" x14ac:dyDescent="0.25">
      <c r="A136" t="s">
        <v>42</v>
      </c>
      <c r="B136" t="s">
        <v>1347</v>
      </c>
      <c r="C136" t="s">
        <v>283</v>
      </c>
      <c r="D136" t="s">
        <v>994</v>
      </c>
      <c r="E136" t="s">
        <v>1006</v>
      </c>
      <c r="F136">
        <v>0</v>
      </c>
      <c r="G136" t="s">
        <v>1126</v>
      </c>
      <c r="H136" t="s">
        <v>1342</v>
      </c>
      <c r="I136" t="s">
        <v>1343</v>
      </c>
      <c r="J136" t="s">
        <v>995</v>
      </c>
      <c r="K136" t="s">
        <v>994</v>
      </c>
      <c r="L136" t="s">
        <v>994</v>
      </c>
      <c r="M136" t="s">
        <v>994</v>
      </c>
      <c r="N136" t="s">
        <v>994</v>
      </c>
      <c r="O136" t="s">
        <v>994</v>
      </c>
      <c r="P136" t="s">
        <v>994</v>
      </c>
      <c r="Q136" t="b">
        <v>1</v>
      </c>
      <c r="R136" t="b">
        <v>0</v>
      </c>
      <c r="S136" t="s">
        <v>1033</v>
      </c>
      <c r="T136" t="s">
        <v>994</v>
      </c>
      <c r="U136" t="s">
        <v>1034</v>
      </c>
      <c r="V136" t="s">
        <v>1062</v>
      </c>
      <c r="W136" t="s">
        <v>1187</v>
      </c>
      <c r="X136" t="s">
        <v>994</v>
      </c>
    </row>
    <row r="137" spans="1:24" x14ac:dyDescent="0.25">
      <c r="A137" t="s">
        <v>42</v>
      </c>
      <c r="B137" t="s">
        <v>1348</v>
      </c>
      <c r="C137" t="s">
        <v>283</v>
      </c>
      <c r="D137" t="s">
        <v>994</v>
      </c>
      <c r="E137" t="s">
        <v>1008</v>
      </c>
      <c r="F137">
        <v>0</v>
      </c>
      <c r="G137" t="s">
        <v>1126</v>
      </c>
      <c r="H137" t="s">
        <v>1342</v>
      </c>
      <c r="I137" t="s">
        <v>1343</v>
      </c>
      <c r="J137" t="s">
        <v>995</v>
      </c>
      <c r="K137" t="s">
        <v>994</v>
      </c>
      <c r="L137" t="s">
        <v>994</v>
      </c>
      <c r="M137" t="s">
        <v>994</v>
      </c>
      <c r="N137" t="s">
        <v>994</v>
      </c>
      <c r="O137" t="s">
        <v>994</v>
      </c>
      <c r="P137" t="s">
        <v>994</v>
      </c>
      <c r="Q137" t="b">
        <v>1</v>
      </c>
      <c r="R137" t="b">
        <v>0</v>
      </c>
      <c r="S137" t="s">
        <v>1033</v>
      </c>
      <c r="T137" t="s">
        <v>994</v>
      </c>
      <c r="U137" t="s">
        <v>1034</v>
      </c>
      <c r="V137" t="s">
        <v>1062</v>
      </c>
      <c r="W137" t="s">
        <v>1187</v>
      </c>
      <c r="X137" t="s">
        <v>994</v>
      </c>
    </row>
    <row r="138" spans="1:24" x14ac:dyDescent="0.25">
      <c r="A138" t="s">
        <v>42</v>
      </c>
      <c r="B138" t="s">
        <v>1349</v>
      </c>
      <c r="C138" t="s">
        <v>283</v>
      </c>
      <c r="D138" t="s">
        <v>994</v>
      </c>
      <c r="E138" t="s">
        <v>1010</v>
      </c>
      <c r="F138">
        <v>0</v>
      </c>
      <c r="G138" t="s">
        <v>1126</v>
      </c>
      <c r="H138" t="s">
        <v>1342</v>
      </c>
      <c r="I138" t="s">
        <v>1343</v>
      </c>
      <c r="J138" t="s">
        <v>995</v>
      </c>
      <c r="K138" t="s">
        <v>994</v>
      </c>
      <c r="L138" t="s">
        <v>994</v>
      </c>
      <c r="M138" t="s">
        <v>994</v>
      </c>
      <c r="N138" t="s">
        <v>994</v>
      </c>
      <c r="O138" t="s">
        <v>994</v>
      </c>
      <c r="P138" t="s">
        <v>994</v>
      </c>
      <c r="Q138" t="b">
        <v>1</v>
      </c>
      <c r="R138" t="b">
        <v>0</v>
      </c>
      <c r="S138" t="s">
        <v>1033</v>
      </c>
      <c r="T138" t="s">
        <v>994</v>
      </c>
      <c r="U138" t="s">
        <v>1034</v>
      </c>
      <c r="V138" t="s">
        <v>1062</v>
      </c>
      <c r="W138" t="s">
        <v>1187</v>
      </c>
      <c r="X138" t="s">
        <v>994</v>
      </c>
    </row>
    <row r="139" spans="1:24" x14ac:dyDescent="0.25">
      <c r="A139" t="s">
        <v>42</v>
      </c>
      <c r="B139" t="s">
        <v>1350</v>
      </c>
      <c r="C139" t="s">
        <v>283</v>
      </c>
      <c r="D139" t="s">
        <v>994</v>
      </c>
      <c r="E139" t="s">
        <v>1012</v>
      </c>
      <c r="F139">
        <v>0</v>
      </c>
      <c r="G139" t="s">
        <v>1126</v>
      </c>
      <c r="H139" t="s">
        <v>1342</v>
      </c>
      <c r="I139" t="s">
        <v>1343</v>
      </c>
      <c r="J139" t="s">
        <v>995</v>
      </c>
      <c r="K139" t="s">
        <v>994</v>
      </c>
      <c r="L139" t="s">
        <v>994</v>
      </c>
      <c r="M139" t="s">
        <v>994</v>
      </c>
      <c r="N139" t="s">
        <v>994</v>
      </c>
      <c r="O139" t="s">
        <v>994</v>
      </c>
      <c r="P139" t="s">
        <v>994</v>
      </c>
      <c r="Q139" t="b">
        <v>1</v>
      </c>
      <c r="R139" t="b">
        <v>0</v>
      </c>
      <c r="S139" t="s">
        <v>1033</v>
      </c>
      <c r="T139" t="s">
        <v>994</v>
      </c>
      <c r="U139" t="s">
        <v>1034</v>
      </c>
      <c r="V139" t="s">
        <v>1062</v>
      </c>
      <c r="W139" t="s">
        <v>1187</v>
      </c>
      <c r="X139" t="s">
        <v>994</v>
      </c>
    </row>
    <row r="140" spans="1:24" x14ac:dyDescent="0.25">
      <c r="A140" t="s">
        <v>42</v>
      </c>
      <c r="B140" t="s">
        <v>1351</v>
      </c>
      <c r="C140" t="s">
        <v>283</v>
      </c>
      <c r="D140" t="s">
        <v>994</v>
      </c>
      <c r="E140" t="s">
        <v>1014</v>
      </c>
      <c r="F140">
        <v>0</v>
      </c>
      <c r="G140" t="s">
        <v>1126</v>
      </c>
      <c r="H140" t="s">
        <v>1342</v>
      </c>
      <c r="I140" t="s">
        <v>1343</v>
      </c>
      <c r="J140" t="s">
        <v>995</v>
      </c>
      <c r="K140" t="s">
        <v>994</v>
      </c>
      <c r="L140" t="s">
        <v>994</v>
      </c>
      <c r="M140" t="s">
        <v>994</v>
      </c>
      <c r="N140" t="s">
        <v>994</v>
      </c>
      <c r="O140" t="s">
        <v>994</v>
      </c>
      <c r="P140" t="s">
        <v>994</v>
      </c>
      <c r="Q140" t="b">
        <v>1</v>
      </c>
      <c r="R140" t="b">
        <v>0</v>
      </c>
      <c r="S140" t="s">
        <v>1033</v>
      </c>
      <c r="T140" t="s">
        <v>994</v>
      </c>
      <c r="U140" t="s">
        <v>1034</v>
      </c>
      <c r="V140" t="s">
        <v>1062</v>
      </c>
      <c r="W140" t="s">
        <v>1187</v>
      </c>
      <c r="X140" t="s">
        <v>994</v>
      </c>
    </row>
    <row r="141" spans="1:24" x14ac:dyDescent="0.25">
      <c r="A141" t="s">
        <v>42</v>
      </c>
      <c r="B141" t="s">
        <v>1352</v>
      </c>
      <c r="C141" t="s">
        <v>283</v>
      </c>
      <c r="D141" t="s">
        <v>994</v>
      </c>
      <c r="E141" t="s">
        <v>1016</v>
      </c>
      <c r="F141">
        <v>0</v>
      </c>
      <c r="G141" t="s">
        <v>1126</v>
      </c>
      <c r="H141" t="s">
        <v>1342</v>
      </c>
      <c r="I141" t="s">
        <v>1343</v>
      </c>
      <c r="J141" t="s">
        <v>995</v>
      </c>
      <c r="K141" t="s">
        <v>994</v>
      </c>
      <c r="L141" t="s">
        <v>994</v>
      </c>
      <c r="M141" t="s">
        <v>994</v>
      </c>
      <c r="N141" t="s">
        <v>994</v>
      </c>
      <c r="O141" t="s">
        <v>994</v>
      </c>
      <c r="P141" t="s">
        <v>994</v>
      </c>
      <c r="Q141" t="b">
        <v>1</v>
      </c>
      <c r="R141" t="b">
        <v>0</v>
      </c>
      <c r="S141" t="s">
        <v>1033</v>
      </c>
      <c r="T141" t="s">
        <v>994</v>
      </c>
      <c r="U141" t="s">
        <v>1034</v>
      </c>
      <c r="V141" t="s">
        <v>1062</v>
      </c>
      <c r="W141" t="s">
        <v>1187</v>
      </c>
      <c r="X141" t="s">
        <v>994</v>
      </c>
    </row>
    <row r="142" spans="1:24" x14ac:dyDescent="0.25">
      <c r="A142" t="s">
        <v>42</v>
      </c>
      <c r="B142" t="s">
        <v>1353</v>
      </c>
      <c r="C142" t="s">
        <v>283</v>
      </c>
      <c r="D142" t="s">
        <v>994</v>
      </c>
      <c r="E142" t="s">
        <v>1018</v>
      </c>
      <c r="F142">
        <v>0</v>
      </c>
      <c r="G142" t="s">
        <v>1126</v>
      </c>
      <c r="H142" t="s">
        <v>1342</v>
      </c>
      <c r="I142" t="s">
        <v>1343</v>
      </c>
      <c r="J142" t="s">
        <v>995</v>
      </c>
      <c r="K142" t="s">
        <v>994</v>
      </c>
      <c r="L142" t="s">
        <v>994</v>
      </c>
      <c r="M142" t="s">
        <v>994</v>
      </c>
      <c r="N142" t="s">
        <v>994</v>
      </c>
      <c r="O142" t="s">
        <v>994</v>
      </c>
      <c r="P142" t="s">
        <v>994</v>
      </c>
      <c r="Q142" t="b">
        <v>1</v>
      </c>
      <c r="R142" t="b">
        <v>0</v>
      </c>
      <c r="S142" t="s">
        <v>1033</v>
      </c>
      <c r="T142" t="s">
        <v>994</v>
      </c>
      <c r="U142" t="s">
        <v>1034</v>
      </c>
      <c r="V142" t="s">
        <v>1062</v>
      </c>
      <c r="W142" t="s">
        <v>1187</v>
      </c>
      <c r="X142" t="s">
        <v>994</v>
      </c>
    </row>
    <row r="143" spans="1:24" x14ac:dyDescent="0.25">
      <c r="A143" t="s">
        <v>42</v>
      </c>
      <c r="B143" t="s">
        <v>1354</v>
      </c>
      <c r="C143" t="s">
        <v>283</v>
      </c>
      <c r="D143" t="s">
        <v>994</v>
      </c>
      <c r="E143" t="s">
        <v>1020</v>
      </c>
      <c r="F143">
        <v>0</v>
      </c>
      <c r="G143" t="s">
        <v>1126</v>
      </c>
      <c r="H143" t="s">
        <v>1342</v>
      </c>
      <c r="I143" t="s">
        <v>1343</v>
      </c>
      <c r="J143" t="s">
        <v>995</v>
      </c>
      <c r="K143" t="s">
        <v>994</v>
      </c>
      <c r="L143" t="s">
        <v>994</v>
      </c>
      <c r="M143" t="s">
        <v>994</v>
      </c>
      <c r="N143" t="s">
        <v>994</v>
      </c>
      <c r="O143" t="s">
        <v>994</v>
      </c>
      <c r="P143" t="s">
        <v>994</v>
      </c>
      <c r="Q143" t="b">
        <v>1</v>
      </c>
      <c r="R143" t="b">
        <v>0</v>
      </c>
      <c r="S143" t="s">
        <v>1033</v>
      </c>
      <c r="T143" t="s">
        <v>994</v>
      </c>
      <c r="U143" t="s">
        <v>1034</v>
      </c>
      <c r="V143" t="s">
        <v>1062</v>
      </c>
      <c r="W143" t="s">
        <v>1187</v>
      </c>
      <c r="X143" t="s">
        <v>994</v>
      </c>
    </row>
    <row r="144" spans="1:24" x14ac:dyDescent="0.25">
      <c r="A144" t="s">
        <v>42</v>
      </c>
      <c r="B144" t="s">
        <v>1355</v>
      </c>
      <c r="C144" t="s">
        <v>283</v>
      </c>
      <c r="D144" t="s">
        <v>994</v>
      </c>
      <c r="E144" t="s">
        <v>1022</v>
      </c>
      <c r="F144">
        <v>0</v>
      </c>
      <c r="G144" t="s">
        <v>1126</v>
      </c>
      <c r="H144" t="s">
        <v>1342</v>
      </c>
      <c r="I144" t="s">
        <v>1343</v>
      </c>
      <c r="J144" t="s">
        <v>995</v>
      </c>
      <c r="K144" t="s">
        <v>994</v>
      </c>
      <c r="L144" t="s">
        <v>994</v>
      </c>
      <c r="M144" t="s">
        <v>994</v>
      </c>
      <c r="N144" t="s">
        <v>994</v>
      </c>
      <c r="O144" t="s">
        <v>994</v>
      </c>
      <c r="P144" t="s">
        <v>994</v>
      </c>
      <c r="Q144" t="b">
        <v>1</v>
      </c>
      <c r="R144" t="b">
        <v>0</v>
      </c>
      <c r="S144" t="s">
        <v>1033</v>
      </c>
      <c r="T144" t="s">
        <v>994</v>
      </c>
      <c r="U144" t="s">
        <v>1034</v>
      </c>
      <c r="V144" t="s">
        <v>1062</v>
      </c>
      <c r="W144" t="s">
        <v>1187</v>
      </c>
      <c r="X144" t="s">
        <v>994</v>
      </c>
    </row>
    <row r="145" spans="1:24" x14ac:dyDescent="0.25">
      <c r="A145" t="s">
        <v>42</v>
      </c>
      <c r="B145" t="s">
        <v>1356</v>
      </c>
      <c r="C145" t="s">
        <v>284</v>
      </c>
      <c r="D145" t="s">
        <v>994</v>
      </c>
      <c r="E145" t="s">
        <v>992</v>
      </c>
      <c r="F145">
        <v>0</v>
      </c>
      <c r="G145" t="s">
        <v>1126</v>
      </c>
      <c r="H145" t="s">
        <v>1357</v>
      </c>
      <c r="I145" t="s">
        <v>1358</v>
      </c>
      <c r="J145" t="s">
        <v>995</v>
      </c>
      <c r="K145" t="s">
        <v>994</v>
      </c>
      <c r="L145" t="s">
        <v>994</v>
      </c>
      <c r="M145" t="s">
        <v>994</v>
      </c>
      <c r="N145" t="s">
        <v>994</v>
      </c>
      <c r="O145" t="s">
        <v>994</v>
      </c>
      <c r="P145" t="s">
        <v>994</v>
      </c>
      <c r="Q145" t="b">
        <v>1</v>
      </c>
      <c r="R145" t="b">
        <v>0</v>
      </c>
      <c r="S145" t="s">
        <v>1033</v>
      </c>
      <c r="T145" t="s">
        <v>994</v>
      </c>
      <c r="U145" t="s">
        <v>1034</v>
      </c>
      <c r="V145" t="s">
        <v>1062</v>
      </c>
      <c r="W145" t="s">
        <v>1187</v>
      </c>
      <c r="X145" t="s">
        <v>994</v>
      </c>
    </row>
    <row r="146" spans="1:24" x14ac:dyDescent="0.25">
      <c r="A146" t="s">
        <v>42</v>
      </c>
      <c r="B146" t="s">
        <v>1359</v>
      </c>
      <c r="C146" t="s">
        <v>284</v>
      </c>
      <c r="D146" t="s">
        <v>994</v>
      </c>
      <c r="E146" t="s">
        <v>1000</v>
      </c>
      <c r="F146">
        <v>0</v>
      </c>
      <c r="G146" t="s">
        <v>1126</v>
      </c>
      <c r="H146" t="s">
        <v>1357</v>
      </c>
      <c r="I146" t="s">
        <v>1358</v>
      </c>
      <c r="J146" t="s">
        <v>995</v>
      </c>
      <c r="K146" t="s">
        <v>994</v>
      </c>
      <c r="L146" t="s">
        <v>994</v>
      </c>
      <c r="M146" t="s">
        <v>994</v>
      </c>
      <c r="N146" t="s">
        <v>994</v>
      </c>
      <c r="O146" t="s">
        <v>994</v>
      </c>
      <c r="P146" t="s">
        <v>994</v>
      </c>
      <c r="Q146" t="b">
        <v>1</v>
      </c>
      <c r="R146" t="b">
        <v>0</v>
      </c>
      <c r="S146" t="s">
        <v>1033</v>
      </c>
      <c r="T146" t="s">
        <v>994</v>
      </c>
      <c r="U146" t="s">
        <v>1034</v>
      </c>
      <c r="V146" t="s">
        <v>1062</v>
      </c>
      <c r="W146" t="s">
        <v>1187</v>
      </c>
      <c r="X146" t="s">
        <v>994</v>
      </c>
    </row>
    <row r="147" spans="1:24" x14ac:dyDescent="0.25">
      <c r="A147" t="s">
        <v>42</v>
      </c>
      <c r="B147" t="s">
        <v>1360</v>
      </c>
      <c r="C147" t="s">
        <v>284</v>
      </c>
      <c r="E147" t="s">
        <v>1002</v>
      </c>
      <c r="F147">
        <v>0</v>
      </c>
      <c r="G147" t="s">
        <v>1052</v>
      </c>
      <c r="H147" t="s">
        <v>1357</v>
      </c>
      <c r="I147" t="s">
        <v>1358</v>
      </c>
      <c r="J147" t="s">
        <v>995</v>
      </c>
      <c r="K147" t="s">
        <v>994</v>
      </c>
      <c r="L147" t="s">
        <v>994</v>
      </c>
      <c r="M147" t="s">
        <v>994</v>
      </c>
      <c r="N147" t="s">
        <v>994</v>
      </c>
      <c r="O147" t="s">
        <v>994</v>
      </c>
      <c r="P147" t="s">
        <v>994</v>
      </c>
      <c r="Q147" t="b">
        <v>1</v>
      </c>
      <c r="R147" t="b">
        <v>0</v>
      </c>
      <c r="S147" t="s">
        <v>1097</v>
      </c>
      <c r="T147" t="s">
        <v>994</v>
      </c>
      <c r="U147" t="s">
        <v>1061</v>
      </c>
      <c r="V147" t="s">
        <v>1062</v>
      </c>
      <c r="W147" t="s">
        <v>1187</v>
      </c>
      <c r="X147" t="s">
        <v>994</v>
      </c>
    </row>
    <row r="148" spans="1:24" x14ac:dyDescent="0.25">
      <c r="A148" t="s">
        <v>42</v>
      </c>
      <c r="B148" t="s">
        <v>1361</v>
      </c>
      <c r="C148" t="s">
        <v>284</v>
      </c>
      <c r="D148" t="s">
        <v>994</v>
      </c>
      <c r="E148" t="s">
        <v>1004</v>
      </c>
      <c r="F148">
        <v>0</v>
      </c>
      <c r="G148" t="s">
        <v>1126</v>
      </c>
      <c r="H148" t="s">
        <v>1357</v>
      </c>
      <c r="I148" t="s">
        <v>1358</v>
      </c>
      <c r="J148" t="s">
        <v>995</v>
      </c>
      <c r="K148" t="s">
        <v>994</v>
      </c>
      <c r="L148" t="s">
        <v>994</v>
      </c>
      <c r="M148" t="s">
        <v>994</v>
      </c>
      <c r="N148" t="s">
        <v>994</v>
      </c>
      <c r="O148" t="s">
        <v>994</v>
      </c>
      <c r="P148" t="s">
        <v>994</v>
      </c>
      <c r="Q148" t="b">
        <v>1</v>
      </c>
      <c r="R148" t="b">
        <v>0</v>
      </c>
      <c r="S148" t="s">
        <v>1033</v>
      </c>
      <c r="T148" t="s">
        <v>994</v>
      </c>
      <c r="U148" t="s">
        <v>1034</v>
      </c>
      <c r="V148" t="s">
        <v>1062</v>
      </c>
      <c r="W148" t="s">
        <v>1187</v>
      </c>
      <c r="X148" t="s">
        <v>994</v>
      </c>
    </row>
    <row r="149" spans="1:24" x14ac:dyDescent="0.25">
      <c r="A149" t="s">
        <v>42</v>
      </c>
      <c r="B149" t="s">
        <v>1362</v>
      </c>
      <c r="C149" t="s">
        <v>284</v>
      </c>
      <c r="D149" t="s">
        <v>994</v>
      </c>
      <c r="E149" t="s">
        <v>1006</v>
      </c>
      <c r="F149">
        <v>0</v>
      </c>
      <c r="G149" t="s">
        <v>1126</v>
      </c>
      <c r="H149" t="s">
        <v>1357</v>
      </c>
      <c r="I149" t="s">
        <v>1358</v>
      </c>
      <c r="J149" t="s">
        <v>995</v>
      </c>
      <c r="K149" t="s">
        <v>994</v>
      </c>
      <c r="L149" t="s">
        <v>994</v>
      </c>
      <c r="M149" t="s">
        <v>994</v>
      </c>
      <c r="N149" t="s">
        <v>994</v>
      </c>
      <c r="O149" t="s">
        <v>994</v>
      </c>
      <c r="P149" t="s">
        <v>994</v>
      </c>
      <c r="Q149" t="b">
        <v>1</v>
      </c>
      <c r="R149" t="b">
        <v>0</v>
      </c>
      <c r="S149" t="s">
        <v>1033</v>
      </c>
      <c r="T149" t="s">
        <v>994</v>
      </c>
      <c r="U149" t="s">
        <v>1034</v>
      </c>
      <c r="V149" t="s">
        <v>1062</v>
      </c>
      <c r="W149" t="s">
        <v>1187</v>
      </c>
      <c r="X149" t="s">
        <v>994</v>
      </c>
    </row>
    <row r="150" spans="1:24" x14ac:dyDescent="0.25">
      <c r="A150" t="s">
        <v>42</v>
      </c>
      <c r="B150" t="s">
        <v>1363</v>
      </c>
      <c r="C150" t="s">
        <v>284</v>
      </c>
      <c r="D150" t="s">
        <v>994</v>
      </c>
      <c r="E150" t="s">
        <v>1008</v>
      </c>
      <c r="F150">
        <v>0</v>
      </c>
      <c r="G150" t="s">
        <v>1126</v>
      </c>
      <c r="H150" t="s">
        <v>1357</v>
      </c>
      <c r="I150" t="s">
        <v>1358</v>
      </c>
      <c r="J150" t="s">
        <v>995</v>
      </c>
      <c r="K150" t="s">
        <v>994</v>
      </c>
      <c r="L150" t="s">
        <v>994</v>
      </c>
      <c r="M150" t="s">
        <v>994</v>
      </c>
      <c r="N150" t="s">
        <v>994</v>
      </c>
      <c r="O150" t="s">
        <v>994</v>
      </c>
      <c r="P150" t="s">
        <v>994</v>
      </c>
      <c r="Q150" t="b">
        <v>1</v>
      </c>
      <c r="R150" t="b">
        <v>0</v>
      </c>
      <c r="S150" t="s">
        <v>1033</v>
      </c>
      <c r="T150" t="s">
        <v>994</v>
      </c>
      <c r="U150" t="s">
        <v>1034</v>
      </c>
      <c r="V150" t="s">
        <v>1062</v>
      </c>
      <c r="W150" t="s">
        <v>1187</v>
      </c>
      <c r="X150" t="s">
        <v>994</v>
      </c>
    </row>
    <row r="151" spans="1:24" x14ac:dyDescent="0.25">
      <c r="A151" t="s">
        <v>42</v>
      </c>
      <c r="B151" t="s">
        <v>1364</v>
      </c>
      <c r="C151" t="s">
        <v>284</v>
      </c>
      <c r="D151" t="s">
        <v>994</v>
      </c>
      <c r="E151" t="s">
        <v>1010</v>
      </c>
      <c r="F151">
        <v>0</v>
      </c>
      <c r="G151" t="s">
        <v>1126</v>
      </c>
      <c r="H151" t="s">
        <v>1357</v>
      </c>
      <c r="I151" t="s">
        <v>1358</v>
      </c>
      <c r="J151" t="s">
        <v>995</v>
      </c>
      <c r="K151" t="s">
        <v>994</v>
      </c>
      <c r="L151" t="s">
        <v>994</v>
      </c>
      <c r="M151" t="s">
        <v>994</v>
      </c>
      <c r="N151" t="s">
        <v>994</v>
      </c>
      <c r="O151" t="s">
        <v>994</v>
      </c>
      <c r="P151" t="s">
        <v>994</v>
      </c>
      <c r="Q151" t="b">
        <v>1</v>
      </c>
      <c r="R151" t="b">
        <v>0</v>
      </c>
      <c r="S151" t="s">
        <v>1033</v>
      </c>
      <c r="T151" t="s">
        <v>994</v>
      </c>
      <c r="U151" t="s">
        <v>1034</v>
      </c>
      <c r="V151" t="s">
        <v>1062</v>
      </c>
      <c r="W151" t="s">
        <v>1187</v>
      </c>
      <c r="X151" t="s">
        <v>994</v>
      </c>
    </row>
    <row r="152" spans="1:24" x14ac:dyDescent="0.25">
      <c r="A152" t="s">
        <v>42</v>
      </c>
      <c r="B152" t="s">
        <v>1365</v>
      </c>
      <c r="C152" t="s">
        <v>284</v>
      </c>
      <c r="D152" t="s">
        <v>994</v>
      </c>
      <c r="E152" t="s">
        <v>1012</v>
      </c>
      <c r="F152">
        <v>0</v>
      </c>
      <c r="G152" t="s">
        <v>1126</v>
      </c>
      <c r="H152" t="s">
        <v>1357</v>
      </c>
      <c r="I152" t="s">
        <v>1358</v>
      </c>
      <c r="J152" t="s">
        <v>995</v>
      </c>
      <c r="K152" t="s">
        <v>994</v>
      </c>
      <c r="L152" t="s">
        <v>994</v>
      </c>
      <c r="M152" t="s">
        <v>994</v>
      </c>
      <c r="N152" t="s">
        <v>994</v>
      </c>
      <c r="O152" t="s">
        <v>994</v>
      </c>
      <c r="P152" t="s">
        <v>994</v>
      </c>
      <c r="Q152" t="b">
        <v>1</v>
      </c>
      <c r="R152" t="b">
        <v>0</v>
      </c>
      <c r="S152" t="s">
        <v>1033</v>
      </c>
      <c r="T152" t="s">
        <v>994</v>
      </c>
      <c r="U152" t="s">
        <v>1034</v>
      </c>
      <c r="V152" t="s">
        <v>1062</v>
      </c>
      <c r="W152" t="s">
        <v>1187</v>
      </c>
      <c r="X152" t="s">
        <v>994</v>
      </c>
    </row>
    <row r="153" spans="1:24" x14ac:dyDescent="0.25">
      <c r="A153" t="s">
        <v>42</v>
      </c>
      <c r="B153" t="s">
        <v>1366</v>
      </c>
      <c r="C153" t="s">
        <v>284</v>
      </c>
      <c r="D153" t="s">
        <v>994</v>
      </c>
      <c r="E153" t="s">
        <v>1014</v>
      </c>
      <c r="F153">
        <v>0</v>
      </c>
      <c r="G153" t="s">
        <v>1126</v>
      </c>
      <c r="H153" t="s">
        <v>1357</v>
      </c>
      <c r="I153" t="s">
        <v>1358</v>
      </c>
      <c r="J153" t="s">
        <v>995</v>
      </c>
      <c r="K153" t="s">
        <v>994</v>
      </c>
      <c r="L153" t="s">
        <v>994</v>
      </c>
      <c r="M153" t="s">
        <v>994</v>
      </c>
      <c r="N153" t="s">
        <v>994</v>
      </c>
      <c r="O153" t="s">
        <v>994</v>
      </c>
      <c r="P153" t="s">
        <v>994</v>
      </c>
      <c r="Q153" t="b">
        <v>1</v>
      </c>
      <c r="R153" t="b">
        <v>0</v>
      </c>
      <c r="S153" t="s">
        <v>1033</v>
      </c>
      <c r="T153" t="s">
        <v>994</v>
      </c>
      <c r="U153" t="s">
        <v>1034</v>
      </c>
      <c r="V153" t="s">
        <v>1062</v>
      </c>
      <c r="W153" t="s">
        <v>1187</v>
      </c>
      <c r="X153" t="s">
        <v>994</v>
      </c>
    </row>
    <row r="154" spans="1:24" x14ac:dyDescent="0.25">
      <c r="A154" t="s">
        <v>42</v>
      </c>
      <c r="B154" t="s">
        <v>1367</v>
      </c>
      <c r="C154" t="s">
        <v>284</v>
      </c>
      <c r="D154" t="s">
        <v>994</v>
      </c>
      <c r="E154" t="s">
        <v>1016</v>
      </c>
      <c r="F154">
        <v>0</v>
      </c>
      <c r="G154" t="s">
        <v>1126</v>
      </c>
      <c r="H154" t="s">
        <v>1357</v>
      </c>
      <c r="I154" t="s">
        <v>1358</v>
      </c>
      <c r="J154" t="s">
        <v>995</v>
      </c>
      <c r="K154" t="s">
        <v>994</v>
      </c>
      <c r="L154" t="s">
        <v>994</v>
      </c>
      <c r="M154" t="s">
        <v>994</v>
      </c>
      <c r="N154" t="s">
        <v>994</v>
      </c>
      <c r="O154" t="s">
        <v>994</v>
      </c>
      <c r="P154" t="s">
        <v>994</v>
      </c>
      <c r="Q154" t="b">
        <v>1</v>
      </c>
      <c r="R154" t="b">
        <v>0</v>
      </c>
      <c r="S154" t="s">
        <v>1033</v>
      </c>
      <c r="T154" t="s">
        <v>994</v>
      </c>
      <c r="U154" t="s">
        <v>1034</v>
      </c>
      <c r="V154" t="s">
        <v>1062</v>
      </c>
      <c r="W154" t="s">
        <v>1187</v>
      </c>
      <c r="X154" t="s">
        <v>994</v>
      </c>
    </row>
    <row r="155" spans="1:24" x14ac:dyDescent="0.25">
      <c r="A155" t="s">
        <v>42</v>
      </c>
      <c r="B155" t="s">
        <v>1368</v>
      </c>
      <c r="C155" t="s">
        <v>284</v>
      </c>
      <c r="D155" t="s">
        <v>994</v>
      </c>
      <c r="E155" t="s">
        <v>1018</v>
      </c>
      <c r="F155">
        <v>0</v>
      </c>
      <c r="G155" t="s">
        <v>1126</v>
      </c>
      <c r="H155" t="s">
        <v>1357</v>
      </c>
      <c r="I155" t="s">
        <v>1358</v>
      </c>
      <c r="J155" t="s">
        <v>995</v>
      </c>
      <c r="K155" t="s">
        <v>994</v>
      </c>
      <c r="L155" t="s">
        <v>994</v>
      </c>
      <c r="M155" t="s">
        <v>994</v>
      </c>
      <c r="N155" t="s">
        <v>994</v>
      </c>
      <c r="O155" t="s">
        <v>994</v>
      </c>
      <c r="P155" t="s">
        <v>994</v>
      </c>
      <c r="Q155" t="b">
        <v>1</v>
      </c>
      <c r="R155" t="b">
        <v>0</v>
      </c>
      <c r="S155" t="s">
        <v>1033</v>
      </c>
      <c r="T155" t="s">
        <v>994</v>
      </c>
      <c r="U155" t="s">
        <v>1034</v>
      </c>
      <c r="V155" t="s">
        <v>1062</v>
      </c>
      <c r="W155" t="s">
        <v>1187</v>
      </c>
      <c r="X155" t="s">
        <v>994</v>
      </c>
    </row>
    <row r="156" spans="1:24" x14ac:dyDescent="0.25">
      <c r="A156" t="s">
        <v>42</v>
      </c>
      <c r="B156" t="s">
        <v>1369</v>
      </c>
      <c r="C156" t="s">
        <v>284</v>
      </c>
      <c r="D156" t="s">
        <v>994</v>
      </c>
      <c r="E156" t="s">
        <v>1020</v>
      </c>
      <c r="F156">
        <v>0</v>
      </c>
      <c r="G156" t="s">
        <v>1126</v>
      </c>
      <c r="H156" t="s">
        <v>1357</v>
      </c>
      <c r="I156" t="s">
        <v>1358</v>
      </c>
      <c r="J156" t="s">
        <v>995</v>
      </c>
      <c r="K156" t="s">
        <v>994</v>
      </c>
      <c r="L156" t="s">
        <v>994</v>
      </c>
      <c r="M156" t="s">
        <v>994</v>
      </c>
      <c r="N156" t="s">
        <v>994</v>
      </c>
      <c r="O156" t="s">
        <v>994</v>
      </c>
      <c r="P156" t="s">
        <v>994</v>
      </c>
      <c r="Q156" t="b">
        <v>1</v>
      </c>
      <c r="R156" t="b">
        <v>0</v>
      </c>
      <c r="S156" t="s">
        <v>1033</v>
      </c>
      <c r="T156" t="s">
        <v>994</v>
      </c>
      <c r="U156" t="s">
        <v>1034</v>
      </c>
      <c r="V156" t="s">
        <v>1062</v>
      </c>
      <c r="W156" t="s">
        <v>1187</v>
      </c>
      <c r="X156" t="s">
        <v>994</v>
      </c>
    </row>
    <row r="157" spans="1:24" x14ac:dyDescent="0.25">
      <c r="A157" t="s">
        <v>42</v>
      </c>
      <c r="B157" t="s">
        <v>1370</v>
      </c>
      <c r="C157" t="s">
        <v>284</v>
      </c>
      <c r="D157" t="s">
        <v>994</v>
      </c>
      <c r="E157" t="s">
        <v>1022</v>
      </c>
      <c r="F157">
        <v>0</v>
      </c>
      <c r="G157" t="s">
        <v>1126</v>
      </c>
      <c r="H157" t="s">
        <v>1357</v>
      </c>
      <c r="I157" t="s">
        <v>1358</v>
      </c>
      <c r="J157" t="s">
        <v>995</v>
      </c>
      <c r="K157" t="s">
        <v>994</v>
      </c>
      <c r="L157" t="s">
        <v>994</v>
      </c>
      <c r="M157" t="s">
        <v>994</v>
      </c>
      <c r="N157" t="s">
        <v>994</v>
      </c>
      <c r="O157" t="s">
        <v>994</v>
      </c>
      <c r="P157" t="s">
        <v>994</v>
      </c>
      <c r="Q157" t="b">
        <v>1</v>
      </c>
      <c r="R157" t="b">
        <v>0</v>
      </c>
      <c r="S157" t="s">
        <v>1033</v>
      </c>
      <c r="T157" t="s">
        <v>994</v>
      </c>
      <c r="U157" t="s">
        <v>1034</v>
      </c>
      <c r="V157" t="s">
        <v>1062</v>
      </c>
      <c r="W157" t="s">
        <v>1187</v>
      </c>
      <c r="X157" t="s">
        <v>994</v>
      </c>
    </row>
    <row r="158" spans="1:24" x14ac:dyDescent="0.25">
      <c r="A158" t="s">
        <v>42</v>
      </c>
      <c r="B158" t="s">
        <v>1371</v>
      </c>
      <c r="C158" t="s">
        <v>285</v>
      </c>
      <c r="D158" t="s">
        <v>994</v>
      </c>
      <c r="E158" t="s">
        <v>992</v>
      </c>
      <c r="F158">
        <v>0</v>
      </c>
      <c r="G158" t="s">
        <v>1126</v>
      </c>
      <c r="H158" t="s">
        <v>1372</v>
      </c>
      <c r="I158" t="s">
        <v>1373</v>
      </c>
      <c r="J158" t="s">
        <v>995</v>
      </c>
      <c r="K158" t="s">
        <v>994</v>
      </c>
      <c r="L158" t="s">
        <v>994</v>
      </c>
      <c r="M158" t="s">
        <v>994</v>
      </c>
      <c r="N158" t="s">
        <v>994</v>
      </c>
      <c r="O158" t="s">
        <v>994</v>
      </c>
      <c r="P158" t="s">
        <v>994</v>
      </c>
      <c r="Q158" t="b">
        <v>1</v>
      </c>
      <c r="R158" t="b">
        <v>0</v>
      </c>
      <c r="S158" t="s">
        <v>1033</v>
      </c>
      <c r="T158" t="s">
        <v>994</v>
      </c>
      <c r="U158" t="s">
        <v>1034</v>
      </c>
      <c r="V158" t="s">
        <v>1062</v>
      </c>
      <c r="W158" t="s">
        <v>1187</v>
      </c>
      <c r="X158" t="s">
        <v>994</v>
      </c>
    </row>
    <row r="159" spans="1:24" x14ac:dyDescent="0.25">
      <c r="A159" t="s">
        <v>42</v>
      </c>
      <c r="B159" t="s">
        <v>1374</v>
      </c>
      <c r="C159" t="s">
        <v>285</v>
      </c>
      <c r="D159" t="s">
        <v>994</v>
      </c>
      <c r="E159" t="s">
        <v>1000</v>
      </c>
      <c r="F159">
        <v>0</v>
      </c>
      <c r="G159" t="s">
        <v>1126</v>
      </c>
      <c r="H159" t="s">
        <v>1372</v>
      </c>
      <c r="I159" t="s">
        <v>1373</v>
      </c>
      <c r="J159" t="s">
        <v>995</v>
      </c>
      <c r="K159" t="s">
        <v>994</v>
      </c>
      <c r="L159" t="s">
        <v>994</v>
      </c>
      <c r="M159" t="s">
        <v>994</v>
      </c>
      <c r="N159" t="s">
        <v>994</v>
      </c>
      <c r="O159" t="s">
        <v>994</v>
      </c>
      <c r="P159" t="s">
        <v>994</v>
      </c>
      <c r="Q159" t="b">
        <v>1</v>
      </c>
      <c r="R159" t="b">
        <v>0</v>
      </c>
      <c r="S159" t="s">
        <v>1033</v>
      </c>
      <c r="T159" t="s">
        <v>994</v>
      </c>
      <c r="U159" t="s">
        <v>1034</v>
      </c>
      <c r="V159" t="s">
        <v>1062</v>
      </c>
      <c r="W159" t="s">
        <v>1187</v>
      </c>
      <c r="X159" t="s">
        <v>994</v>
      </c>
    </row>
    <row r="160" spans="1:24" x14ac:dyDescent="0.25">
      <c r="A160" t="s">
        <v>42</v>
      </c>
      <c r="B160" t="s">
        <v>1375</v>
      </c>
      <c r="C160" t="s">
        <v>285</v>
      </c>
      <c r="D160" t="s">
        <v>994</v>
      </c>
      <c r="E160" t="s">
        <v>1002</v>
      </c>
      <c r="F160">
        <v>0</v>
      </c>
      <c r="G160" t="s">
        <v>1126</v>
      </c>
      <c r="H160" t="s">
        <v>1372</v>
      </c>
      <c r="I160" t="s">
        <v>1373</v>
      </c>
      <c r="J160" t="s">
        <v>995</v>
      </c>
      <c r="K160" t="s">
        <v>994</v>
      </c>
      <c r="L160" t="s">
        <v>994</v>
      </c>
      <c r="M160" t="s">
        <v>994</v>
      </c>
      <c r="N160" t="s">
        <v>994</v>
      </c>
      <c r="O160" t="s">
        <v>994</v>
      </c>
      <c r="P160" t="s">
        <v>994</v>
      </c>
      <c r="Q160" t="b">
        <v>1</v>
      </c>
      <c r="R160" t="b">
        <v>0</v>
      </c>
      <c r="S160" t="s">
        <v>1033</v>
      </c>
      <c r="T160" t="s">
        <v>994</v>
      </c>
      <c r="U160" t="s">
        <v>1034</v>
      </c>
      <c r="V160" t="s">
        <v>1062</v>
      </c>
      <c r="W160" t="s">
        <v>1187</v>
      </c>
      <c r="X160" t="s">
        <v>994</v>
      </c>
    </row>
    <row r="161" spans="1:24" x14ac:dyDescent="0.25">
      <c r="A161" t="s">
        <v>42</v>
      </c>
      <c r="B161" t="s">
        <v>1376</v>
      </c>
      <c r="C161" t="s">
        <v>285</v>
      </c>
      <c r="D161" t="s">
        <v>994</v>
      </c>
      <c r="E161" t="s">
        <v>1004</v>
      </c>
      <c r="F161">
        <v>0</v>
      </c>
      <c r="G161" t="s">
        <v>1126</v>
      </c>
      <c r="H161" t="s">
        <v>1372</v>
      </c>
      <c r="I161" t="s">
        <v>1373</v>
      </c>
      <c r="J161" t="s">
        <v>995</v>
      </c>
      <c r="K161" t="s">
        <v>994</v>
      </c>
      <c r="L161" t="s">
        <v>994</v>
      </c>
      <c r="M161" t="s">
        <v>994</v>
      </c>
      <c r="N161" t="s">
        <v>994</v>
      </c>
      <c r="O161" t="s">
        <v>994</v>
      </c>
      <c r="P161" t="s">
        <v>994</v>
      </c>
      <c r="Q161" t="b">
        <v>1</v>
      </c>
      <c r="R161" t="b">
        <v>0</v>
      </c>
      <c r="S161" t="s">
        <v>1033</v>
      </c>
      <c r="T161" t="s">
        <v>994</v>
      </c>
      <c r="U161" t="s">
        <v>1034</v>
      </c>
      <c r="V161" t="s">
        <v>1062</v>
      </c>
      <c r="W161" t="s">
        <v>1187</v>
      </c>
      <c r="X161" t="s">
        <v>994</v>
      </c>
    </row>
    <row r="162" spans="1:24" x14ac:dyDescent="0.25">
      <c r="A162" t="s">
        <v>42</v>
      </c>
      <c r="B162" t="s">
        <v>1377</v>
      </c>
      <c r="C162" t="s">
        <v>285</v>
      </c>
      <c r="D162" t="s">
        <v>994</v>
      </c>
      <c r="E162" t="s">
        <v>1006</v>
      </c>
      <c r="F162">
        <v>0</v>
      </c>
      <c r="G162" t="s">
        <v>1126</v>
      </c>
      <c r="H162" t="s">
        <v>1372</v>
      </c>
      <c r="I162" t="s">
        <v>1373</v>
      </c>
      <c r="J162" t="s">
        <v>995</v>
      </c>
      <c r="K162" t="s">
        <v>994</v>
      </c>
      <c r="L162" t="s">
        <v>994</v>
      </c>
      <c r="M162" t="s">
        <v>994</v>
      </c>
      <c r="N162" t="s">
        <v>994</v>
      </c>
      <c r="O162" t="s">
        <v>994</v>
      </c>
      <c r="P162" t="s">
        <v>994</v>
      </c>
      <c r="Q162" t="b">
        <v>1</v>
      </c>
      <c r="R162" t="b">
        <v>0</v>
      </c>
      <c r="S162" t="s">
        <v>1033</v>
      </c>
      <c r="T162" t="s">
        <v>994</v>
      </c>
      <c r="U162" t="s">
        <v>1034</v>
      </c>
      <c r="V162" t="s">
        <v>1062</v>
      </c>
      <c r="W162" t="s">
        <v>1187</v>
      </c>
      <c r="X162" t="s">
        <v>994</v>
      </c>
    </row>
    <row r="163" spans="1:24" x14ac:dyDescent="0.25">
      <c r="A163" t="s">
        <v>42</v>
      </c>
      <c r="B163" t="s">
        <v>1378</v>
      </c>
      <c r="C163" t="s">
        <v>285</v>
      </c>
      <c r="D163" t="s">
        <v>994</v>
      </c>
      <c r="E163" t="s">
        <v>1008</v>
      </c>
      <c r="F163">
        <v>0</v>
      </c>
      <c r="G163" t="s">
        <v>1126</v>
      </c>
      <c r="H163" t="s">
        <v>1372</v>
      </c>
      <c r="I163" t="s">
        <v>1373</v>
      </c>
      <c r="J163" t="s">
        <v>995</v>
      </c>
      <c r="K163" t="s">
        <v>994</v>
      </c>
      <c r="L163" t="s">
        <v>994</v>
      </c>
      <c r="M163" t="s">
        <v>994</v>
      </c>
      <c r="N163" t="s">
        <v>994</v>
      </c>
      <c r="O163" t="s">
        <v>994</v>
      </c>
      <c r="P163" t="s">
        <v>994</v>
      </c>
      <c r="Q163" t="b">
        <v>1</v>
      </c>
      <c r="R163" t="b">
        <v>0</v>
      </c>
      <c r="S163" t="s">
        <v>1033</v>
      </c>
      <c r="T163" t="s">
        <v>994</v>
      </c>
      <c r="U163" t="s">
        <v>1034</v>
      </c>
      <c r="V163" t="s">
        <v>1062</v>
      </c>
      <c r="W163" t="s">
        <v>1187</v>
      </c>
      <c r="X163" t="s">
        <v>994</v>
      </c>
    </row>
    <row r="164" spans="1:24" x14ac:dyDescent="0.25">
      <c r="A164" t="s">
        <v>42</v>
      </c>
      <c r="B164" t="s">
        <v>1379</v>
      </c>
      <c r="C164" t="s">
        <v>285</v>
      </c>
      <c r="D164" t="s">
        <v>994</v>
      </c>
      <c r="E164" t="s">
        <v>1010</v>
      </c>
      <c r="F164">
        <v>0</v>
      </c>
      <c r="G164" t="s">
        <v>1126</v>
      </c>
      <c r="H164" t="s">
        <v>1372</v>
      </c>
      <c r="I164" t="s">
        <v>1373</v>
      </c>
      <c r="J164" t="s">
        <v>995</v>
      </c>
      <c r="K164" t="s">
        <v>994</v>
      </c>
      <c r="L164" t="s">
        <v>994</v>
      </c>
      <c r="M164" t="s">
        <v>994</v>
      </c>
      <c r="N164" t="s">
        <v>994</v>
      </c>
      <c r="O164" t="s">
        <v>994</v>
      </c>
      <c r="P164" t="s">
        <v>994</v>
      </c>
      <c r="Q164" t="b">
        <v>1</v>
      </c>
      <c r="R164" t="b">
        <v>0</v>
      </c>
      <c r="S164" t="s">
        <v>1033</v>
      </c>
      <c r="T164" t="s">
        <v>994</v>
      </c>
      <c r="U164" t="s">
        <v>1034</v>
      </c>
      <c r="V164" t="s">
        <v>1062</v>
      </c>
      <c r="W164" t="s">
        <v>1187</v>
      </c>
      <c r="X164" t="s">
        <v>994</v>
      </c>
    </row>
    <row r="165" spans="1:24" x14ac:dyDescent="0.25">
      <c r="A165" t="s">
        <v>42</v>
      </c>
      <c r="B165" t="s">
        <v>1380</v>
      </c>
      <c r="C165" t="s">
        <v>285</v>
      </c>
      <c r="D165" t="s">
        <v>994</v>
      </c>
      <c r="E165" t="s">
        <v>1012</v>
      </c>
      <c r="F165">
        <v>0</v>
      </c>
      <c r="G165" t="s">
        <v>1126</v>
      </c>
      <c r="H165" t="s">
        <v>1372</v>
      </c>
      <c r="I165" t="s">
        <v>1373</v>
      </c>
      <c r="J165" t="s">
        <v>995</v>
      </c>
      <c r="K165" t="s">
        <v>994</v>
      </c>
      <c r="L165" t="s">
        <v>994</v>
      </c>
      <c r="M165" t="s">
        <v>994</v>
      </c>
      <c r="N165" t="s">
        <v>994</v>
      </c>
      <c r="O165" t="s">
        <v>994</v>
      </c>
      <c r="P165" t="s">
        <v>994</v>
      </c>
      <c r="Q165" t="b">
        <v>1</v>
      </c>
      <c r="R165" t="b">
        <v>0</v>
      </c>
      <c r="S165" t="s">
        <v>1033</v>
      </c>
      <c r="T165" t="s">
        <v>994</v>
      </c>
      <c r="U165" t="s">
        <v>1034</v>
      </c>
      <c r="V165" t="s">
        <v>1062</v>
      </c>
      <c r="W165" t="s">
        <v>1187</v>
      </c>
      <c r="X165" t="s">
        <v>994</v>
      </c>
    </row>
    <row r="166" spans="1:24" x14ac:dyDescent="0.25">
      <c r="A166" t="s">
        <v>42</v>
      </c>
      <c r="B166" t="s">
        <v>1381</v>
      </c>
      <c r="C166" t="s">
        <v>285</v>
      </c>
      <c r="D166" t="s">
        <v>994</v>
      </c>
      <c r="E166" t="s">
        <v>1022</v>
      </c>
      <c r="F166">
        <v>0</v>
      </c>
      <c r="G166" t="s">
        <v>1126</v>
      </c>
      <c r="H166" t="s">
        <v>1372</v>
      </c>
      <c r="I166" t="s">
        <v>1373</v>
      </c>
      <c r="J166" t="s">
        <v>995</v>
      </c>
      <c r="K166" t="s">
        <v>994</v>
      </c>
      <c r="L166" t="s">
        <v>994</v>
      </c>
      <c r="M166" t="s">
        <v>994</v>
      </c>
      <c r="N166" t="s">
        <v>994</v>
      </c>
      <c r="O166" t="s">
        <v>994</v>
      </c>
      <c r="P166" t="s">
        <v>994</v>
      </c>
      <c r="Q166" t="b">
        <v>1</v>
      </c>
      <c r="R166" t="b">
        <v>0</v>
      </c>
      <c r="S166" t="s">
        <v>1033</v>
      </c>
      <c r="T166" t="s">
        <v>994</v>
      </c>
      <c r="U166" t="s">
        <v>1034</v>
      </c>
      <c r="V166" t="s">
        <v>1062</v>
      </c>
      <c r="W166" t="s">
        <v>1187</v>
      </c>
      <c r="X166" t="s">
        <v>994</v>
      </c>
    </row>
    <row r="167" spans="1:24" x14ac:dyDescent="0.25">
      <c r="A167" t="s">
        <v>42</v>
      </c>
      <c r="B167" t="s">
        <v>1382</v>
      </c>
      <c r="C167" t="s">
        <v>286</v>
      </c>
      <c r="D167" t="s">
        <v>994</v>
      </c>
      <c r="E167" t="s">
        <v>1006</v>
      </c>
      <c r="F167">
        <v>0</v>
      </c>
      <c r="G167" t="s">
        <v>1126</v>
      </c>
      <c r="H167" t="s">
        <v>1383</v>
      </c>
      <c r="I167" t="s">
        <v>1384</v>
      </c>
      <c r="J167" t="s">
        <v>995</v>
      </c>
      <c r="K167" t="s">
        <v>1385</v>
      </c>
      <c r="L167" t="s">
        <v>1386</v>
      </c>
      <c r="M167" t="s">
        <v>1029</v>
      </c>
      <c r="N167" t="s">
        <v>1387</v>
      </c>
      <c r="O167" t="s">
        <v>1068</v>
      </c>
      <c r="P167" t="s">
        <v>1069</v>
      </c>
      <c r="Q167" t="b">
        <v>1</v>
      </c>
      <c r="R167" t="b">
        <v>0</v>
      </c>
      <c r="S167" t="s">
        <v>1033</v>
      </c>
      <c r="T167" t="s">
        <v>994</v>
      </c>
      <c r="U167" t="s">
        <v>1034</v>
      </c>
      <c r="V167" t="s">
        <v>1062</v>
      </c>
      <c r="W167" t="s">
        <v>1035</v>
      </c>
      <c r="X167" t="s">
        <v>1388</v>
      </c>
    </row>
    <row r="168" spans="1:24" x14ac:dyDescent="0.25">
      <c r="A168" t="s">
        <v>42</v>
      </c>
      <c r="B168" t="s">
        <v>1389</v>
      </c>
      <c r="C168" t="s">
        <v>286</v>
      </c>
      <c r="D168" t="s">
        <v>994</v>
      </c>
      <c r="E168" t="s">
        <v>1008</v>
      </c>
      <c r="F168">
        <v>0</v>
      </c>
      <c r="G168" t="s">
        <v>1126</v>
      </c>
      <c r="H168" t="s">
        <v>1390</v>
      </c>
      <c r="I168" t="s">
        <v>1384</v>
      </c>
      <c r="J168" t="s">
        <v>995</v>
      </c>
      <c r="K168" t="s">
        <v>1072</v>
      </c>
      <c r="L168" t="s">
        <v>1073</v>
      </c>
      <c r="M168" t="s">
        <v>1029</v>
      </c>
      <c r="N168" t="s">
        <v>1074</v>
      </c>
      <c r="O168" t="s">
        <v>1075</v>
      </c>
      <c r="P168" t="s">
        <v>1076</v>
      </c>
      <c r="Q168" t="b">
        <v>1</v>
      </c>
      <c r="R168" t="b">
        <v>0</v>
      </c>
      <c r="S168" t="s">
        <v>1033</v>
      </c>
      <c r="T168" t="s">
        <v>994</v>
      </c>
      <c r="U168" t="s">
        <v>1034</v>
      </c>
      <c r="V168" t="s">
        <v>1062</v>
      </c>
      <c r="W168" t="s">
        <v>1035</v>
      </c>
      <c r="X168" t="s">
        <v>1388</v>
      </c>
    </row>
    <row r="169" spans="1:24" x14ac:dyDescent="0.25">
      <c r="A169" t="s">
        <v>42</v>
      </c>
      <c r="B169" t="s">
        <v>1391</v>
      </c>
      <c r="C169" t="s">
        <v>286</v>
      </c>
      <c r="D169" t="s">
        <v>994</v>
      </c>
      <c r="E169" t="s">
        <v>1010</v>
      </c>
      <c r="F169">
        <v>0</v>
      </c>
      <c r="G169" t="s">
        <v>1126</v>
      </c>
      <c r="H169" t="s">
        <v>1392</v>
      </c>
      <c r="I169" t="s">
        <v>1384</v>
      </c>
      <c r="J169" t="s">
        <v>995</v>
      </c>
      <c r="K169" t="s">
        <v>1079</v>
      </c>
      <c r="L169" t="s">
        <v>1080</v>
      </c>
      <c r="M169" t="s">
        <v>1029</v>
      </c>
      <c r="N169" t="s">
        <v>1081</v>
      </c>
      <c r="O169" t="s">
        <v>1082</v>
      </c>
      <c r="P169" t="s">
        <v>1083</v>
      </c>
      <c r="Q169" t="b">
        <v>1</v>
      </c>
      <c r="R169" t="b">
        <v>0</v>
      </c>
      <c r="S169" t="s">
        <v>1033</v>
      </c>
      <c r="T169" t="s">
        <v>994</v>
      </c>
      <c r="U169" t="s">
        <v>1034</v>
      </c>
      <c r="V169" t="s">
        <v>1062</v>
      </c>
      <c r="W169" t="s">
        <v>1035</v>
      </c>
      <c r="X169" t="s">
        <v>1388</v>
      </c>
    </row>
    <row r="170" spans="1:24" x14ac:dyDescent="0.25">
      <c r="A170" t="s">
        <v>42</v>
      </c>
      <c r="B170" t="s">
        <v>1393</v>
      </c>
      <c r="C170" t="s">
        <v>286</v>
      </c>
      <c r="D170" t="s">
        <v>994</v>
      </c>
      <c r="E170" t="s">
        <v>1012</v>
      </c>
      <c r="F170">
        <v>0</v>
      </c>
      <c r="G170" t="s">
        <v>1126</v>
      </c>
      <c r="H170" t="s">
        <v>1394</v>
      </c>
      <c r="I170" t="s">
        <v>1395</v>
      </c>
      <c r="J170" t="s">
        <v>995</v>
      </c>
      <c r="K170" t="s">
        <v>1086</v>
      </c>
      <c r="L170" t="s">
        <v>1087</v>
      </c>
      <c r="M170" t="s">
        <v>1057</v>
      </c>
      <c r="N170" t="s">
        <v>1088</v>
      </c>
      <c r="O170" t="s">
        <v>1068</v>
      </c>
      <c r="P170" t="s">
        <v>1089</v>
      </c>
      <c r="Q170" t="b">
        <v>1</v>
      </c>
      <c r="R170" t="b">
        <v>0</v>
      </c>
      <c r="S170" t="s">
        <v>1033</v>
      </c>
      <c r="T170" t="s">
        <v>994</v>
      </c>
      <c r="U170" t="s">
        <v>1034</v>
      </c>
      <c r="V170" t="s">
        <v>1062</v>
      </c>
      <c r="W170" t="s">
        <v>1035</v>
      </c>
      <c r="X170" t="s">
        <v>994</v>
      </c>
    </row>
    <row r="171" spans="1:24" x14ac:dyDescent="0.25">
      <c r="A171" t="s">
        <v>42</v>
      </c>
      <c r="B171" t="s">
        <v>1396</v>
      </c>
      <c r="C171" t="s">
        <v>286</v>
      </c>
      <c r="D171" t="s">
        <v>994</v>
      </c>
      <c r="E171" t="s">
        <v>1022</v>
      </c>
      <c r="F171">
        <v>0</v>
      </c>
      <c r="G171" t="s">
        <v>1126</v>
      </c>
      <c r="H171" t="s">
        <v>1397</v>
      </c>
      <c r="I171" t="s">
        <v>1384</v>
      </c>
      <c r="J171" t="s">
        <v>995</v>
      </c>
      <c r="K171" t="s">
        <v>1120</v>
      </c>
      <c r="L171" t="s">
        <v>1121</v>
      </c>
      <c r="M171" t="s">
        <v>1029</v>
      </c>
      <c r="N171" t="s">
        <v>1122</v>
      </c>
      <c r="O171" t="s">
        <v>1123</v>
      </c>
      <c r="P171" t="s">
        <v>1124</v>
      </c>
      <c r="Q171" t="b">
        <v>1</v>
      </c>
      <c r="R171" t="b">
        <v>0</v>
      </c>
      <c r="S171" t="s">
        <v>1033</v>
      </c>
      <c r="T171" t="s">
        <v>994</v>
      </c>
      <c r="U171" t="s">
        <v>1034</v>
      </c>
      <c r="V171" t="s">
        <v>1062</v>
      </c>
      <c r="W171" t="s">
        <v>1035</v>
      </c>
      <c r="X171" t="s">
        <v>1388</v>
      </c>
    </row>
    <row r="172" spans="1:24" x14ac:dyDescent="0.25">
      <c r="A172" t="s">
        <v>42</v>
      </c>
      <c r="B172" t="s">
        <v>1398</v>
      </c>
      <c r="C172" t="s">
        <v>330</v>
      </c>
      <c r="D172" t="s">
        <v>323</v>
      </c>
      <c r="E172" t="s">
        <v>992</v>
      </c>
      <c r="F172">
        <v>115102</v>
      </c>
      <c r="G172" t="s">
        <v>1052</v>
      </c>
      <c r="H172" t="s">
        <v>1399</v>
      </c>
      <c r="I172" t="s">
        <v>1400</v>
      </c>
      <c r="J172" t="s">
        <v>1401</v>
      </c>
      <c r="K172" t="s">
        <v>1027</v>
      </c>
      <c r="L172" t="s">
        <v>1028</v>
      </c>
      <c r="M172" t="s">
        <v>1029</v>
      </c>
      <c r="N172" t="s">
        <v>1030</v>
      </c>
      <c r="O172" t="s">
        <v>994</v>
      </c>
      <c r="P172" t="s">
        <v>1032</v>
      </c>
      <c r="Q172" t="b">
        <v>1</v>
      </c>
      <c r="R172" t="b">
        <v>0</v>
      </c>
      <c r="S172" t="s">
        <v>1097</v>
      </c>
      <c r="T172" t="s">
        <v>994</v>
      </c>
      <c r="U172" t="s">
        <v>1061</v>
      </c>
      <c r="V172" t="s">
        <v>997</v>
      </c>
      <c r="W172" t="s">
        <v>1035</v>
      </c>
      <c r="X172" t="s">
        <v>1402</v>
      </c>
    </row>
    <row r="173" spans="1:24" x14ac:dyDescent="0.25">
      <c r="A173" t="s">
        <v>42</v>
      </c>
      <c r="B173" t="s">
        <v>1403</v>
      </c>
      <c r="C173" t="s">
        <v>330</v>
      </c>
      <c r="D173" t="s">
        <v>323</v>
      </c>
      <c r="E173" t="s">
        <v>1000</v>
      </c>
      <c r="F173">
        <v>118332</v>
      </c>
      <c r="G173" t="s">
        <v>1052</v>
      </c>
      <c r="H173" t="s">
        <v>1404</v>
      </c>
      <c r="I173" t="s">
        <v>1400</v>
      </c>
      <c r="J173" t="s">
        <v>1401</v>
      </c>
      <c r="K173" t="s">
        <v>1039</v>
      </c>
      <c r="L173" t="s">
        <v>1040</v>
      </c>
      <c r="M173" t="s">
        <v>1029</v>
      </c>
      <c r="N173" t="s">
        <v>1041</v>
      </c>
      <c r="O173" t="s">
        <v>994</v>
      </c>
      <c r="P173" t="s">
        <v>1043</v>
      </c>
      <c r="Q173" t="b">
        <v>1</v>
      </c>
      <c r="R173" t="b">
        <v>0</v>
      </c>
      <c r="S173" t="s">
        <v>1097</v>
      </c>
      <c r="T173" t="s">
        <v>994</v>
      </c>
      <c r="U173" t="s">
        <v>1061</v>
      </c>
      <c r="V173" t="s">
        <v>997</v>
      </c>
      <c r="W173" t="s">
        <v>1035</v>
      </c>
      <c r="X173" t="s">
        <v>1402</v>
      </c>
    </row>
    <row r="174" spans="1:24" x14ac:dyDescent="0.25">
      <c r="A174" t="s">
        <v>42</v>
      </c>
      <c r="B174" t="s">
        <v>1405</v>
      </c>
      <c r="C174" t="s">
        <v>330</v>
      </c>
      <c r="D174" t="s">
        <v>323</v>
      </c>
      <c r="E174" t="s">
        <v>1002</v>
      </c>
      <c r="F174">
        <v>119935</v>
      </c>
      <c r="G174" t="s">
        <v>1052</v>
      </c>
      <c r="H174" t="s">
        <v>1406</v>
      </c>
      <c r="I174" t="s">
        <v>1400</v>
      </c>
      <c r="J174" t="s">
        <v>1401</v>
      </c>
      <c r="K174" t="s">
        <v>1046</v>
      </c>
      <c r="L174" t="s">
        <v>1047</v>
      </c>
      <c r="M174" t="s">
        <v>1029</v>
      </c>
      <c r="N174" t="s">
        <v>1048</v>
      </c>
      <c r="O174" t="s">
        <v>994</v>
      </c>
      <c r="P174" t="s">
        <v>1050</v>
      </c>
      <c r="Q174" t="b">
        <v>1</v>
      </c>
      <c r="R174" t="b">
        <v>0</v>
      </c>
      <c r="S174" t="s">
        <v>1097</v>
      </c>
      <c r="T174" t="s">
        <v>994</v>
      </c>
      <c r="U174" t="s">
        <v>1061</v>
      </c>
      <c r="V174" t="s">
        <v>997</v>
      </c>
      <c r="W174" t="s">
        <v>1035</v>
      </c>
      <c r="X174" t="s">
        <v>1402</v>
      </c>
    </row>
    <row r="175" spans="1:24" x14ac:dyDescent="0.25">
      <c r="A175" t="s">
        <v>42</v>
      </c>
      <c r="B175" t="s">
        <v>1407</v>
      </c>
      <c r="C175" t="s">
        <v>330</v>
      </c>
      <c r="D175" t="s">
        <v>323</v>
      </c>
      <c r="E175" t="s">
        <v>1004</v>
      </c>
      <c r="F175">
        <v>110916</v>
      </c>
      <c r="G175" t="s">
        <v>1052</v>
      </c>
      <c r="H175" t="s">
        <v>1408</v>
      </c>
      <c r="I175" t="s">
        <v>1400</v>
      </c>
      <c r="J175" t="s">
        <v>1401</v>
      </c>
      <c r="K175" t="s">
        <v>1055</v>
      </c>
      <c r="L175" t="s">
        <v>1056</v>
      </c>
      <c r="M175" t="s">
        <v>1057</v>
      </c>
      <c r="N175" t="s">
        <v>1058</v>
      </c>
      <c r="O175" t="s">
        <v>994</v>
      </c>
      <c r="P175" t="s">
        <v>1059</v>
      </c>
      <c r="Q175" t="b">
        <v>1</v>
      </c>
      <c r="R175" t="b">
        <v>0</v>
      </c>
      <c r="S175" t="s">
        <v>1097</v>
      </c>
      <c r="T175" t="s">
        <v>994</v>
      </c>
      <c r="U175" t="s">
        <v>1061</v>
      </c>
      <c r="V175" t="s">
        <v>997</v>
      </c>
      <c r="W175" t="s">
        <v>1035</v>
      </c>
      <c r="X175" t="s">
        <v>1402</v>
      </c>
    </row>
    <row r="176" spans="1:24" x14ac:dyDescent="0.25">
      <c r="A176" t="s">
        <v>42</v>
      </c>
      <c r="B176" t="s">
        <v>1409</v>
      </c>
      <c r="C176" t="s">
        <v>330</v>
      </c>
      <c r="D176" t="s">
        <v>323</v>
      </c>
      <c r="E176" t="s">
        <v>1006</v>
      </c>
      <c r="F176">
        <v>108090</v>
      </c>
      <c r="G176" t="s">
        <v>1052</v>
      </c>
      <c r="H176" t="s">
        <v>1410</v>
      </c>
      <c r="I176" t="s">
        <v>1400</v>
      </c>
      <c r="J176" t="s">
        <v>1401</v>
      </c>
      <c r="K176" t="s">
        <v>1065</v>
      </c>
      <c r="L176" t="s">
        <v>1066</v>
      </c>
      <c r="M176" t="s">
        <v>1029</v>
      </c>
      <c r="N176" t="s">
        <v>1067</v>
      </c>
      <c r="O176" t="s">
        <v>994</v>
      </c>
      <c r="P176" t="s">
        <v>1069</v>
      </c>
      <c r="Q176" t="b">
        <v>1</v>
      </c>
      <c r="R176" t="b">
        <v>0</v>
      </c>
      <c r="S176" t="s">
        <v>1097</v>
      </c>
      <c r="T176" t="s">
        <v>994</v>
      </c>
      <c r="U176" t="s">
        <v>1061</v>
      </c>
      <c r="V176" t="s">
        <v>997</v>
      </c>
      <c r="W176" t="s">
        <v>1035</v>
      </c>
      <c r="X176" t="s">
        <v>1402</v>
      </c>
    </row>
    <row r="177" spans="1:24" x14ac:dyDescent="0.25">
      <c r="A177" t="s">
        <v>42</v>
      </c>
      <c r="B177" t="s">
        <v>1411</v>
      </c>
      <c r="C177" t="s">
        <v>330</v>
      </c>
      <c r="D177" t="s">
        <v>323</v>
      </c>
      <c r="E177" t="s">
        <v>1008</v>
      </c>
      <c r="F177">
        <v>100725</v>
      </c>
      <c r="G177" t="s">
        <v>1052</v>
      </c>
      <c r="H177" t="s">
        <v>1412</v>
      </c>
      <c r="I177" t="s">
        <v>1400</v>
      </c>
      <c r="J177" t="s">
        <v>1401</v>
      </c>
      <c r="K177" t="s">
        <v>1072</v>
      </c>
      <c r="L177" t="s">
        <v>1073</v>
      </c>
      <c r="M177" t="s">
        <v>1029</v>
      </c>
      <c r="N177" t="s">
        <v>1074</v>
      </c>
      <c r="O177" t="s">
        <v>994</v>
      </c>
      <c r="P177" t="s">
        <v>1076</v>
      </c>
      <c r="Q177" t="b">
        <v>1</v>
      </c>
      <c r="R177" t="b">
        <v>0</v>
      </c>
      <c r="S177" t="s">
        <v>1097</v>
      </c>
      <c r="T177" t="s">
        <v>994</v>
      </c>
      <c r="U177" t="s">
        <v>1061</v>
      </c>
      <c r="V177" t="s">
        <v>997</v>
      </c>
      <c r="W177" t="s">
        <v>1035</v>
      </c>
      <c r="X177" t="s">
        <v>1402</v>
      </c>
    </row>
    <row r="178" spans="1:24" x14ac:dyDescent="0.25">
      <c r="A178" t="s">
        <v>42</v>
      </c>
      <c r="B178" t="s">
        <v>1413</v>
      </c>
      <c r="C178" t="s">
        <v>330</v>
      </c>
      <c r="D178" t="s">
        <v>323</v>
      </c>
      <c r="E178" t="s">
        <v>1010</v>
      </c>
      <c r="F178">
        <v>93230</v>
      </c>
      <c r="G178" t="s">
        <v>1052</v>
      </c>
      <c r="H178" t="s">
        <v>1414</v>
      </c>
      <c r="I178" t="s">
        <v>1400</v>
      </c>
      <c r="J178" t="s">
        <v>1401</v>
      </c>
      <c r="K178" t="s">
        <v>1079</v>
      </c>
      <c r="L178" t="s">
        <v>1080</v>
      </c>
      <c r="M178" t="s">
        <v>1029</v>
      </c>
      <c r="N178" t="s">
        <v>1081</v>
      </c>
      <c r="O178" t="s">
        <v>994</v>
      </c>
      <c r="P178" t="s">
        <v>1083</v>
      </c>
      <c r="Q178" t="b">
        <v>1</v>
      </c>
      <c r="R178" t="b">
        <v>0</v>
      </c>
      <c r="S178" t="s">
        <v>1097</v>
      </c>
      <c r="T178" t="s">
        <v>994</v>
      </c>
      <c r="U178" t="s">
        <v>1061</v>
      </c>
      <c r="V178" t="s">
        <v>997</v>
      </c>
      <c r="W178" t="s">
        <v>1035</v>
      </c>
      <c r="X178" t="s">
        <v>1402</v>
      </c>
    </row>
    <row r="179" spans="1:24" x14ac:dyDescent="0.25">
      <c r="A179" t="s">
        <v>42</v>
      </c>
      <c r="B179" t="s">
        <v>1415</v>
      </c>
      <c r="C179" t="s">
        <v>330</v>
      </c>
      <c r="D179" t="s">
        <v>323</v>
      </c>
      <c r="E179" t="s">
        <v>1012</v>
      </c>
      <c r="F179">
        <v>95657</v>
      </c>
      <c r="G179" t="s">
        <v>1052</v>
      </c>
      <c r="H179" t="s">
        <v>1416</v>
      </c>
      <c r="I179" t="s">
        <v>1400</v>
      </c>
      <c r="J179" t="s">
        <v>1401</v>
      </c>
      <c r="K179" t="s">
        <v>1086</v>
      </c>
      <c r="L179" t="s">
        <v>1087</v>
      </c>
      <c r="M179" t="s">
        <v>1057</v>
      </c>
      <c r="N179" t="s">
        <v>1088</v>
      </c>
      <c r="O179" t="s">
        <v>994</v>
      </c>
      <c r="P179" t="s">
        <v>1089</v>
      </c>
      <c r="Q179" t="b">
        <v>1</v>
      </c>
      <c r="R179" t="b">
        <v>0</v>
      </c>
      <c r="S179" t="s">
        <v>1097</v>
      </c>
      <c r="T179" t="s">
        <v>994</v>
      </c>
      <c r="U179" t="s">
        <v>1061</v>
      </c>
      <c r="V179" t="s">
        <v>997</v>
      </c>
      <c r="W179" t="s">
        <v>1035</v>
      </c>
      <c r="X179" t="s">
        <v>1402</v>
      </c>
    </row>
    <row r="180" spans="1:24" x14ac:dyDescent="0.25">
      <c r="A180" t="s">
        <v>42</v>
      </c>
      <c r="B180" t="s">
        <v>1417</v>
      </c>
      <c r="C180" t="s">
        <v>330</v>
      </c>
      <c r="D180" t="s">
        <v>323</v>
      </c>
      <c r="E180" t="s">
        <v>1014</v>
      </c>
      <c r="F180">
        <v>95328</v>
      </c>
      <c r="G180" t="s">
        <v>1126</v>
      </c>
      <c r="H180" t="s">
        <v>1418</v>
      </c>
      <c r="I180" t="s">
        <v>1400</v>
      </c>
      <c r="J180" t="s">
        <v>1401</v>
      </c>
      <c r="K180" t="s">
        <v>1092</v>
      </c>
      <c r="L180" t="s">
        <v>1093</v>
      </c>
      <c r="M180" t="s">
        <v>1029</v>
      </c>
      <c r="N180" t="s">
        <v>1094</v>
      </c>
      <c r="O180" t="s">
        <v>994</v>
      </c>
      <c r="P180" t="s">
        <v>1096</v>
      </c>
      <c r="Q180" t="b">
        <v>1</v>
      </c>
      <c r="R180" t="b">
        <v>0</v>
      </c>
      <c r="S180" t="s">
        <v>1033</v>
      </c>
      <c r="T180" t="s">
        <v>994</v>
      </c>
      <c r="U180" t="s">
        <v>1034</v>
      </c>
      <c r="V180" t="s">
        <v>997</v>
      </c>
      <c r="W180" t="s">
        <v>1035</v>
      </c>
      <c r="X180" t="s">
        <v>1402</v>
      </c>
    </row>
    <row r="181" spans="1:24" x14ac:dyDescent="0.25">
      <c r="A181" t="s">
        <v>42</v>
      </c>
      <c r="B181" t="s">
        <v>1419</v>
      </c>
      <c r="C181" t="s">
        <v>330</v>
      </c>
      <c r="D181" t="s">
        <v>323</v>
      </c>
      <c r="E181" t="s">
        <v>1016</v>
      </c>
      <c r="F181">
        <v>95148</v>
      </c>
      <c r="G181" t="s">
        <v>1126</v>
      </c>
      <c r="H181" t="s">
        <v>1420</v>
      </c>
      <c r="I181" t="s">
        <v>1400</v>
      </c>
      <c r="J181" t="s">
        <v>1401</v>
      </c>
      <c r="K181" t="s">
        <v>1100</v>
      </c>
      <c r="L181" t="s">
        <v>1101</v>
      </c>
      <c r="M181" t="s">
        <v>1029</v>
      </c>
      <c r="N181" t="s">
        <v>1102</v>
      </c>
      <c r="O181" t="s">
        <v>994</v>
      </c>
      <c r="P181" t="s">
        <v>1104</v>
      </c>
      <c r="Q181" t="b">
        <v>1</v>
      </c>
      <c r="R181" t="b">
        <v>0</v>
      </c>
      <c r="S181" t="s">
        <v>1033</v>
      </c>
      <c r="T181" t="s">
        <v>994</v>
      </c>
      <c r="U181" t="s">
        <v>1034</v>
      </c>
      <c r="V181" t="s">
        <v>997</v>
      </c>
      <c r="W181" t="s">
        <v>1035</v>
      </c>
      <c r="X181" t="s">
        <v>1402</v>
      </c>
    </row>
    <row r="182" spans="1:24" x14ac:dyDescent="0.25">
      <c r="A182" t="s">
        <v>42</v>
      </c>
      <c r="B182" t="s">
        <v>1421</v>
      </c>
      <c r="C182" t="s">
        <v>330</v>
      </c>
      <c r="D182" t="s">
        <v>323</v>
      </c>
      <c r="E182" t="s">
        <v>1018</v>
      </c>
      <c r="F182">
        <v>98496</v>
      </c>
      <c r="G182" t="s">
        <v>1126</v>
      </c>
      <c r="H182" t="s">
        <v>1422</v>
      </c>
      <c r="I182" t="s">
        <v>1400</v>
      </c>
      <c r="J182" t="s">
        <v>1401</v>
      </c>
      <c r="K182" t="s">
        <v>1107</v>
      </c>
      <c r="L182" t="s">
        <v>1108</v>
      </c>
      <c r="M182" t="s">
        <v>1029</v>
      </c>
      <c r="N182" t="s">
        <v>1109</v>
      </c>
      <c r="O182" t="s">
        <v>994</v>
      </c>
      <c r="P182" t="s">
        <v>1111</v>
      </c>
      <c r="Q182" t="b">
        <v>1</v>
      </c>
      <c r="R182" t="b">
        <v>0</v>
      </c>
      <c r="S182" t="s">
        <v>1033</v>
      </c>
      <c r="T182" t="s">
        <v>994</v>
      </c>
      <c r="U182" t="s">
        <v>1034</v>
      </c>
      <c r="V182" t="s">
        <v>997</v>
      </c>
      <c r="W182" t="s">
        <v>1035</v>
      </c>
      <c r="X182" t="s">
        <v>1402</v>
      </c>
    </row>
    <row r="183" spans="1:24" x14ac:dyDescent="0.25">
      <c r="A183" t="s">
        <v>42</v>
      </c>
      <c r="B183" t="s">
        <v>1423</v>
      </c>
      <c r="C183" t="s">
        <v>330</v>
      </c>
      <c r="D183" t="s">
        <v>323</v>
      </c>
      <c r="E183" t="s">
        <v>1020</v>
      </c>
      <c r="F183">
        <v>126843</v>
      </c>
      <c r="G183" t="s">
        <v>1126</v>
      </c>
      <c r="H183" t="s">
        <v>1424</v>
      </c>
      <c r="I183" t="s">
        <v>1400</v>
      </c>
      <c r="J183" t="s">
        <v>1401</v>
      </c>
      <c r="K183" t="s">
        <v>1114</v>
      </c>
      <c r="L183" t="s">
        <v>1115</v>
      </c>
      <c r="M183" t="s">
        <v>1057</v>
      </c>
      <c r="N183" t="s">
        <v>1116</v>
      </c>
      <c r="O183" t="s">
        <v>994</v>
      </c>
      <c r="P183" t="s">
        <v>1117</v>
      </c>
      <c r="Q183" t="b">
        <v>1</v>
      </c>
      <c r="R183" t="b">
        <v>0</v>
      </c>
      <c r="S183" t="s">
        <v>1033</v>
      </c>
      <c r="T183" t="s">
        <v>994</v>
      </c>
      <c r="U183" t="s">
        <v>1034</v>
      </c>
      <c r="V183" t="s">
        <v>997</v>
      </c>
      <c r="W183" t="s">
        <v>1035</v>
      </c>
      <c r="X183" t="s">
        <v>1402</v>
      </c>
    </row>
    <row r="184" spans="1:24" x14ac:dyDescent="0.25">
      <c r="A184" t="s">
        <v>42</v>
      </c>
      <c r="B184" t="s">
        <v>1425</v>
      </c>
      <c r="C184" t="s">
        <v>330</v>
      </c>
      <c r="D184" t="s">
        <v>323</v>
      </c>
      <c r="E184" t="s">
        <v>1022</v>
      </c>
      <c r="F184">
        <v>126840</v>
      </c>
      <c r="G184" t="s">
        <v>1052</v>
      </c>
      <c r="H184" t="s">
        <v>1426</v>
      </c>
      <c r="I184" t="s">
        <v>1400</v>
      </c>
      <c r="J184" t="s">
        <v>1401</v>
      </c>
      <c r="K184" t="s">
        <v>1120</v>
      </c>
      <c r="L184" t="s">
        <v>1121</v>
      </c>
      <c r="M184" t="s">
        <v>1029</v>
      </c>
      <c r="N184" t="s">
        <v>1122</v>
      </c>
      <c r="O184" t="s">
        <v>994</v>
      </c>
      <c r="P184" t="s">
        <v>1124</v>
      </c>
      <c r="Q184" t="b">
        <v>1</v>
      </c>
      <c r="R184" t="b">
        <v>0</v>
      </c>
      <c r="S184" t="s">
        <v>1097</v>
      </c>
      <c r="T184" t="s">
        <v>994</v>
      </c>
      <c r="U184" t="s">
        <v>1061</v>
      </c>
      <c r="V184" t="s">
        <v>997</v>
      </c>
      <c r="W184" t="s">
        <v>1035</v>
      </c>
      <c r="X184" t="s">
        <v>1402</v>
      </c>
    </row>
    <row r="185" spans="1:24" x14ac:dyDescent="0.25">
      <c r="A185" t="s">
        <v>42</v>
      </c>
      <c r="B185" t="s">
        <v>1427</v>
      </c>
      <c r="C185" t="s">
        <v>331</v>
      </c>
      <c r="D185" t="s">
        <v>323</v>
      </c>
      <c r="E185" t="s">
        <v>992</v>
      </c>
      <c r="F185">
        <v>36036</v>
      </c>
      <c r="G185" t="s">
        <v>1428</v>
      </c>
      <c r="H185" t="s">
        <v>1429</v>
      </c>
      <c r="I185" t="s">
        <v>1430</v>
      </c>
      <c r="J185" t="s">
        <v>1401</v>
      </c>
      <c r="K185" t="s">
        <v>1027</v>
      </c>
      <c r="L185" t="s">
        <v>1028</v>
      </c>
      <c r="M185" t="s">
        <v>1029</v>
      </c>
      <c r="N185" t="s">
        <v>1030</v>
      </c>
      <c r="O185" t="s">
        <v>994</v>
      </c>
      <c r="P185" t="s">
        <v>1032</v>
      </c>
      <c r="Q185" t="b">
        <v>1</v>
      </c>
      <c r="R185" t="b">
        <v>0</v>
      </c>
      <c r="S185" t="s">
        <v>996</v>
      </c>
      <c r="T185" t="s">
        <v>1431</v>
      </c>
      <c r="U185" t="s">
        <v>1432</v>
      </c>
      <c r="V185" t="s">
        <v>1433</v>
      </c>
      <c r="W185" t="s">
        <v>1434</v>
      </c>
      <c r="X185" t="s">
        <v>1435</v>
      </c>
    </row>
    <row r="186" spans="1:24" x14ac:dyDescent="0.25">
      <c r="A186" t="s">
        <v>42</v>
      </c>
      <c r="B186" t="s">
        <v>1436</v>
      </c>
      <c r="C186" t="s">
        <v>331</v>
      </c>
      <c r="D186" t="s">
        <v>323</v>
      </c>
      <c r="E186" t="s">
        <v>1000</v>
      </c>
      <c r="F186">
        <v>38804</v>
      </c>
      <c r="G186" t="s">
        <v>1428</v>
      </c>
      <c r="H186" t="s">
        <v>1437</v>
      </c>
      <c r="I186" t="s">
        <v>1430</v>
      </c>
      <c r="J186" t="s">
        <v>1401</v>
      </c>
      <c r="K186" t="s">
        <v>1039</v>
      </c>
      <c r="L186" t="s">
        <v>1040</v>
      </c>
      <c r="M186" t="s">
        <v>1029</v>
      </c>
      <c r="N186" t="s">
        <v>1041</v>
      </c>
      <c r="O186" t="s">
        <v>994</v>
      </c>
      <c r="P186" t="s">
        <v>1043</v>
      </c>
      <c r="Q186" t="b">
        <v>1</v>
      </c>
      <c r="R186" t="b">
        <v>0</v>
      </c>
      <c r="S186" t="s">
        <v>996</v>
      </c>
      <c r="T186" t="s">
        <v>1431</v>
      </c>
      <c r="U186" t="s">
        <v>1432</v>
      </c>
      <c r="V186" t="s">
        <v>1433</v>
      </c>
      <c r="W186" t="s">
        <v>1434</v>
      </c>
      <c r="X186" t="s">
        <v>1435</v>
      </c>
    </row>
    <row r="187" spans="1:24" x14ac:dyDescent="0.25">
      <c r="A187" t="s">
        <v>42</v>
      </c>
      <c r="B187" t="s">
        <v>1438</v>
      </c>
      <c r="C187" t="s">
        <v>331</v>
      </c>
      <c r="D187" t="s">
        <v>323</v>
      </c>
      <c r="E187" t="s">
        <v>1002</v>
      </c>
      <c r="F187">
        <v>41020</v>
      </c>
      <c r="G187" t="s">
        <v>1428</v>
      </c>
      <c r="H187" t="s">
        <v>1439</v>
      </c>
      <c r="I187" t="s">
        <v>1430</v>
      </c>
      <c r="J187" t="s">
        <v>1401</v>
      </c>
      <c r="K187" t="s">
        <v>1046</v>
      </c>
      <c r="L187" t="s">
        <v>1047</v>
      </c>
      <c r="M187" t="s">
        <v>1029</v>
      </c>
      <c r="N187" t="s">
        <v>1048</v>
      </c>
      <c r="O187" t="s">
        <v>994</v>
      </c>
      <c r="P187" t="s">
        <v>1050</v>
      </c>
      <c r="Q187" t="b">
        <v>1</v>
      </c>
      <c r="R187" t="b">
        <v>0</v>
      </c>
      <c r="S187" t="s">
        <v>996</v>
      </c>
      <c r="T187" t="s">
        <v>1431</v>
      </c>
      <c r="U187" t="s">
        <v>1432</v>
      </c>
      <c r="V187" t="s">
        <v>1433</v>
      </c>
      <c r="W187" t="s">
        <v>1434</v>
      </c>
      <c r="X187" t="s">
        <v>1435</v>
      </c>
    </row>
    <row r="188" spans="1:24" x14ac:dyDescent="0.25">
      <c r="A188" t="s">
        <v>42</v>
      </c>
      <c r="B188" t="s">
        <v>1440</v>
      </c>
      <c r="C188" t="s">
        <v>331</v>
      </c>
      <c r="D188" t="s">
        <v>323</v>
      </c>
      <c r="E188" t="s">
        <v>1004</v>
      </c>
      <c r="F188">
        <v>47964</v>
      </c>
      <c r="G188" t="s">
        <v>1428</v>
      </c>
      <c r="H188" t="s">
        <v>1441</v>
      </c>
      <c r="I188" t="s">
        <v>1430</v>
      </c>
      <c r="J188" t="s">
        <v>1401</v>
      </c>
      <c r="K188" t="s">
        <v>1055</v>
      </c>
      <c r="L188" t="s">
        <v>1056</v>
      </c>
      <c r="M188" t="s">
        <v>1057</v>
      </c>
      <c r="N188" t="s">
        <v>1058</v>
      </c>
      <c r="O188" t="s">
        <v>994</v>
      </c>
      <c r="P188" t="s">
        <v>1059</v>
      </c>
      <c r="Q188" t="b">
        <v>1</v>
      </c>
      <c r="R188" t="b">
        <v>0</v>
      </c>
      <c r="S188" t="s">
        <v>996</v>
      </c>
      <c r="T188" t="s">
        <v>1431</v>
      </c>
      <c r="U188" t="s">
        <v>1432</v>
      </c>
      <c r="V188" t="s">
        <v>1433</v>
      </c>
      <c r="W188" t="s">
        <v>1434</v>
      </c>
      <c r="X188" t="s">
        <v>1435</v>
      </c>
    </row>
    <row r="189" spans="1:24" x14ac:dyDescent="0.25">
      <c r="A189" t="s">
        <v>42</v>
      </c>
      <c r="B189" t="s">
        <v>1442</v>
      </c>
      <c r="C189" t="s">
        <v>331</v>
      </c>
      <c r="D189" t="s">
        <v>323</v>
      </c>
      <c r="E189" t="s">
        <v>1006</v>
      </c>
      <c r="F189">
        <v>44552</v>
      </c>
      <c r="G189" t="s">
        <v>1428</v>
      </c>
      <c r="H189" t="s">
        <v>1443</v>
      </c>
      <c r="I189" t="s">
        <v>1430</v>
      </c>
      <c r="J189" t="s">
        <v>1401</v>
      </c>
      <c r="K189" t="s">
        <v>1065</v>
      </c>
      <c r="L189" t="s">
        <v>1066</v>
      </c>
      <c r="M189" t="s">
        <v>1029</v>
      </c>
      <c r="N189" t="s">
        <v>1067</v>
      </c>
      <c r="O189" t="s">
        <v>994</v>
      </c>
      <c r="P189" t="s">
        <v>1069</v>
      </c>
      <c r="Q189" t="b">
        <v>1</v>
      </c>
      <c r="R189" t="b">
        <v>0</v>
      </c>
      <c r="S189" t="s">
        <v>996</v>
      </c>
      <c r="T189" t="s">
        <v>1431</v>
      </c>
      <c r="U189" t="s">
        <v>1432</v>
      </c>
      <c r="V189" t="s">
        <v>1433</v>
      </c>
      <c r="W189" t="s">
        <v>1434</v>
      </c>
      <c r="X189" t="s">
        <v>1435</v>
      </c>
    </row>
    <row r="190" spans="1:24" x14ac:dyDescent="0.25">
      <c r="A190" t="s">
        <v>42</v>
      </c>
      <c r="B190" t="s">
        <v>1444</v>
      </c>
      <c r="C190" t="s">
        <v>331</v>
      </c>
      <c r="D190" t="s">
        <v>323</v>
      </c>
      <c r="E190" t="s">
        <v>1008</v>
      </c>
      <c r="F190">
        <v>47087</v>
      </c>
      <c r="G190" t="s">
        <v>1428</v>
      </c>
      <c r="H190" t="s">
        <v>1445</v>
      </c>
      <c r="I190" t="s">
        <v>1430</v>
      </c>
      <c r="J190" t="s">
        <v>1401</v>
      </c>
      <c r="K190" t="s">
        <v>1072</v>
      </c>
      <c r="L190" t="s">
        <v>1073</v>
      </c>
      <c r="M190" t="s">
        <v>1029</v>
      </c>
      <c r="N190" t="s">
        <v>1074</v>
      </c>
      <c r="O190" t="s">
        <v>994</v>
      </c>
      <c r="P190" t="s">
        <v>1076</v>
      </c>
      <c r="Q190" t="b">
        <v>1</v>
      </c>
      <c r="R190" t="b">
        <v>0</v>
      </c>
      <c r="S190" t="s">
        <v>996</v>
      </c>
      <c r="T190" t="s">
        <v>1431</v>
      </c>
      <c r="U190" t="s">
        <v>1432</v>
      </c>
      <c r="V190" t="s">
        <v>1433</v>
      </c>
      <c r="W190" t="s">
        <v>1434</v>
      </c>
      <c r="X190" t="s">
        <v>1435</v>
      </c>
    </row>
    <row r="191" spans="1:24" x14ac:dyDescent="0.25">
      <c r="A191" t="s">
        <v>42</v>
      </c>
      <c r="B191" t="s">
        <v>1446</v>
      </c>
      <c r="C191" t="s">
        <v>331</v>
      </c>
      <c r="D191" t="s">
        <v>323</v>
      </c>
      <c r="E191" t="s">
        <v>1010</v>
      </c>
      <c r="F191">
        <v>49104</v>
      </c>
      <c r="G191" t="s">
        <v>1428</v>
      </c>
      <c r="H191" t="s">
        <v>1447</v>
      </c>
      <c r="I191" t="s">
        <v>1430</v>
      </c>
      <c r="J191" t="s">
        <v>1401</v>
      </c>
      <c r="K191" t="s">
        <v>1079</v>
      </c>
      <c r="L191" t="s">
        <v>1080</v>
      </c>
      <c r="M191" t="s">
        <v>1029</v>
      </c>
      <c r="N191" t="s">
        <v>1081</v>
      </c>
      <c r="O191" t="s">
        <v>994</v>
      </c>
      <c r="P191" t="s">
        <v>1083</v>
      </c>
      <c r="Q191" t="b">
        <v>1</v>
      </c>
      <c r="R191" t="b">
        <v>0</v>
      </c>
      <c r="S191" t="s">
        <v>996</v>
      </c>
      <c r="T191" t="s">
        <v>1431</v>
      </c>
      <c r="U191" t="s">
        <v>1432</v>
      </c>
      <c r="V191" t="s">
        <v>1433</v>
      </c>
      <c r="W191" t="s">
        <v>1434</v>
      </c>
      <c r="X191" t="s">
        <v>1435</v>
      </c>
    </row>
    <row r="192" spans="1:24" x14ac:dyDescent="0.25">
      <c r="A192" t="s">
        <v>42</v>
      </c>
      <c r="B192" t="s">
        <v>1448</v>
      </c>
      <c r="C192" t="s">
        <v>331</v>
      </c>
      <c r="D192" t="s">
        <v>323</v>
      </c>
      <c r="E192" t="s">
        <v>1012</v>
      </c>
      <c r="F192">
        <v>52340</v>
      </c>
      <c r="G192" t="s">
        <v>1428</v>
      </c>
      <c r="H192" t="s">
        <v>1449</v>
      </c>
      <c r="I192" t="s">
        <v>1430</v>
      </c>
      <c r="J192" t="s">
        <v>1401</v>
      </c>
      <c r="K192" t="s">
        <v>1086</v>
      </c>
      <c r="L192" t="s">
        <v>1087</v>
      </c>
      <c r="M192" t="s">
        <v>1057</v>
      </c>
      <c r="N192" t="s">
        <v>1088</v>
      </c>
      <c r="O192" t="s">
        <v>994</v>
      </c>
      <c r="P192" t="s">
        <v>1089</v>
      </c>
      <c r="Q192" t="b">
        <v>1</v>
      </c>
      <c r="R192" t="b">
        <v>0</v>
      </c>
      <c r="S192" t="s">
        <v>996</v>
      </c>
      <c r="T192" t="s">
        <v>1431</v>
      </c>
      <c r="U192" t="s">
        <v>1432</v>
      </c>
      <c r="V192" t="s">
        <v>1433</v>
      </c>
      <c r="W192" t="s">
        <v>1434</v>
      </c>
      <c r="X192" t="s">
        <v>1435</v>
      </c>
    </row>
    <row r="193" spans="1:24" x14ac:dyDescent="0.25">
      <c r="A193" t="s">
        <v>42</v>
      </c>
      <c r="B193" t="s">
        <v>1450</v>
      </c>
      <c r="C193" t="s">
        <v>331</v>
      </c>
      <c r="D193" t="s">
        <v>323</v>
      </c>
      <c r="E193" t="s">
        <v>1014</v>
      </c>
      <c r="F193">
        <v>51000</v>
      </c>
      <c r="G193" t="s">
        <v>1428</v>
      </c>
      <c r="H193" t="s">
        <v>1451</v>
      </c>
      <c r="I193" t="s">
        <v>1430</v>
      </c>
      <c r="J193" t="s">
        <v>1401</v>
      </c>
      <c r="K193" t="s">
        <v>1092</v>
      </c>
      <c r="L193" t="s">
        <v>1093</v>
      </c>
      <c r="M193" t="s">
        <v>1029</v>
      </c>
      <c r="N193" t="s">
        <v>1094</v>
      </c>
      <c r="O193" t="s">
        <v>994</v>
      </c>
      <c r="P193" t="s">
        <v>1096</v>
      </c>
      <c r="Q193" t="b">
        <v>1</v>
      </c>
      <c r="R193" t="b">
        <v>0</v>
      </c>
      <c r="S193" t="s">
        <v>996</v>
      </c>
      <c r="T193" t="s">
        <v>1431</v>
      </c>
      <c r="U193" t="s">
        <v>1432</v>
      </c>
      <c r="V193" t="s">
        <v>1433</v>
      </c>
      <c r="W193" t="s">
        <v>1434</v>
      </c>
      <c r="X193" t="s">
        <v>1435</v>
      </c>
    </row>
    <row r="194" spans="1:24" x14ac:dyDescent="0.25">
      <c r="A194" t="s">
        <v>42</v>
      </c>
      <c r="B194" t="s">
        <v>1452</v>
      </c>
      <c r="C194" t="s">
        <v>331</v>
      </c>
      <c r="D194" t="s">
        <v>323</v>
      </c>
      <c r="E194" t="s">
        <v>1016</v>
      </c>
      <c r="F194">
        <v>55048</v>
      </c>
      <c r="G194" t="s">
        <v>1428</v>
      </c>
      <c r="H194" t="s">
        <v>1453</v>
      </c>
      <c r="I194" t="s">
        <v>1430</v>
      </c>
      <c r="J194" t="s">
        <v>1401</v>
      </c>
      <c r="K194" t="s">
        <v>1100</v>
      </c>
      <c r="L194" t="s">
        <v>1101</v>
      </c>
      <c r="M194" t="s">
        <v>1029</v>
      </c>
      <c r="N194" t="s">
        <v>1102</v>
      </c>
      <c r="O194" t="s">
        <v>994</v>
      </c>
      <c r="P194" t="s">
        <v>1104</v>
      </c>
      <c r="Q194" t="b">
        <v>1</v>
      </c>
      <c r="R194" t="b">
        <v>0</v>
      </c>
      <c r="S194" t="s">
        <v>996</v>
      </c>
      <c r="T194" t="s">
        <v>1431</v>
      </c>
      <c r="U194" t="s">
        <v>1432</v>
      </c>
      <c r="V194" t="s">
        <v>1433</v>
      </c>
      <c r="W194" t="s">
        <v>1434</v>
      </c>
      <c r="X194" t="s">
        <v>1435</v>
      </c>
    </row>
    <row r="195" spans="1:24" x14ac:dyDescent="0.25">
      <c r="A195" t="s">
        <v>42</v>
      </c>
      <c r="B195" t="s">
        <v>1454</v>
      </c>
      <c r="C195" t="s">
        <v>331</v>
      </c>
      <c r="D195" t="s">
        <v>323</v>
      </c>
      <c r="E195" t="s">
        <v>1018</v>
      </c>
      <c r="F195">
        <v>57148</v>
      </c>
      <c r="G195" t="s">
        <v>1428</v>
      </c>
      <c r="H195" t="s">
        <v>1455</v>
      </c>
      <c r="I195" t="s">
        <v>1430</v>
      </c>
      <c r="J195" t="s">
        <v>1401</v>
      </c>
      <c r="K195" t="s">
        <v>1107</v>
      </c>
      <c r="L195" t="s">
        <v>1108</v>
      </c>
      <c r="M195" t="s">
        <v>1029</v>
      </c>
      <c r="N195" t="s">
        <v>1109</v>
      </c>
      <c r="O195" t="s">
        <v>994</v>
      </c>
      <c r="P195" t="s">
        <v>1111</v>
      </c>
      <c r="Q195" t="b">
        <v>1</v>
      </c>
      <c r="R195" t="b">
        <v>0</v>
      </c>
      <c r="S195" t="s">
        <v>996</v>
      </c>
      <c r="T195" t="s">
        <v>1431</v>
      </c>
      <c r="U195" t="s">
        <v>1432</v>
      </c>
      <c r="V195" t="s">
        <v>1433</v>
      </c>
      <c r="W195" t="s">
        <v>1434</v>
      </c>
      <c r="X195" t="s">
        <v>1435</v>
      </c>
    </row>
    <row r="196" spans="1:24" x14ac:dyDescent="0.25">
      <c r="A196" t="s">
        <v>42</v>
      </c>
      <c r="B196" t="s">
        <v>1456</v>
      </c>
      <c r="C196" t="s">
        <v>331</v>
      </c>
      <c r="D196" t="s">
        <v>323</v>
      </c>
      <c r="E196" t="s">
        <v>1020</v>
      </c>
      <c r="F196">
        <v>62886</v>
      </c>
      <c r="G196" t="s">
        <v>1428</v>
      </c>
      <c r="H196" t="s">
        <v>1457</v>
      </c>
      <c r="I196" t="s">
        <v>1430</v>
      </c>
      <c r="J196" t="s">
        <v>1401</v>
      </c>
      <c r="K196" t="s">
        <v>1114</v>
      </c>
      <c r="L196" t="s">
        <v>1115</v>
      </c>
      <c r="M196" t="s">
        <v>1057</v>
      </c>
      <c r="N196" t="s">
        <v>1116</v>
      </c>
      <c r="O196" t="s">
        <v>994</v>
      </c>
      <c r="P196" t="s">
        <v>1117</v>
      </c>
      <c r="Q196" t="b">
        <v>1</v>
      </c>
      <c r="R196" t="b">
        <v>0</v>
      </c>
      <c r="S196" t="s">
        <v>996</v>
      </c>
      <c r="T196" t="s">
        <v>1431</v>
      </c>
      <c r="U196" t="s">
        <v>1432</v>
      </c>
      <c r="V196" t="s">
        <v>1433</v>
      </c>
      <c r="W196" t="s">
        <v>1434</v>
      </c>
      <c r="X196" t="s">
        <v>1435</v>
      </c>
    </row>
    <row r="197" spans="1:24" x14ac:dyDescent="0.25">
      <c r="A197" t="s">
        <v>42</v>
      </c>
      <c r="B197" t="s">
        <v>1458</v>
      </c>
      <c r="C197" t="s">
        <v>331</v>
      </c>
      <c r="D197" t="s">
        <v>323</v>
      </c>
      <c r="E197" t="s">
        <v>1022</v>
      </c>
      <c r="F197">
        <v>62999</v>
      </c>
      <c r="G197" t="s">
        <v>1428</v>
      </c>
      <c r="H197" t="s">
        <v>1459</v>
      </c>
      <c r="I197" t="s">
        <v>1430</v>
      </c>
      <c r="J197" t="s">
        <v>1401</v>
      </c>
      <c r="K197" t="s">
        <v>1120</v>
      </c>
      <c r="L197" t="s">
        <v>1121</v>
      </c>
      <c r="M197" t="s">
        <v>1029</v>
      </c>
      <c r="N197" t="s">
        <v>1122</v>
      </c>
      <c r="O197" t="s">
        <v>994</v>
      </c>
      <c r="P197" t="s">
        <v>1124</v>
      </c>
      <c r="Q197" t="b">
        <v>1</v>
      </c>
      <c r="R197" t="b">
        <v>0</v>
      </c>
      <c r="S197" t="s">
        <v>996</v>
      </c>
      <c r="T197" t="s">
        <v>1431</v>
      </c>
      <c r="U197" t="s">
        <v>1432</v>
      </c>
      <c r="V197" t="s">
        <v>1433</v>
      </c>
      <c r="W197" t="s">
        <v>1434</v>
      </c>
      <c r="X197" t="s">
        <v>1435</v>
      </c>
    </row>
    <row r="198" spans="1:24" x14ac:dyDescent="0.25">
      <c r="A198" t="s">
        <v>42</v>
      </c>
      <c r="B198" t="s">
        <v>1460</v>
      </c>
      <c r="C198" t="s">
        <v>332</v>
      </c>
      <c r="D198" t="s">
        <v>323</v>
      </c>
      <c r="E198" t="s">
        <v>992</v>
      </c>
      <c r="F198">
        <v>2315</v>
      </c>
      <c r="G198" t="s">
        <v>1024</v>
      </c>
      <c r="H198" t="s">
        <v>1461</v>
      </c>
      <c r="I198" t="s">
        <v>1462</v>
      </c>
      <c r="J198" t="s">
        <v>1401</v>
      </c>
      <c r="K198" t="s">
        <v>1027</v>
      </c>
      <c r="L198" t="s">
        <v>1028</v>
      </c>
      <c r="M198" t="s">
        <v>1029</v>
      </c>
      <c r="N198" t="s">
        <v>1030</v>
      </c>
      <c r="O198" t="s">
        <v>994</v>
      </c>
      <c r="P198" t="s">
        <v>1032</v>
      </c>
      <c r="Q198" t="b">
        <v>1</v>
      </c>
      <c r="R198" t="b">
        <v>0</v>
      </c>
      <c r="S198" t="s">
        <v>1033</v>
      </c>
      <c r="T198" t="s">
        <v>994</v>
      </c>
      <c r="U198" t="s">
        <v>1034</v>
      </c>
      <c r="V198" t="s">
        <v>997</v>
      </c>
      <c r="W198" t="s">
        <v>1035</v>
      </c>
      <c r="X198" t="s">
        <v>1463</v>
      </c>
    </row>
    <row r="199" spans="1:24" x14ac:dyDescent="0.25">
      <c r="A199" t="s">
        <v>42</v>
      </c>
      <c r="B199" t="s">
        <v>1464</v>
      </c>
      <c r="C199" t="s">
        <v>332</v>
      </c>
      <c r="D199" t="s">
        <v>323</v>
      </c>
      <c r="E199" t="s">
        <v>1000</v>
      </c>
      <c r="F199">
        <v>2231</v>
      </c>
      <c r="G199" t="s">
        <v>1024</v>
      </c>
      <c r="H199" t="s">
        <v>1465</v>
      </c>
      <c r="I199" t="s">
        <v>1462</v>
      </c>
      <c r="J199" t="s">
        <v>1401</v>
      </c>
      <c r="K199" t="s">
        <v>1039</v>
      </c>
      <c r="L199" t="s">
        <v>1040</v>
      </c>
      <c r="M199" t="s">
        <v>1029</v>
      </c>
      <c r="N199" t="s">
        <v>1041</v>
      </c>
      <c r="O199" t="s">
        <v>994</v>
      </c>
      <c r="P199" t="s">
        <v>1043</v>
      </c>
      <c r="Q199" t="b">
        <v>1</v>
      </c>
      <c r="R199" t="b">
        <v>0</v>
      </c>
      <c r="S199" t="s">
        <v>1033</v>
      </c>
      <c r="T199" t="s">
        <v>994</v>
      </c>
      <c r="U199" t="s">
        <v>1034</v>
      </c>
      <c r="V199" t="s">
        <v>997</v>
      </c>
      <c r="W199" t="s">
        <v>1035</v>
      </c>
      <c r="X199" t="s">
        <v>1463</v>
      </c>
    </row>
    <row r="200" spans="1:24" x14ac:dyDescent="0.25">
      <c r="A200" t="s">
        <v>42</v>
      </c>
      <c r="B200" t="s">
        <v>1466</v>
      </c>
      <c r="C200" t="s">
        <v>332</v>
      </c>
      <c r="D200" t="s">
        <v>323</v>
      </c>
      <c r="E200" t="s">
        <v>1002</v>
      </c>
      <c r="F200">
        <v>2957</v>
      </c>
      <c r="G200" t="s">
        <v>1024</v>
      </c>
      <c r="H200" t="s">
        <v>1467</v>
      </c>
      <c r="I200" t="s">
        <v>1462</v>
      </c>
      <c r="J200" t="s">
        <v>1401</v>
      </c>
      <c r="K200" t="s">
        <v>1046</v>
      </c>
      <c r="L200" t="s">
        <v>1047</v>
      </c>
      <c r="M200" t="s">
        <v>1029</v>
      </c>
      <c r="N200" t="s">
        <v>1048</v>
      </c>
      <c r="O200" t="s">
        <v>994</v>
      </c>
      <c r="P200" t="s">
        <v>1050</v>
      </c>
      <c r="Q200" t="b">
        <v>1</v>
      </c>
      <c r="R200" t="b">
        <v>0</v>
      </c>
      <c r="S200" t="s">
        <v>1033</v>
      </c>
      <c r="T200" t="s">
        <v>994</v>
      </c>
      <c r="U200" t="s">
        <v>1034</v>
      </c>
      <c r="V200" t="s">
        <v>997</v>
      </c>
      <c r="W200" t="s">
        <v>1035</v>
      </c>
      <c r="X200" t="s">
        <v>1463</v>
      </c>
    </row>
    <row r="201" spans="1:24" x14ac:dyDescent="0.25">
      <c r="A201" t="s">
        <v>42</v>
      </c>
      <c r="B201" t="s">
        <v>1468</v>
      </c>
      <c r="C201" t="s">
        <v>332</v>
      </c>
      <c r="D201" t="s">
        <v>323</v>
      </c>
      <c r="E201" t="s">
        <v>1004</v>
      </c>
      <c r="F201">
        <v>0</v>
      </c>
      <c r="G201" t="s">
        <v>1024</v>
      </c>
      <c r="H201" t="s">
        <v>1469</v>
      </c>
      <c r="I201" t="s">
        <v>1470</v>
      </c>
      <c r="J201" t="s">
        <v>1401</v>
      </c>
      <c r="K201" t="s">
        <v>994</v>
      </c>
      <c r="L201" t="s">
        <v>994</v>
      </c>
      <c r="M201" t="s">
        <v>994</v>
      </c>
      <c r="N201" t="s">
        <v>994</v>
      </c>
      <c r="O201" t="s">
        <v>994</v>
      </c>
      <c r="P201" t="s">
        <v>994</v>
      </c>
      <c r="Q201" t="b">
        <v>1</v>
      </c>
      <c r="R201" t="b">
        <v>0</v>
      </c>
      <c r="S201" t="s">
        <v>1033</v>
      </c>
      <c r="T201" t="s">
        <v>994</v>
      </c>
      <c r="U201" t="s">
        <v>1034</v>
      </c>
      <c r="V201" t="s">
        <v>1062</v>
      </c>
      <c r="W201" t="s">
        <v>1187</v>
      </c>
      <c r="X201" t="s">
        <v>994</v>
      </c>
    </row>
    <row r="202" spans="1:24" x14ac:dyDescent="0.25">
      <c r="A202" t="s">
        <v>42</v>
      </c>
      <c r="B202" t="s">
        <v>1471</v>
      </c>
      <c r="C202" t="s">
        <v>332</v>
      </c>
      <c r="D202" t="s">
        <v>323</v>
      </c>
      <c r="E202" t="s">
        <v>1006</v>
      </c>
      <c r="F202">
        <v>0</v>
      </c>
      <c r="G202" t="s">
        <v>1024</v>
      </c>
      <c r="H202" t="s">
        <v>1469</v>
      </c>
      <c r="I202" t="s">
        <v>1470</v>
      </c>
      <c r="J202" t="s">
        <v>1401</v>
      </c>
      <c r="K202" t="s">
        <v>994</v>
      </c>
      <c r="L202" t="s">
        <v>994</v>
      </c>
      <c r="M202" t="s">
        <v>994</v>
      </c>
      <c r="N202" t="s">
        <v>994</v>
      </c>
      <c r="O202" t="s">
        <v>994</v>
      </c>
      <c r="P202" t="s">
        <v>994</v>
      </c>
      <c r="Q202" t="b">
        <v>1</v>
      </c>
      <c r="R202" t="b">
        <v>0</v>
      </c>
      <c r="S202" t="s">
        <v>1033</v>
      </c>
      <c r="T202" t="s">
        <v>994</v>
      </c>
      <c r="U202" t="s">
        <v>1034</v>
      </c>
      <c r="V202" t="s">
        <v>1062</v>
      </c>
      <c r="W202" t="s">
        <v>1187</v>
      </c>
      <c r="X202" t="s">
        <v>994</v>
      </c>
    </row>
    <row r="203" spans="1:24" x14ac:dyDescent="0.25">
      <c r="A203" t="s">
        <v>42</v>
      </c>
      <c r="B203" t="s">
        <v>1472</v>
      </c>
      <c r="C203" t="s">
        <v>332</v>
      </c>
      <c r="D203" t="s">
        <v>323</v>
      </c>
      <c r="E203" t="s">
        <v>1008</v>
      </c>
      <c r="F203">
        <v>0</v>
      </c>
      <c r="G203" t="s">
        <v>1024</v>
      </c>
      <c r="H203" t="s">
        <v>1469</v>
      </c>
      <c r="I203" t="s">
        <v>1470</v>
      </c>
      <c r="J203" t="s">
        <v>1401</v>
      </c>
      <c r="K203" t="s">
        <v>994</v>
      </c>
      <c r="L203" t="s">
        <v>994</v>
      </c>
      <c r="M203" t="s">
        <v>994</v>
      </c>
      <c r="N203" t="s">
        <v>994</v>
      </c>
      <c r="O203" t="s">
        <v>994</v>
      </c>
      <c r="P203" t="s">
        <v>994</v>
      </c>
      <c r="Q203" t="b">
        <v>1</v>
      </c>
      <c r="R203" t="b">
        <v>0</v>
      </c>
      <c r="S203" t="s">
        <v>1033</v>
      </c>
      <c r="T203" t="s">
        <v>994</v>
      </c>
      <c r="U203" t="s">
        <v>1034</v>
      </c>
      <c r="V203" t="s">
        <v>1062</v>
      </c>
      <c r="W203" t="s">
        <v>1187</v>
      </c>
      <c r="X203" t="s">
        <v>994</v>
      </c>
    </row>
    <row r="204" spans="1:24" x14ac:dyDescent="0.25">
      <c r="A204" t="s">
        <v>42</v>
      </c>
      <c r="B204" t="s">
        <v>1473</v>
      </c>
      <c r="C204" t="s">
        <v>332</v>
      </c>
      <c r="D204" t="s">
        <v>323</v>
      </c>
      <c r="E204" t="s">
        <v>1010</v>
      </c>
      <c r="F204">
        <v>0</v>
      </c>
      <c r="G204" t="s">
        <v>1024</v>
      </c>
      <c r="H204" t="s">
        <v>1469</v>
      </c>
      <c r="I204" t="s">
        <v>1470</v>
      </c>
      <c r="J204" t="s">
        <v>1401</v>
      </c>
      <c r="K204" t="s">
        <v>994</v>
      </c>
      <c r="L204" t="s">
        <v>994</v>
      </c>
      <c r="M204" t="s">
        <v>994</v>
      </c>
      <c r="N204" t="s">
        <v>994</v>
      </c>
      <c r="O204" t="s">
        <v>994</v>
      </c>
      <c r="P204" t="s">
        <v>994</v>
      </c>
      <c r="Q204" t="b">
        <v>1</v>
      </c>
      <c r="R204" t="b">
        <v>0</v>
      </c>
      <c r="S204" t="s">
        <v>1033</v>
      </c>
      <c r="T204" t="s">
        <v>994</v>
      </c>
      <c r="U204" t="s">
        <v>1034</v>
      </c>
      <c r="V204" t="s">
        <v>1062</v>
      </c>
      <c r="W204" t="s">
        <v>1187</v>
      </c>
      <c r="X204" t="s">
        <v>994</v>
      </c>
    </row>
    <row r="205" spans="1:24" x14ac:dyDescent="0.25">
      <c r="A205" t="s">
        <v>42</v>
      </c>
      <c r="B205" t="s">
        <v>1474</v>
      </c>
      <c r="C205" t="s">
        <v>332</v>
      </c>
      <c r="D205" t="s">
        <v>323</v>
      </c>
      <c r="E205" t="s">
        <v>1012</v>
      </c>
      <c r="F205">
        <v>0</v>
      </c>
      <c r="G205" t="s">
        <v>1024</v>
      </c>
      <c r="H205" t="s">
        <v>1469</v>
      </c>
      <c r="I205" t="s">
        <v>1470</v>
      </c>
      <c r="J205" t="s">
        <v>1401</v>
      </c>
      <c r="K205" t="s">
        <v>994</v>
      </c>
      <c r="L205" t="s">
        <v>994</v>
      </c>
      <c r="M205" t="s">
        <v>994</v>
      </c>
      <c r="N205" t="s">
        <v>994</v>
      </c>
      <c r="O205" t="s">
        <v>994</v>
      </c>
      <c r="P205" t="s">
        <v>994</v>
      </c>
      <c r="Q205" t="b">
        <v>1</v>
      </c>
      <c r="R205" t="b">
        <v>0</v>
      </c>
      <c r="S205" t="s">
        <v>1033</v>
      </c>
      <c r="T205" t="s">
        <v>994</v>
      </c>
      <c r="U205" t="s">
        <v>1034</v>
      </c>
      <c r="V205" t="s">
        <v>1062</v>
      </c>
      <c r="W205" t="s">
        <v>1187</v>
      </c>
      <c r="X205" t="s">
        <v>994</v>
      </c>
    </row>
    <row r="206" spans="1:24" x14ac:dyDescent="0.25">
      <c r="A206" t="s">
        <v>42</v>
      </c>
      <c r="B206" t="s">
        <v>1475</v>
      </c>
      <c r="C206" t="s">
        <v>332</v>
      </c>
      <c r="D206" t="s">
        <v>323</v>
      </c>
      <c r="E206" t="s">
        <v>1014</v>
      </c>
      <c r="F206">
        <v>0</v>
      </c>
      <c r="G206" t="s">
        <v>1024</v>
      </c>
      <c r="H206" t="s">
        <v>1469</v>
      </c>
      <c r="I206" t="s">
        <v>1470</v>
      </c>
      <c r="J206" t="s">
        <v>1401</v>
      </c>
      <c r="K206" t="s">
        <v>994</v>
      </c>
      <c r="L206" t="s">
        <v>994</v>
      </c>
      <c r="M206" t="s">
        <v>994</v>
      </c>
      <c r="N206" t="s">
        <v>994</v>
      </c>
      <c r="O206" t="s">
        <v>994</v>
      </c>
      <c r="P206" t="s">
        <v>994</v>
      </c>
      <c r="Q206" t="b">
        <v>1</v>
      </c>
      <c r="R206" t="b">
        <v>0</v>
      </c>
      <c r="S206" t="s">
        <v>1033</v>
      </c>
      <c r="T206" t="s">
        <v>994</v>
      </c>
      <c r="U206" t="s">
        <v>1034</v>
      </c>
      <c r="V206" t="s">
        <v>1062</v>
      </c>
      <c r="W206" t="s">
        <v>1187</v>
      </c>
      <c r="X206" t="s">
        <v>994</v>
      </c>
    </row>
    <row r="207" spans="1:24" x14ac:dyDescent="0.25">
      <c r="A207" t="s">
        <v>42</v>
      </c>
      <c r="B207" t="s">
        <v>1476</v>
      </c>
      <c r="C207" t="s">
        <v>332</v>
      </c>
      <c r="D207" t="s">
        <v>323</v>
      </c>
      <c r="E207" t="s">
        <v>1016</v>
      </c>
      <c r="F207">
        <v>0</v>
      </c>
      <c r="G207" t="s">
        <v>1024</v>
      </c>
      <c r="H207" t="s">
        <v>1469</v>
      </c>
      <c r="I207" t="s">
        <v>1470</v>
      </c>
      <c r="J207" t="s">
        <v>1401</v>
      </c>
      <c r="K207" t="s">
        <v>994</v>
      </c>
      <c r="L207" t="s">
        <v>994</v>
      </c>
      <c r="M207" t="s">
        <v>994</v>
      </c>
      <c r="N207" t="s">
        <v>994</v>
      </c>
      <c r="O207" t="s">
        <v>994</v>
      </c>
      <c r="P207" t="s">
        <v>994</v>
      </c>
      <c r="Q207" t="b">
        <v>1</v>
      </c>
      <c r="R207" t="b">
        <v>0</v>
      </c>
      <c r="S207" t="s">
        <v>1033</v>
      </c>
      <c r="T207" t="s">
        <v>994</v>
      </c>
      <c r="U207" t="s">
        <v>1034</v>
      </c>
      <c r="V207" t="s">
        <v>1062</v>
      </c>
      <c r="W207" t="s">
        <v>1187</v>
      </c>
      <c r="X207" t="s">
        <v>994</v>
      </c>
    </row>
    <row r="208" spans="1:24" x14ac:dyDescent="0.25">
      <c r="A208" t="s">
        <v>42</v>
      </c>
      <c r="B208" t="s">
        <v>1477</v>
      </c>
      <c r="C208" t="s">
        <v>332</v>
      </c>
      <c r="D208" t="s">
        <v>323</v>
      </c>
      <c r="E208" t="s">
        <v>1018</v>
      </c>
      <c r="F208">
        <v>0</v>
      </c>
      <c r="G208" t="s">
        <v>1024</v>
      </c>
      <c r="H208" t="s">
        <v>1469</v>
      </c>
      <c r="I208" t="s">
        <v>1470</v>
      </c>
      <c r="J208" t="s">
        <v>1401</v>
      </c>
      <c r="K208" t="s">
        <v>994</v>
      </c>
      <c r="L208" t="s">
        <v>994</v>
      </c>
      <c r="M208" t="s">
        <v>994</v>
      </c>
      <c r="N208" t="s">
        <v>994</v>
      </c>
      <c r="O208" t="s">
        <v>994</v>
      </c>
      <c r="P208" t="s">
        <v>994</v>
      </c>
      <c r="Q208" t="b">
        <v>1</v>
      </c>
      <c r="R208" t="b">
        <v>0</v>
      </c>
      <c r="S208" t="s">
        <v>1033</v>
      </c>
      <c r="T208" t="s">
        <v>994</v>
      </c>
      <c r="U208" t="s">
        <v>1034</v>
      </c>
      <c r="V208" t="s">
        <v>1062</v>
      </c>
      <c r="W208" t="s">
        <v>1187</v>
      </c>
      <c r="X208" t="s">
        <v>994</v>
      </c>
    </row>
    <row r="209" spans="1:24" x14ac:dyDescent="0.25">
      <c r="A209" t="s">
        <v>42</v>
      </c>
      <c r="B209" t="s">
        <v>1478</v>
      </c>
      <c r="C209" t="s">
        <v>332</v>
      </c>
      <c r="D209" t="s">
        <v>323</v>
      </c>
      <c r="E209" t="s">
        <v>1020</v>
      </c>
      <c r="F209">
        <v>0</v>
      </c>
      <c r="G209" t="s">
        <v>1024</v>
      </c>
      <c r="H209" t="s">
        <v>1469</v>
      </c>
      <c r="I209" t="s">
        <v>1470</v>
      </c>
      <c r="J209" t="s">
        <v>1401</v>
      </c>
      <c r="K209" t="s">
        <v>994</v>
      </c>
      <c r="L209" t="s">
        <v>994</v>
      </c>
      <c r="M209" t="s">
        <v>994</v>
      </c>
      <c r="N209" t="s">
        <v>994</v>
      </c>
      <c r="O209" t="s">
        <v>994</v>
      </c>
      <c r="P209" t="s">
        <v>994</v>
      </c>
      <c r="Q209" t="b">
        <v>1</v>
      </c>
      <c r="R209" t="b">
        <v>0</v>
      </c>
      <c r="S209" t="s">
        <v>1033</v>
      </c>
      <c r="T209" t="s">
        <v>994</v>
      </c>
      <c r="U209" t="s">
        <v>1034</v>
      </c>
      <c r="V209" t="s">
        <v>1062</v>
      </c>
      <c r="W209" t="s">
        <v>1187</v>
      </c>
      <c r="X209" t="s">
        <v>994</v>
      </c>
    </row>
    <row r="210" spans="1:24" x14ac:dyDescent="0.25">
      <c r="A210" t="s">
        <v>42</v>
      </c>
      <c r="B210" t="s">
        <v>1479</v>
      </c>
      <c r="C210" t="s">
        <v>332</v>
      </c>
      <c r="D210" t="s">
        <v>323</v>
      </c>
      <c r="E210" t="s">
        <v>1022</v>
      </c>
      <c r="F210">
        <v>0</v>
      </c>
      <c r="G210" t="s">
        <v>1024</v>
      </c>
      <c r="H210" t="s">
        <v>1469</v>
      </c>
      <c r="I210" t="s">
        <v>1470</v>
      </c>
      <c r="J210" t="s">
        <v>1401</v>
      </c>
      <c r="K210" t="s">
        <v>994</v>
      </c>
      <c r="L210" t="s">
        <v>994</v>
      </c>
      <c r="M210" t="s">
        <v>994</v>
      </c>
      <c r="N210" t="s">
        <v>994</v>
      </c>
      <c r="O210" t="s">
        <v>994</v>
      </c>
      <c r="P210" t="s">
        <v>994</v>
      </c>
      <c r="Q210" t="b">
        <v>1</v>
      </c>
      <c r="R210" t="b">
        <v>0</v>
      </c>
      <c r="S210" t="s">
        <v>1033</v>
      </c>
      <c r="T210" t="s">
        <v>994</v>
      </c>
      <c r="U210" t="s">
        <v>1034</v>
      </c>
      <c r="V210" t="s">
        <v>1062</v>
      </c>
      <c r="W210" t="s">
        <v>1187</v>
      </c>
      <c r="X210" t="s">
        <v>994</v>
      </c>
    </row>
    <row r="211" spans="1:24" x14ac:dyDescent="0.25">
      <c r="A211" t="s">
        <v>42</v>
      </c>
      <c r="B211" t="s">
        <v>1480</v>
      </c>
      <c r="C211" t="s">
        <v>333</v>
      </c>
      <c r="D211" t="s">
        <v>323</v>
      </c>
      <c r="E211" t="s">
        <v>992</v>
      </c>
      <c r="F211">
        <v>8532</v>
      </c>
      <c r="G211" t="s">
        <v>1024</v>
      </c>
      <c r="H211" t="s">
        <v>1481</v>
      </c>
      <c r="I211" t="s">
        <v>1482</v>
      </c>
      <c r="J211" t="s">
        <v>1401</v>
      </c>
      <c r="K211" t="s">
        <v>1027</v>
      </c>
      <c r="L211" t="s">
        <v>1028</v>
      </c>
      <c r="M211" t="s">
        <v>1029</v>
      </c>
      <c r="N211" t="s">
        <v>1030</v>
      </c>
      <c r="O211" t="s">
        <v>994</v>
      </c>
      <c r="P211" t="s">
        <v>1032</v>
      </c>
      <c r="Q211" t="b">
        <v>1</v>
      </c>
      <c r="R211" t="b">
        <v>0</v>
      </c>
      <c r="S211" t="s">
        <v>1033</v>
      </c>
      <c r="T211" t="s">
        <v>994</v>
      </c>
      <c r="U211" t="s">
        <v>1034</v>
      </c>
      <c r="V211" t="s">
        <v>997</v>
      </c>
      <c r="W211" t="s">
        <v>1035</v>
      </c>
      <c r="X211" t="s">
        <v>1483</v>
      </c>
    </row>
    <row r="212" spans="1:24" x14ac:dyDescent="0.25">
      <c r="A212" t="s">
        <v>42</v>
      </c>
      <c r="B212" t="s">
        <v>1484</v>
      </c>
      <c r="C212" t="s">
        <v>333</v>
      </c>
      <c r="D212" t="s">
        <v>323</v>
      </c>
      <c r="E212" t="s">
        <v>1000</v>
      </c>
      <c r="F212">
        <v>9421</v>
      </c>
      <c r="G212" t="s">
        <v>1024</v>
      </c>
      <c r="H212" t="s">
        <v>1485</v>
      </c>
      <c r="I212" t="s">
        <v>1482</v>
      </c>
      <c r="J212" t="s">
        <v>1401</v>
      </c>
      <c r="K212" t="s">
        <v>1039</v>
      </c>
      <c r="L212" t="s">
        <v>1040</v>
      </c>
      <c r="M212" t="s">
        <v>1029</v>
      </c>
      <c r="N212" t="s">
        <v>1041</v>
      </c>
      <c r="O212" t="s">
        <v>994</v>
      </c>
      <c r="P212" t="s">
        <v>1043</v>
      </c>
      <c r="Q212" t="b">
        <v>1</v>
      </c>
      <c r="R212" t="b">
        <v>0</v>
      </c>
      <c r="S212" t="s">
        <v>1033</v>
      </c>
      <c r="T212" t="s">
        <v>994</v>
      </c>
      <c r="U212" t="s">
        <v>1034</v>
      </c>
      <c r="V212" t="s">
        <v>997</v>
      </c>
      <c r="W212" t="s">
        <v>1035</v>
      </c>
      <c r="X212" t="s">
        <v>1483</v>
      </c>
    </row>
    <row r="213" spans="1:24" x14ac:dyDescent="0.25">
      <c r="A213" t="s">
        <v>42</v>
      </c>
      <c r="B213" t="s">
        <v>1486</v>
      </c>
      <c r="C213" t="s">
        <v>333</v>
      </c>
      <c r="D213" t="s">
        <v>323</v>
      </c>
      <c r="E213" t="s">
        <v>1002</v>
      </c>
      <c r="F213">
        <v>12398</v>
      </c>
      <c r="G213" t="s">
        <v>1024</v>
      </c>
      <c r="H213" t="s">
        <v>1487</v>
      </c>
      <c r="I213" t="s">
        <v>1482</v>
      </c>
      <c r="J213" t="s">
        <v>1401</v>
      </c>
      <c r="K213" t="s">
        <v>1046</v>
      </c>
      <c r="L213" t="s">
        <v>1047</v>
      </c>
      <c r="M213" t="s">
        <v>1029</v>
      </c>
      <c r="N213" t="s">
        <v>1048</v>
      </c>
      <c r="O213" t="s">
        <v>994</v>
      </c>
      <c r="P213" t="s">
        <v>1050</v>
      </c>
      <c r="Q213" t="b">
        <v>1</v>
      </c>
      <c r="R213" t="b">
        <v>0</v>
      </c>
      <c r="S213" t="s">
        <v>1033</v>
      </c>
      <c r="T213" t="s">
        <v>994</v>
      </c>
      <c r="U213" t="s">
        <v>1034</v>
      </c>
      <c r="V213" t="s">
        <v>997</v>
      </c>
      <c r="W213" t="s">
        <v>1035</v>
      </c>
      <c r="X213" t="s">
        <v>1483</v>
      </c>
    </row>
    <row r="214" spans="1:24" x14ac:dyDescent="0.25">
      <c r="A214" t="s">
        <v>42</v>
      </c>
      <c r="B214" t="s">
        <v>1488</v>
      </c>
      <c r="C214" t="s">
        <v>333</v>
      </c>
      <c r="D214" t="s">
        <v>323</v>
      </c>
      <c r="E214" t="s">
        <v>1004</v>
      </c>
      <c r="F214">
        <v>12650</v>
      </c>
      <c r="G214" t="s">
        <v>1024</v>
      </c>
      <c r="H214" t="s">
        <v>1489</v>
      </c>
      <c r="I214" t="s">
        <v>1482</v>
      </c>
      <c r="J214" t="s">
        <v>1401</v>
      </c>
      <c r="K214" t="s">
        <v>1055</v>
      </c>
      <c r="L214" t="s">
        <v>1056</v>
      </c>
      <c r="M214" t="s">
        <v>1057</v>
      </c>
      <c r="N214" t="s">
        <v>1058</v>
      </c>
      <c r="O214" t="s">
        <v>994</v>
      </c>
      <c r="P214" t="s">
        <v>1059</v>
      </c>
      <c r="Q214" t="b">
        <v>1</v>
      </c>
      <c r="R214" t="b">
        <v>0</v>
      </c>
      <c r="S214" t="s">
        <v>1033</v>
      </c>
      <c r="T214" t="s">
        <v>994</v>
      </c>
      <c r="U214" t="s">
        <v>1034</v>
      </c>
      <c r="V214" t="s">
        <v>997</v>
      </c>
      <c r="W214" t="s">
        <v>1035</v>
      </c>
      <c r="X214" t="s">
        <v>1483</v>
      </c>
    </row>
    <row r="215" spans="1:24" x14ac:dyDescent="0.25">
      <c r="A215" t="s">
        <v>42</v>
      </c>
      <c r="B215" t="s">
        <v>1490</v>
      </c>
      <c r="C215" t="s">
        <v>333</v>
      </c>
      <c r="D215" t="s">
        <v>323</v>
      </c>
      <c r="E215" t="s">
        <v>1006</v>
      </c>
      <c r="F215">
        <v>12829</v>
      </c>
      <c r="G215" t="s">
        <v>1024</v>
      </c>
      <c r="H215" t="s">
        <v>1491</v>
      </c>
      <c r="I215" t="s">
        <v>1482</v>
      </c>
      <c r="J215" t="s">
        <v>1401</v>
      </c>
      <c r="K215" t="s">
        <v>1065</v>
      </c>
      <c r="L215" t="s">
        <v>1066</v>
      </c>
      <c r="M215" t="s">
        <v>1029</v>
      </c>
      <c r="N215" t="s">
        <v>1067</v>
      </c>
      <c r="O215" t="s">
        <v>994</v>
      </c>
      <c r="P215" t="s">
        <v>1069</v>
      </c>
      <c r="Q215" t="b">
        <v>1</v>
      </c>
      <c r="R215" t="b">
        <v>0</v>
      </c>
      <c r="S215" t="s">
        <v>1033</v>
      </c>
      <c r="T215" t="s">
        <v>994</v>
      </c>
      <c r="U215" t="s">
        <v>1034</v>
      </c>
      <c r="V215" t="s">
        <v>997</v>
      </c>
      <c r="W215" t="s">
        <v>1035</v>
      </c>
      <c r="X215" t="s">
        <v>1483</v>
      </c>
    </row>
    <row r="216" spans="1:24" x14ac:dyDescent="0.25">
      <c r="A216" t="s">
        <v>42</v>
      </c>
      <c r="B216" t="s">
        <v>1492</v>
      </c>
      <c r="C216" t="s">
        <v>333</v>
      </c>
      <c r="D216" t="s">
        <v>323</v>
      </c>
      <c r="E216" t="s">
        <v>1008</v>
      </c>
      <c r="F216">
        <v>14183</v>
      </c>
      <c r="G216" t="s">
        <v>1024</v>
      </c>
      <c r="H216" t="s">
        <v>1493</v>
      </c>
      <c r="I216" t="s">
        <v>1482</v>
      </c>
      <c r="J216" t="s">
        <v>1401</v>
      </c>
      <c r="K216" t="s">
        <v>1072</v>
      </c>
      <c r="L216" t="s">
        <v>1073</v>
      </c>
      <c r="M216" t="s">
        <v>1029</v>
      </c>
      <c r="N216" t="s">
        <v>1074</v>
      </c>
      <c r="O216" t="s">
        <v>994</v>
      </c>
      <c r="P216" t="s">
        <v>1076</v>
      </c>
      <c r="Q216" t="b">
        <v>1</v>
      </c>
      <c r="R216" t="b">
        <v>0</v>
      </c>
      <c r="S216" t="s">
        <v>1033</v>
      </c>
      <c r="T216" t="s">
        <v>994</v>
      </c>
      <c r="U216" t="s">
        <v>1034</v>
      </c>
      <c r="V216" t="s">
        <v>997</v>
      </c>
      <c r="W216" t="s">
        <v>1035</v>
      </c>
      <c r="X216" t="s">
        <v>1483</v>
      </c>
    </row>
    <row r="217" spans="1:24" x14ac:dyDescent="0.25">
      <c r="A217" t="s">
        <v>42</v>
      </c>
      <c r="B217" t="s">
        <v>1494</v>
      </c>
      <c r="C217" t="s">
        <v>333</v>
      </c>
      <c r="D217" t="s">
        <v>323</v>
      </c>
      <c r="E217" t="s">
        <v>1010</v>
      </c>
      <c r="F217">
        <v>15207</v>
      </c>
      <c r="G217" t="s">
        <v>1024</v>
      </c>
      <c r="H217" t="s">
        <v>1495</v>
      </c>
      <c r="I217" t="s">
        <v>1482</v>
      </c>
      <c r="J217" t="s">
        <v>1401</v>
      </c>
      <c r="K217" t="s">
        <v>1079</v>
      </c>
      <c r="L217" t="s">
        <v>1080</v>
      </c>
      <c r="M217" t="s">
        <v>1029</v>
      </c>
      <c r="N217" t="s">
        <v>1081</v>
      </c>
      <c r="O217" t="s">
        <v>994</v>
      </c>
      <c r="P217" t="s">
        <v>1083</v>
      </c>
      <c r="Q217" t="b">
        <v>1</v>
      </c>
      <c r="R217" t="b">
        <v>0</v>
      </c>
      <c r="S217" t="s">
        <v>1033</v>
      </c>
      <c r="T217" t="s">
        <v>994</v>
      </c>
      <c r="U217" t="s">
        <v>1034</v>
      </c>
      <c r="V217" t="s">
        <v>997</v>
      </c>
      <c r="W217" t="s">
        <v>1035</v>
      </c>
      <c r="X217" t="s">
        <v>1483</v>
      </c>
    </row>
    <row r="218" spans="1:24" x14ac:dyDescent="0.25">
      <c r="A218" t="s">
        <v>42</v>
      </c>
      <c r="B218" t="s">
        <v>1496</v>
      </c>
      <c r="C218" t="s">
        <v>333</v>
      </c>
      <c r="D218" t="s">
        <v>323</v>
      </c>
      <c r="E218" t="s">
        <v>1012</v>
      </c>
      <c r="F218">
        <v>15714</v>
      </c>
      <c r="G218" t="s">
        <v>1024</v>
      </c>
      <c r="H218" t="s">
        <v>1497</v>
      </c>
      <c r="I218" t="s">
        <v>1482</v>
      </c>
      <c r="J218" t="s">
        <v>1401</v>
      </c>
      <c r="K218" t="s">
        <v>1086</v>
      </c>
      <c r="L218" t="s">
        <v>1087</v>
      </c>
      <c r="M218" t="s">
        <v>1057</v>
      </c>
      <c r="N218" t="s">
        <v>1088</v>
      </c>
      <c r="O218" t="s">
        <v>994</v>
      </c>
      <c r="P218" t="s">
        <v>1089</v>
      </c>
      <c r="Q218" t="b">
        <v>1</v>
      </c>
      <c r="R218" t="b">
        <v>0</v>
      </c>
      <c r="S218" t="s">
        <v>1033</v>
      </c>
      <c r="T218" t="s">
        <v>994</v>
      </c>
      <c r="U218" t="s">
        <v>1034</v>
      </c>
      <c r="V218" t="s">
        <v>997</v>
      </c>
      <c r="W218" t="s">
        <v>1035</v>
      </c>
      <c r="X218" t="s">
        <v>1483</v>
      </c>
    </row>
    <row r="219" spans="1:24" x14ac:dyDescent="0.25">
      <c r="A219" t="s">
        <v>42</v>
      </c>
      <c r="B219" t="s">
        <v>1498</v>
      </c>
      <c r="C219" t="s">
        <v>333</v>
      </c>
      <c r="D219" t="s">
        <v>323</v>
      </c>
      <c r="E219" t="s">
        <v>1014</v>
      </c>
      <c r="F219">
        <v>15724</v>
      </c>
      <c r="G219" t="s">
        <v>1024</v>
      </c>
      <c r="H219" t="s">
        <v>1499</v>
      </c>
      <c r="I219" t="s">
        <v>1482</v>
      </c>
      <c r="J219" t="s">
        <v>1401</v>
      </c>
      <c r="K219" t="s">
        <v>1092</v>
      </c>
      <c r="L219" t="s">
        <v>1093</v>
      </c>
      <c r="M219" t="s">
        <v>1029</v>
      </c>
      <c r="N219" t="s">
        <v>1094</v>
      </c>
      <c r="O219" t="s">
        <v>994</v>
      </c>
      <c r="P219" t="s">
        <v>1096</v>
      </c>
      <c r="Q219" t="b">
        <v>1</v>
      </c>
      <c r="R219" t="b">
        <v>0</v>
      </c>
      <c r="S219" t="s">
        <v>1033</v>
      </c>
      <c r="T219" t="s">
        <v>994</v>
      </c>
      <c r="U219" t="s">
        <v>1034</v>
      </c>
      <c r="V219" t="s">
        <v>997</v>
      </c>
      <c r="W219" t="s">
        <v>1035</v>
      </c>
      <c r="X219" t="s">
        <v>1483</v>
      </c>
    </row>
    <row r="220" spans="1:24" x14ac:dyDescent="0.25">
      <c r="A220" t="s">
        <v>42</v>
      </c>
      <c r="B220" t="s">
        <v>1500</v>
      </c>
      <c r="C220" t="s">
        <v>333</v>
      </c>
      <c r="D220" t="s">
        <v>323</v>
      </c>
      <c r="E220" t="s">
        <v>1016</v>
      </c>
      <c r="F220">
        <v>16020</v>
      </c>
      <c r="G220" t="s">
        <v>1024</v>
      </c>
      <c r="H220" t="s">
        <v>1501</v>
      </c>
      <c r="I220" t="s">
        <v>1482</v>
      </c>
      <c r="J220" t="s">
        <v>1401</v>
      </c>
      <c r="K220" t="s">
        <v>1100</v>
      </c>
      <c r="L220" t="s">
        <v>1101</v>
      </c>
      <c r="M220" t="s">
        <v>1029</v>
      </c>
      <c r="N220" t="s">
        <v>1102</v>
      </c>
      <c r="O220" t="s">
        <v>994</v>
      </c>
      <c r="P220" t="s">
        <v>1104</v>
      </c>
      <c r="Q220" t="b">
        <v>1</v>
      </c>
      <c r="R220" t="b">
        <v>0</v>
      </c>
      <c r="S220" t="s">
        <v>1033</v>
      </c>
      <c r="T220" t="s">
        <v>994</v>
      </c>
      <c r="U220" t="s">
        <v>1034</v>
      </c>
      <c r="V220" t="s">
        <v>997</v>
      </c>
      <c r="W220" t="s">
        <v>1035</v>
      </c>
      <c r="X220" t="s">
        <v>1483</v>
      </c>
    </row>
    <row r="221" spans="1:24" x14ac:dyDescent="0.25">
      <c r="A221" t="s">
        <v>42</v>
      </c>
      <c r="B221" t="s">
        <v>1502</v>
      </c>
      <c r="C221" t="s">
        <v>333</v>
      </c>
      <c r="D221" t="s">
        <v>323</v>
      </c>
      <c r="E221" t="s">
        <v>1018</v>
      </c>
      <c r="F221">
        <v>18303</v>
      </c>
      <c r="G221" t="s">
        <v>1024</v>
      </c>
      <c r="H221" t="s">
        <v>1503</v>
      </c>
      <c r="I221" t="s">
        <v>1482</v>
      </c>
      <c r="J221" t="s">
        <v>1401</v>
      </c>
      <c r="K221" t="s">
        <v>1107</v>
      </c>
      <c r="L221" t="s">
        <v>1108</v>
      </c>
      <c r="M221" t="s">
        <v>1029</v>
      </c>
      <c r="N221" t="s">
        <v>1109</v>
      </c>
      <c r="O221" t="s">
        <v>994</v>
      </c>
      <c r="P221" t="s">
        <v>1111</v>
      </c>
      <c r="Q221" t="b">
        <v>1</v>
      </c>
      <c r="R221" t="b">
        <v>0</v>
      </c>
      <c r="S221" t="s">
        <v>1033</v>
      </c>
      <c r="T221" t="s">
        <v>994</v>
      </c>
      <c r="U221" t="s">
        <v>1034</v>
      </c>
      <c r="V221" t="s">
        <v>997</v>
      </c>
      <c r="W221" t="s">
        <v>1035</v>
      </c>
      <c r="X221" t="s">
        <v>1483</v>
      </c>
    </row>
    <row r="222" spans="1:24" x14ac:dyDescent="0.25">
      <c r="A222" t="s">
        <v>42</v>
      </c>
      <c r="B222" t="s">
        <v>1504</v>
      </c>
      <c r="C222" t="s">
        <v>333</v>
      </c>
      <c r="D222" t="s">
        <v>323</v>
      </c>
      <c r="E222" t="s">
        <v>1020</v>
      </c>
      <c r="F222">
        <v>16309</v>
      </c>
      <c r="G222" t="s">
        <v>1024</v>
      </c>
      <c r="H222" t="s">
        <v>1505</v>
      </c>
      <c r="I222" t="s">
        <v>1482</v>
      </c>
      <c r="J222" t="s">
        <v>1401</v>
      </c>
      <c r="K222" t="s">
        <v>1114</v>
      </c>
      <c r="L222" t="s">
        <v>1115</v>
      </c>
      <c r="M222" t="s">
        <v>1057</v>
      </c>
      <c r="N222" t="s">
        <v>1116</v>
      </c>
      <c r="O222" t="s">
        <v>994</v>
      </c>
      <c r="P222" t="s">
        <v>1117</v>
      </c>
      <c r="Q222" t="b">
        <v>1</v>
      </c>
      <c r="R222" t="b">
        <v>0</v>
      </c>
      <c r="S222" t="s">
        <v>1033</v>
      </c>
      <c r="T222" t="s">
        <v>994</v>
      </c>
      <c r="U222" t="s">
        <v>1034</v>
      </c>
      <c r="V222" t="s">
        <v>997</v>
      </c>
      <c r="W222" t="s">
        <v>1035</v>
      </c>
      <c r="X222" t="s">
        <v>1483</v>
      </c>
    </row>
    <row r="223" spans="1:24" x14ac:dyDescent="0.25">
      <c r="A223" t="s">
        <v>42</v>
      </c>
      <c r="B223" t="s">
        <v>1506</v>
      </c>
      <c r="C223" t="s">
        <v>333</v>
      </c>
      <c r="D223" t="s">
        <v>323</v>
      </c>
      <c r="E223" t="s">
        <v>1022</v>
      </c>
      <c r="F223">
        <v>23914</v>
      </c>
      <c r="G223" t="s">
        <v>1024</v>
      </c>
      <c r="H223" t="s">
        <v>1507</v>
      </c>
      <c r="I223" t="s">
        <v>1482</v>
      </c>
      <c r="J223" t="s">
        <v>1401</v>
      </c>
      <c r="K223" t="s">
        <v>1120</v>
      </c>
      <c r="L223" t="s">
        <v>1121</v>
      </c>
      <c r="M223" t="s">
        <v>1029</v>
      </c>
      <c r="N223" t="s">
        <v>1122</v>
      </c>
      <c r="O223" t="s">
        <v>994</v>
      </c>
      <c r="P223" t="s">
        <v>1124</v>
      </c>
      <c r="Q223" t="b">
        <v>1</v>
      </c>
      <c r="R223" t="b">
        <v>0</v>
      </c>
      <c r="S223" t="s">
        <v>1033</v>
      </c>
      <c r="T223" t="s">
        <v>994</v>
      </c>
      <c r="U223" t="s">
        <v>1034</v>
      </c>
      <c r="V223" t="s">
        <v>997</v>
      </c>
      <c r="W223" t="s">
        <v>1035</v>
      </c>
      <c r="X223" t="s">
        <v>1483</v>
      </c>
    </row>
    <row r="224" spans="1:24" x14ac:dyDescent="0.25">
      <c r="A224" t="s">
        <v>42</v>
      </c>
      <c r="B224" t="s">
        <v>1508</v>
      </c>
      <c r="C224" t="s">
        <v>335</v>
      </c>
      <c r="D224" t="s">
        <v>323</v>
      </c>
      <c r="E224" t="s">
        <v>992</v>
      </c>
      <c r="F224">
        <v>117560</v>
      </c>
      <c r="G224" t="s">
        <v>1428</v>
      </c>
      <c r="H224" t="s">
        <v>1509</v>
      </c>
      <c r="I224" t="s">
        <v>1510</v>
      </c>
      <c r="J224" t="s">
        <v>1401</v>
      </c>
      <c r="K224" t="s">
        <v>1027</v>
      </c>
      <c r="L224" t="s">
        <v>1028</v>
      </c>
      <c r="M224" t="s">
        <v>1029</v>
      </c>
      <c r="N224" t="s">
        <v>1030</v>
      </c>
      <c r="O224" t="s">
        <v>994</v>
      </c>
      <c r="P224" t="s">
        <v>1032</v>
      </c>
      <c r="Q224" t="b">
        <v>1</v>
      </c>
      <c r="R224" t="b">
        <v>0</v>
      </c>
      <c r="S224" t="s">
        <v>996</v>
      </c>
      <c r="T224" t="s">
        <v>1511</v>
      </c>
      <c r="U224" t="s">
        <v>1432</v>
      </c>
      <c r="V224" t="s">
        <v>1433</v>
      </c>
      <c r="W224" t="s">
        <v>1512</v>
      </c>
      <c r="X224" t="s">
        <v>1513</v>
      </c>
    </row>
    <row r="225" spans="1:24" x14ac:dyDescent="0.25">
      <c r="A225" t="s">
        <v>42</v>
      </c>
      <c r="B225" t="s">
        <v>1514</v>
      </c>
      <c r="C225" t="s">
        <v>335</v>
      </c>
      <c r="D225" t="s">
        <v>323</v>
      </c>
      <c r="E225" t="s">
        <v>1000</v>
      </c>
      <c r="F225">
        <v>121208</v>
      </c>
      <c r="G225" t="s">
        <v>1428</v>
      </c>
      <c r="H225" t="s">
        <v>1515</v>
      </c>
      <c r="I225" t="s">
        <v>1510</v>
      </c>
      <c r="J225" t="s">
        <v>1401</v>
      </c>
      <c r="K225" t="s">
        <v>1039</v>
      </c>
      <c r="L225" t="s">
        <v>1040</v>
      </c>
      <c r="M225" t="s">
        <v>1029</v>
      </c>
      <c r="N225" t="s">
        <v>1041</v>
      </c>
      <c r="O225" t="s">
        <v>994</v>
      </c>
      <c r="P225" t="s">
        <v>1043</v>
      </c>
      <c r="Q225" t="b">
        <v>1</v>
      </c>
      <c r="R225" t="b">
        <v>0</v>
      </c>
      <c r="S225" t="s">
        <v>996</v>
      </c>
      <c r="T225" t="s">
        <v>1511</v>
      </c>
      <c r="U225" t="s">
        <v>1432</v>
      </c>
      <c r="V225" t="s">
        <v>1433</v>
      </c>
      <c r="W225" t="s">
        <v>1512</v>
      </c>
      <c r="X225" t="s">
        <v>1513</v>
      </c>
    </row>
    <row r="226" spans="1:24" x14ac:dyDescent="0.25">
      <c r="A226" t="s">
        <v>42</v>
      </c>
      <c r="B226" t="s">
        <v>1516</v>
      </c>
      <c r="C226" t="s">
        <v>335</v>
      </c>
      <c r="D226" t="s">
        <v>323</v>
      </c>
      <c r="E226" t="s">
        <v>1002</v>
      </c>
      <c r="F226">
        <v>125705</v>
      </c>
      <c r="G226" t="s">
        <v>1428</v>
      </c>
      <c r="H226" t="s">
        <v>1517</v>
      </c>
      <c r="I226" t="s">
        <v>1510</v>
      </c>
      <c r="J226" t="s">
        <v>1401</v>
      </c>
      <c r="K226" t="s">
        <v>1046</v>
      </c>
      <c r="L226" t="s">
        <v>1047</v>
      </c>
      <c r="M226" t="s">
        <v>1029</v>
      </c>
      <c r="N226" t="s">
        <v>1048</v>
      </c>
      <c r="O226" t="s">
        <v>994</v>
      </c>
      <c r="P226" t="s">
        <v>1050</v>
      </c>
      <c r="Q226" t="b">
        <v>1</v>
      </c>
      <c r="R226" t="b">
        <v>0</v>
      </c>
      <c r="S226" t="s">
        <v>996</v>
      </c>
      <c r="T226" t="s">
        <v>1511</v>
      </c>
      <c r="U226" t="s">
        <v>1432</v>
      </c>
      <c r="V226" t="s">
        <v>1433</v>
      </c>
      <c r="W226" t="s">
        <v>1512</v>
      </c>
      <c r="X226" t="s">
        <v>1513</v>
      </c>
    </row>
    <row r="227" spans="1:24" x14ac:dyDescent="0.25">
      <c r="A227" t="s">
        <v>42</v>
      </c>
      <c r="B227" t="s">
        <v>1518</v>
      </c>
      <c r="C227" t="s">
        <v>335</v>
      </c>
      <c r="D227" t="s">
        <v>323</v>
      </c>
      <c r="E227" t="s">
        <v>1004</v>
      </c>
      <c r="F227">
        <v>134345</v>
      </c>
      <c r="G227" t="s">
        <v>1428</v>
      </c>
      <c r="H227" t="s">
        <v>1519</v>
      </c>
      <c r="I227" t="s">
        <v>1510</v>
      </c>
      <c r="J227" t="s">
        <v>1401</v>
      </c>
      <c r="K227" t="s">
        <v>1079</v>
      </c>
      <c r="L227" t="s">
        <v>1080</v>
      </c>
      <c r="M227" t="s">
        <v>1029</v>
      </c>
      <c r="N227" t="s">
        <v>1081</v>
      </c>
      <c r="O227" t="s">
        <v>994</v>
      </c>
      <c r="P227" t="s">
        <v>1059</v>
      </c>
      <c r="Q227" t="b">
        <v>1</v>
      </c>
      <c r="R227" t="b">
        <v>0</v>
      </c>
      <c r="S227" t="s">
        <v>996</v>
      </c>
      <c r="T227" t="s">
        <v>1511</v>
      </c>
      <c r="U227" t="s">
        <v>1432</v>
      </c>
      <c r="V227" t="s">
        <v>1433</v>
      </c>
      <c r="W227" t="s">
        <v>1512</v>
      </c>
      <c r="X227" t="s">
        <v>1513</v>
      </c>
    </row>
    <row r="228" spans="1:24" x14ac:dyDescent="0.25">
      <c r="A228" t="s">
        <v>42</v>
      </c>
      <c r="B228" t="s">
        <v>1520</v>
      </c>
      <c r="C228" t="s">
        <v>335</v>
      </c>
      <c r="D228" t="s">
        <v>323</v>
      </c>
      <c r="E228" t="s">
        <v>1006</v>
      </c>
      <c r="F228">
        <v>143182</v>
      </c>
      <c r="G228" t="s">
        <v>1126</v>
      </c>
      <c r="H228" t="s">
        <v>1521</v>
      </c>
      <c r="I228" t="s">
        <v>1522</v>
      </c>
      <c r="J228" t="s">
        <v>1401</v>
      </c>
      <c r="K228" t="s">
        <v>1065</v>
      </c>
      <c r="L228" t="s">
        <v>1066</v>
      </c>
      <c r="M228" t="s">
        <v>1029</v>
      </c>
      <c r="N228" t="s">
        <v>1067</v>
      </c>
      <c r="O228" t="s">
        <v>994</v>
      </c>
      <c r="P228" t="s">
        <v>1069</v>
      </c>
      <c r="Q228" t="b">
        <v>1</v>
      </c>
      <c r="R228" t="b">
        <v>0</v>
      </c>
      <c r="S228" t="s">
        <v>1033</v>
      </c>
      <c r="T228" t="s">
        <v>994</v>
      </c>
      <c r="U228" t="s">
        <v>1034</v>
      </c>
      <c r="V228" t="s">
        <v>997</v>
      </c>
      <c r="W228" t="s">
        <v>1035</v>
      </c>
      <c r="X228" t="s">
        <v>1523</v>
      </c>
    </row>
    <row r="229" spans="1:24" x14ac:dyDescent="0.25">
      <c r="A229" t="s">
        <v>42</v>
      </c>
      <c r="B229" t="s">
        <v>1524</v>
      </c>
      <c r="C229" t="s">
        <v>335</v>
      </c>
      <c r="D229" t="s">
        <v>323</v>
      </c>
      <c r="E229" t="s">
        <v>1008</v>
      </c>
      <c r="F229">
        <v>151155</v>
      </c>
      <c r="G229" t="s">
        <v>1126</v>
      </c>
      <c r="H229" t="s">
        <v>1525</v>
      </c>
      <c r="I229" t="s">
        <v>1522</v>
      </c>
      <c r="J229" t="s">
        <v>1401</v>
      </c>
      <c r="K229" t="s">
        <v>1072</v>
      </c>
      <c r="L229" t="s">
        <v>1073</v>
      </c>
      <c r="M229" t="s">
        <v>1029</v>
      </c>
      <c r="N229" t="s">
        <v>1074</v>
      </c>
      <c r="O229" t="s">
        <v>994</v>
      </c>
      <c r="P229" t="s">
        <v>1076</v>
      </c>
      <c r="Q229" t="b">
        <v>1</v>
      </c>
      <c r="R229" t="b">
        <v>0</v>
      </c>
      <c r="S229" t="s">
        <v>1033</v>
      </c>
      <c r="T229" t="s">
        <v>994</v>
      </c>
      <c r="U229" t="s">
        <v>1034</v>
      </c>
      <c r="V229" t="s">
        <v>997</v>
      </c>
      <c r="W229" t="s">
        <v>1035</v>
      </c>
      <c r="X229" t="s">
        <v>1523</v>
      </c>
    </row>
    <row r="230" spans="1:24" x14ac:dyDescent="0.25">
      <c r="A230" t="s">
        <v>42</v>
      </c>
      <c r="B230" t="s">
        <v>1526</v>
      </c>
      <c r="C230" t="s">
        <v>335</v>
      </c>
      <c r="D230" t="s">
        <v>323</v>
      </c>
      <c r="E230" t="s">
        <v>1010</v>
      </c>
      <c r="F230">
        <v>161270</v>
      </c>
      <c r="G230" t="s">
        <v>1428</v>
      </c>
      <c r="H230" t="s">
        <v>1527</v>
      </c>
      <c r="I230" t="s">
        <v>1510</v>
      </c>
      <c r="J230" t="s">
        <v>1401</v>
      </c>
      <c r="K230" t="s">
        <v>1079</v>
      </c>
      <c r="L230" t="s">
        <v>1080</v>
      </c>
      <c r="M230" t="s">
        <v>1029</v>
      </c>
      <c r="N230" t="s">
        <v>1081</v>
      </c>
      <c r="O230" t="s">
        <v>994</v>
      </c>
      <c r="P230" t="s">
        <v>1083</v>
      </c>
      <c r="Q230" t="b">
        <v>1</v>
      </c>
      <c r="R230" t="b">
        <v>0</v>
      </c>
      <c r="S230" t="s">
        <v>996</v>
      </c>
      <c r="T230" t="s">
        <v>1511</v>
      </c>
      <c r="U230" t="s">
        <v>1432</v>
      </c>
      <c r="V230" t="s">
        <v>1433</v>
      </c>
      <c r="W230" t="s">
        <v>1512</v>
      </c>
      <c r="X230" t="s">
        <v>1513</v>
      </c>
    </row>
    <row r="231" spans="1:24" x14ac:dyDescent="0.25">
      <c r="A231" t="s">
        <v>42</v>
      </c>
      <c r="B231" t="s">
        <v>1528</v>
      </c>
      <c r="C231" t="s">
        <v>335</v>
      </c>
      <c r="D231" t="s">
        <v>323</v>
      </c>
      <c r="E231" t="s">
        <v>1012</v>
      </c>
      <c r="F231">
        <v>171036</v>
      </c>
      <c r="G231" t="s">
        <v>1428</v>
      </c>
      <c r="H231" t="s">
        <v>1529</v>
      </c>
      <c r="I231" t="s">
        <v>1510</v>
      </c>
      <c r="J231" t="s">
        <v>1401</v>
      </c>
      <c r="K231" t="s">
        <v>1114</v>
      </c>
      <c r="L231" t="s">
        <v>1115</v>
      </c>
      <c r="M231" t="s">
        <v>1057</v>
      </c>
      <c r="N231" t="s">
        <v>1116</v>
      </c>
      <c r="O231" t="s">
        <v>994</v>
      </c>
      <c r="P231" t="s">
        <v>1089</v>
      </c>
      <c r="Q231" t="b">
        <v>1</v>
      </c>
      <c r="R231" t="b">
        <v>0</v>
      </c>
      <c r="S231" t="s">
        <v>996</v>
      </c>
      <c r="T231" t="s">
        <v>1511</v>
      </c>
      <c r="U231" t="s">
        <v>1432</v>
      </c>
      <c r="V231" t="s">
        <v>1433</v>
      </c>
      <c r="W231" t="s">
        <v>1512</v>
      </c>
      <c r="X231" t="s">
        <v>1513</v>
      </c>
    </row>
    <row r="232" spans="1:24" x14ac:dyDescent="0.25">
      <c r="A232" t="s">
        <v>42</v>
      </c>
      <c r="B232" t="s">
        <v>1530</v>
      </c>
      <c r="C232" t="s">
        <v>335</v>
      </c>
      <c r="D232" t="s">
        <v>323</v>
      </c>
      <c r="E232" t="s">
        <v>1014</v>
      </c>
      <c r="F232">
        <v>185062</v>
      </c>
      <c r="G232" t="s">
        <v>1126</v>
      </c>
      <c r="H232" t="s">
        <v>1531</v>
      </c>
      <c r="I232" t="s">
        <v>1522</v>
      </c>
      <c r="J232" t="s">
        <v>1401</v>
      </c>
      <c r="K232" t="s">
        <v>1092</v>
      </c>
      <c r="L232" t="s">
        <v>1093</v>
      </c>
      <c r="M232" t="s">
        <v>1029</v>
      </c>
      <c r="N232" t="s">
        <v>1094</v>
      </c>
      <c r="O232" t="s">
        <v>994</v>
      </c>
      <c r="P232" t="s">
        <v>1096</v>
      </c>
      <c r="Q232" t="b">
        <v>1</v>
      </c>
      <c r="R232" t="b">
        <v>0</v>
      </c>
      <c r="S232" t="s">
        <v>1033</v>
      </c>
      <c r="T232" t="s">
        <v>994</v>
      </c>
      <c r="U232" t="s">
        <v>1034</v>
      </c>
      <c r="V232" t="s">
        <v>997</v>
      </c>
      <c r="W232" t="s">
        <v>1035</v>
      </c>
      <c r="X232" t="s">
        <v>1523</v>
      </c>
    </row>
    <row r="233" spans="1:24" x14ac:dyDescent="0.25">
      <c r="A233" t="s">
        <v>42</v>
      </c>
      <c r="B233" t="s">
        <v>1532</v>
      </c>
      <c r="C233" t="s">
        <v>335</v>
      </c>
      <c r="D233" t="s">
        <v>323</v>
      </c>
      <c r="E233" t="s">
        <v>1016</v>
      </c>
      <c r="F233">
        <v>203231</v>
      </c>
      <c r="G233" t="s">
        <v>1428</v>
      </c>
      <c r="H233" t="s">
        <v>1533</v>
      </c>
      <c r="I233" t="s">
        <v>1510</v>
      </c>
      <c r="J233" t="s">
        <v>1401</v>
      </c>
      <c r="K233" t="s">
        <v>1100</v>
      </c>
      <c r="L233" t="s">
        <v>1101</v>
      </c>
      <c r="M233" t="s">
        <v>1029</v>
      </c>
      <c r="N233" t="s">
        <v>1102</v>
      </c>
      <c r="O233" t="s">
        <v>994</v>
      </c>
      <c r="P233" t="s">
        <v>1104</v>
      </c>
      <c r="Q233" t="b">
        <v>1</v>
      </c>
      <c r="R233" t="b">
        <v>0</v>
      </c>
      <c r="S233" t="s">
        <v>996</v>
      </c>
      <c r="T233" t="s">
        <v>1511</v>
      </c>
      <c r="U233" t="s">
        <v>1432</v>
      </c>
      <c r="V233" t="s">
        <v>1433</v>
      </c>
      <c r="W233" t="s">
        <v>1512</v>
      </c>
      <c r="X233" t="s">
        <v>1513</v>
      </c>
    </row>
    <row r="234" spans="1:24" x14ac:dyDescent="0.25">
      <c r="A234" t="s">
        <v>42</v>
      </c>
      <c r="B234" t="s">
        <v>1534</v>
      </c>
      <c r="C234" t="s">
        <v>335</v>
      </c>
      <c r="D234" t="s">
        <v>323</v>
      </c>
      <c r="E234" t="s">
        <v>1018</v>
      </c>
      <c r="F234">
        <v>223787</v>
      </c>
      <c r="G234" t="s">
        <v>1428</v>
      </c>
      <c r="H234" t="s">
        <v>1535</v>
      </c>
      <c r="I234" t="s">
        <v>1510</v>
      </c>
      <c r="J234" t="s">
        <v>1401</v>
      </c>
      <c r="K234" t="s">
        <v>1107</v>
      </c>
      <c r="L234" t="s">
        <v>1108</v>
      </c>
      <c r="M234" t="s">
        <v>1029</v>
      </c>
      <c r="N234" t="s">
        <v>1109</v>
      </c>
      <c r="O234" t="s">
        <v>994</v>
      </c>
      <c r="P234" t="s">
        <v>1111</v>
      </c>
      <c r="Q234" t="b">
        <v>1</v>
      </c>
      <c r="R234" t="b">
        <v>0</v>
      </c>
      <c r="S234" t="s">
        <v>996</v>
      </c>
      <c r="T234" t="s">
        <v>1511</v>
      </c>
      <c r="U234" t="s">
        <v>1432</v>
      </c>
      <c r="V234" t="s">
        <v>1433</v>
      </c>
      <c r="W234" t="s">
        <v>1512</v>
      </c>
      <c r="X234" t="s">
        <v>1513</v>
      </c>
    </row>
    <row r="235" spans="1:24" x14ac:dyDescent="0.25">
      <c r="A235" t="s">
        <v>42</v>
      </c>
      <c r="B235" t="s">
        <v>1536</v>
      </c>
      <c r="C235" t="s">
        <v>335</v>
      </c>
      <c r="D235" t="s">
        <v>323</v>
      </c>
      <c r="E235" t="s">
        <v>1020</v>
      </c>
      <c r="F235">
        <v>246597</v>
      </c>
      <c r="G235" t="s">
        <v>1428</v>
      </c>
      <c r="H235" t="s">
        <v>1537</v>
      </c>
      <c r="I235" t="s">
        <v>1510</v>
      </c>
      <c r="J235" t="s">
        <v>1401</v>
      </c>
      <c r="K235" t="s">
        <v>1114</v>
      </c>
      <c r="L235" t="s">
        <v>1115</v>
      </c>
      <c r="M235" t="s">
        <v>1057</v>
      </c>
      <c r="N235" t="s">
        <v>1116</v>
      </c>
      <c r="O235" t="s">
        <v>994</v>
      </c>
      <c r="P235" t="s">
        <v>1117</v>
      </c>
      <c r="Q235" t="b">
        <v>1</v>
      </c>
      <c r="R235" t="b">
        <v>0</v>
      </c>
      <c r="S235" t="s">
        <v>996</v>
      </c>
      <c r="T235" t="s">
        <v>1511</v>
      </c>
      <c r="U235" t="s">
        <v>1432</v>
      </c>
      <c r="V235" t="s">
        <v>1433</v>
      </c>
      <c r="W235" t="s">
        <v>1512</v>
      </c>
      <c r="X235" t="s">
        <v>1513</v>
      </c>
    </row>
    <row r="236" spans="1:24" x14ac:dyDescent="0.25">
      <c r="A236" t="s">
        <v>42</v>
      </c>
      <c r="B236" t="s">
        <v>1538</v>
      </c>
      <c r="C236" t="s">
        <v>335</v>
      </c>
      <c r="D236" t="s">
        <v>323</v>
      </c>
      <c r="E236" t="s">
        <v>1022</v>
      </c>
      <c r="F236">
        <v>281020</v>
      </c>
      <c r="G236" t="s">
        <v>1428</v>
      </c>
      <c r="H236" t="s">
        <v>1539</v>
      </c>
      <c r="I236" t="s">
        <v>1510</v>
      </c>
      <c r="J236" t="s">
        <v>1401</v>
      </c>
      <c r="K236" t="s">
        <v>1120</v>
      </c>
      <c r="L236" t="s">
        <v>1121</v>
      </c>
      <c r="M236" t="s">
        <v>1029</v>
      </c>
      <c r="N236" t="s">
        <v>1122</v>
      </c>
      <c r="O236" t="s">
        <v>994</v>
      </c>
      <c r="P236" t="s">
        <v>1124</v>
      </c>
      <c r="Q236" t="b">
        <v>1</v>
      </c>
      <c r="R236" t="b">
        <v>0</v>
      </c>
      <c r="S236" t="s">
        <v>996</v>
      </c>
      <c r="T236" t="s">
        <v>1511</v>
      </c>
      <c r="U236" t="s">
        <v>1432</v>
      </c>
      <c r="V236" t="s">
        <v>1433</v>
      </c>
      <c r="W236" t="s">
        <v>1512</v>
      </c>
      <c r="X236" t="s">
        <v>1513</v>
      </c>
    </row>
    <row r="237" spans="1:24" x14ac:dyDescent="0.25">
      <c r="A237" t="s">
        <v>42</v>
      </c>
      <c r="B237" t="s">
        <v>1540</v>
      </c>
      <c r="C237" t="s">
        <v>336</v>
      </c>
      <c r="D237" t="s">
        <v>323</v>
      </c>
      <c r="E237" t="s">
        <v>992</v>
      </c>
      <c r="F237">
        <v>1726</v>
      </c>
      <c r="G237" t="s">
        <v>1126</v>
      </c>
      <c r="H237" t="s">
        <v>1541</v>
      </c>
      <c r="I237" t="s">
        <v>1542</v>
      </c>
      <c r="J237" t="s">
        <v>1401</v>
      </c>
      <c r="K237" t="s">
        <v>1027</v>
      </c>
      <c r="L237" t="s">
        <v>1028</v>
      </c>
      <c r="M237" t="s">
        <v>1029</v>
      </c>
      <c r="N237" t="s">
        <v>1030</v>
      </c>
      <c r="O237" t="s">
        <v>994</v>
      </c>
      <c r="P237" t="s">
        <v>1032</v>
      </c>
      <c r="Q237" t="b">
        <v>1</v>
      </c>
      <c r="R237" t="b">
        <v>0</v>
      </c>
      <c r="S237" t="s">
        <v>1033</v>
      </c>
      <c r="T237" t="s">
        <v>994</v>
      </c>
      <c r="U237" t="s">
        <v>1034</v>
      </c>
      <c r="V237" t="s">
        <v>997</v>
      </c>
      <c r="W237" t="s">
        <v>1035</v>
      </c>
      <c r="X237" t="s">
        <v>1543</v>
      </c>
    </row>
    <row r="238" spans="1:24" x14ac:dyDescent="0.25">
      <c r="A238" t="s">
        <v>42</v>
      </c>
      <c r="B238" t="s">
        <v>1544</v>
      </c>
      <c r="C238" t="s">
        <v>336</v>
      </c>
      <c r="D238" t="s">
        <v>323</v>
      </c>
      <c r="E238" t="s">
        <v>1000</v>
      </c>
      <c r="F238">
        <v>1730</v>
      </c>
      <c r="G238" t="s">
        <v>1126</v>
      </c>
      <c r="H238" t="s">
        <v>1545</v>
      </c>
      <c r="I238" t="s">
        <v>1542</v>
      </c>
      <c r="J238" t="s">
        <v>1401</v>
      </c>
      <c r="K238" t="s">
        <v>1039</v>
      </c>
      <c r="L238" t="s">
        <v>1040</v>
      </c>
      <c r="M238" t="s">
        <v>1029</v>
      </c>
      <c r="N238" t="s">
        <v>1041</v>
      </c>
      <c r="O238" t="s">
        <v>994</v>
      </c>
      <c r="P238" t="s">
        <v>1043</v>
      </c>
      <c r="Q238" t="b">
        <v>1</v>
      </c>
      <c r="R238" t="b">
        <v>0</v>
      </c>
      <c r="S238" t="s">
        <v>1033</v>
      </c>
      <c r="T238" t="s">
        <v>994</v>
      </c>
      <c r="U238" t="s">
        <v>1034</v>
      </c>
      <c r="V238" t="s">
        <v>997</v>
      </c>
      <c r="W238" t="s">
        <v>1035</v>
      </c>
      <c r="X238" t="s">
        <v>1543</v>
      </c>
    </row>
    <row r="239" spans="1:24" x14ac:dyDescent="0.25">
      <c r="A239" t="s">
        <v>42</v>
      </c>
      <c r="B239" t="s">
        <v>1546</v>
      </c>
      <c r="C239" t="s">
        <v>336</v>
      </c>
      <c r="D239" t="s">
        <v>323</v>
      </c>
      <c r="E239" t="s">
        <v>1002</v>
      </c>
      <c r="F239">
        <v>1599</v>
      </c>
      <c r="G239" t="s">
        <v>1126</v>
      </c>
      <c r="H239" t="s">
        <v>1547</v>
      </c>
      <c r="I239" t="s">
        <v>1542</v>
      </c>
      <c r="J239" t="s">
        <v>1401</v>
      </c>
      <c r="K239" t="s">
        <v>1046</v>
      </c>
      <c r="L239" t="s">
        <v>1047</v>
      </c>
      <c r="M239" t="s">
        <v>1029</v>
      </c>
      <c r="N239" t="s">
        <v>1048</v>
      </c>
      <c r="O239" t="s">
        <v>994</v>
      </c>
      <c r="P239" t="s">
        <v>1050</v>
      </c>
      <c r="Q239" t="b">
        <v>1</v>
      </c>
      <c r="R239" t="b">
        <v>0</v>
      </c>
      <c r="S239" t="s">
        <v>1033</v>
      </c>
      <c r="T239" t="s">
        <v>994</v>
      </c>
      <c r="U239" t="s">
        <v>1034</v>
      </c>
      <c r="V239" t="s">
        <v>997</v>
      </c>
      <c r="W239" t="s">
        <v>1035</v>
      </c>
      <c r="X239" t="s">
        <v>1543</v>
      </c>
    </row>
    <row r="240" spans="1:24" x14ac:dyDescent="0.25">
      <c r="A240" t="s">
        <v>42</v>
      </c>
      <c r="B240" t="s">
        <v>1548</v>
      </c>
      <c r="C240" t="s">
        <v>336</v>
      </c>
      <c r="D240" t="s">
        <v>323</v>
      </c>
      <c r="E240" t="s">
        <v>1004</v>
      </c>
      <c r="F240">
        <v>0</v>
      </c>
      <c r="G240" t="s">
        <v>1126</v>
      </c>
      <c r="H240" t="s">
        <v>1549</v>
      </c>
      <c r="I240" t="s">
        <v>1550</v>
      </c>
      <c r="J240" t="s">
        <v>1401</v>
      </c>
      <c r="K240" t="s">
        <v>994</v>
      </c>
      <c r="L240" t="s">
        <v>994</v>
      </c>
      <c r="M240" t="s">
        <v>994</v>
      </c>
      <c r="N240" t="s">
        <v>994</v>
      </c>
      <c r="O240" t="s">
        <v>994</v>
      </c>
      <c r="P240" t="s">
        <v>994</v>
      </c>
      <c r="Q240" t="b">
        <v>1</v>
      </c>
      <c r="R240" t="b">
        <v>0</v>
      </c>
      <c r="S240" t="s">
        <v>1033</v>
      </c>
      <c r="T240" t="s">
        <v>994</v>
      </c>
      <c r="U240" t="s">
        <v>1034</v>
      </c>
      <c r="V240" t="s">
        <v>1062</v>
      </c>
      <c r="W240" t="s">
        <v>1187</v>
      </c>
      <c r="X240" t="s">
        <v>994</v>
      </c>
    </row>
    <row r="241" spans="1:24" x14ac:dyDescent="0.25">
      <c r="A241" t="s">
        <v>42</v>
      </c>
      <c r="B241" t="s">
        <v>1551</v>
      </c>
      <c r="C241" t="s">
        <v>336</v>
      </c>
      <c r="D241" t="s">
        <v>323</v>
      </c>
      <c r="E241" t="s">
        <v>1006</v>
      </c>
      <c r="F241">
        <v>0</v>
      </c>
      <c r="G241" t="s">
        <v>1126</v>
      </c>
      <c r="H241" t="s">
        <v>1549</v>
      </c>
      <c r="I241" t="s">
        <v>1550</v>
      </c>
      <c r="J241" t="s">
        <v>1401</v>
      </c>
      <c r="K241" t="s">
        <v>994</v>
      </c>
      <c r="L241" t="s">
        <v>994</v>
      </c>
      <c r="M241" t="s">
        <v>994</v>
      </c>
      <c r="N241" t="s">
        <v>994</v>
      </c>
      <c r="O241" t="s">
        <v>994</v>
      </c>
      <c r="P241" t="s">
        <v>994</v>
      </c>
      <c r="Q241" t="b">
        <v>1</v>
      </c>
      <c r="R241" t="b">
        <v>0</v>
      </c>
      <c r="S241" t="s">
        <v>1033</v>
      </c>
      <c r="T241" t="s">
        <v>994</v>
      </c>
      <c r="U241" t="s">
        <v>1034</v>
      </c>
      <c r="V241" t="s">
        <v>1062</v>
      </c>
      <c r="W241" t="s">
        <v>1187</v>
      </c>
      <c r="X241" t="s">
        <v>994</v>
      </c>
    </row>
    <row r="242" spans="1:24" x14ac:dyDescent="0.25">
      <c r="A242" t="s">
        <v>42</v>
      </c>
      <c r="B242" t="s">
        <v>1552</v>
      </c>
      <c r="C242" t="s">
        <v>336</v>
      </c>
      <c r="D242" t="s">
        <v>323</v>
      </c>
      <c r="E242" t="s">
        <v>1008</v>
      </c>
      <c r="F242">
        <v>0</v>
      </c>
      <c r="G242" t="s">
        <v>1126</v>
      </c>
      <c r="H242" t="s">
        <v>1549</v>
      </c>
      <c r="I242" t="s">
        <v>1550</v>
      </c>
      <c r="J242" t="s">
        <v>1401</v>
      </c>
      <c r="K242" t="s">
        <v>994</v>
      </c>
      <c r="L242" t="s">
        <v>994</v>
      </c>
      <c r="M242" t="s">
        <v>994</v>
      </c>
      <c r="N242" t="s">
        <v>994</v>
      </c>
      <c r="O242" t="s">
        <v>994</v>
      </c>
      <c r="P242" t="s">
        <v>994</v>
      </c>
      <c r="Q242" t="b">
        <v>1</v>
      </c>
      <c r="R242" t="b">
        <v>0</v>
      </c>
      <c r="S242" t="s">
        <v>1033</v>
      </c>
      <c r="T242" t="s">
        <v>994</v>
      </c>
      <c r="U242" t="s">
        <v>1034</v>
      </c>
      <c r="V242" t="s">
        <v>1062</v>
      </c>
      <c r="W242" t="s">
        <v>1187</v>
      </c>
      <c r="X242" t="s">
        <v>994</v>
      </c>
    </row>
    <row r="243" spans="1:24" x14ac:dyDescent="0.25">
      <c r="A243" t="s">
        <v>42</v>
      </c>
      <c r="B243" t="s">
        <v>1553</v>
      </c>
      <c r="C243" t="s">
        <v>336</v>
      </c>
      <c r="D243" t="s">
        <v>323</v>
      </c>
      <c r="E243" t="s">
        <v>1010</v>
      </c>
      <c r="F243">
        <v>0</v>
      </c>
      <c r="G243" t="s">
        <v>1126</v>
      </c>
      <c r="H243" t="s">
        <v>1549</v>
      </c>
      <c r="I243" t="s">
        <v>1550</v>
      </c>
      <c r="J243" t="s">
        <v>1401</v>
      </c>
      <c r="K243" t="s">
        <v>994</v>
      </c>
      <c r="L243" t="s">
        <v>994</v>
      </c>
      <c r="M243" t="s">
        <v>994</v>
      </c>
      <c r="N243" t="s">
        <v>994</v>
      </c>
      <c r="O243" t="s">
        <v>994</v>
      </c>
      <c r="P243" t="s">
        <v>994</v>
      </c>
      <c r="Q243" t="b">
        <v>1</v>
      </c>
      <c r="R243" t="b">
        <v>0</v>
      </c>
      <c r="S243" t="s">
        <v>1033</v>
      </c>
      <c r="T243" t="s">
        <v>994</v>
      </c>
      <c r="U243" t="s">
        <v>1034</v>
      </c>
      <c r="V243" t="s">
        <v>1062</v>
      </c>
      <c r="W243" t="s">
        <v>1187</v>
      </c>
      <c r="X243" t="s">
        <v>994</v>
      </c>
    </row>
    <row r="244" spans="1:24" x14ac:dyDescent="0.25">
      <c r="A244" t="s">
        <v>42</v>
      </c>
      <c r="B244" t="s">
        <v>1554</v>
      </c>
      <c r="C244" t="s">
        <v>336</v>
      </c>
      <c r="D244" t="s">
        <v>323</v>
      </c>
      <c r="E244" t="s">
        <v>1012</v>
      </c>
      <c r="F244">
        <v>0</v>
      </c>
      <c r="G244" t="s">
        <v>1126</v>
      </c>
      <c r="H244" t="s">
        <v>1549</v>
      </c>
      <c r="I244" t="s">
        <v>1550</v>
      </c>
      <c r="J244" t="s">
        <v>1401</v>
      </c>
      <c r="K244" t="s">
        <v>994</v>
      </c>
      <c r="L244" t="s">
        <v>994</v>
      </c>
      <c r="M244" t="s">
        <v>994</v>
      </c>
      <c r="N244" t="s">
        <v>994</v>
      </c>
      <c r="O244" t="s">
        <v>994</v>
      </c>
      <c r="P244" t="s">
        <v>994</v>
      </c>
      <c r="Q244" t="b">
        <v>1</v>
      </c>
      <c r="R244" t="b">
        <v>0</v>
      </c>
      <c r="S244" t="s">
        <v>1033</v>
      </c>
      <c r="T244" t="s">
        <v>994</v>
      </c>
      <c r="U244" t="s">
        <v>1034</v>
      </c>
      <c r="V244" t="s">
        <v>1062</v>
      </c>
      <c r="W244" t="s">
        <v>1187</v>
      </c>
      <c r="X244" t="s">
        <v>994</v>
      </c>
    </row>
    <row r="245" spans="1:24" x14ac:dyDescent="0.25">
      <c r="A245" t="s">
        <v>42</v>
      </c>
      <c r="B245" t="s">
        <v>1555</v>
      </c>
      <c r="C245" t="s">
        <v>336</v>
      </c>
      <c r="D245" t="s">
        <v>323</v>
      </c>
      <c r="E245" t="s">
        <v>1014</v>
      </c>
      <c r="F245">
        <v>0</v>
      </c>
      <c r="G245" t="s">
        <v>1126</v>
      </c>
      <c r="H245" t="s">
        <v>1549</v>
      </c>
      <c r="I245" t="s">
        <v>1550</v>
      </c>
      <c r="J245" t="s">
        <v>1401</v>
      </c>
      <c r="K245" t="s">
        <v>994</v>
      </c>
      <c r="L245" t="s">
        <v>994</v>
      </c>
      <c r="M245" t="s">
        <v>994</v>
      </c>
      <c r="N245" t="s">
        <v>994</v>
      </c>
      <c r="O245" t="s">
        <v>994</v>
      </c>
      <c r="P245" t="s">
        <v>994</v>
      </c>
      <c r="Q245" t="b">
        <v>1</v>
      </c>
      <c r="R245" t="b">
        <v>0</v>
      </c>
      <c r="S245" t="s">
        <v>1033</v>
      </c>
      <c r="T245" t="s">
        <v>994</v>
      </c>
      <c r="U245" t="s">
        <v>1034</v>
      </c>
      <c r="V245" t="s">
        <v>1062</v>
      </c>
      <c r="W245" t="s">
        <v>1187</v>
      </c>
      <c r="X245" t="s">
        <v>994</v>
      </c>
    </row>
    <row r="246" spans="1:24" x14ac:dyDescent="0.25">
      <c r="A246" t="s">
        <v>42</v>
      </c>
      <c r="B246" t="s">
        <v>1556</v>
      </c>
      <c r="C246" t="s">
        <v>336</v>
      </c>
      <c r="D246" t="s">
        <v>323</v>
      </c>
      <c r="E246" t="s">
        <v>1016</v>
      </c>
      <c r="F246">
        <v>0</v>
      </c>
      <c r="G246" t="s">
        <v>1126</v>
      </c>
      <c r="H246" t="s">
        <v>1549</v>
      </c>
      <c r="I246" t="s">
        <v>1550</v>
      </c>
      <c r="J246" t="s">
        <v>1401</v>
      </c>
      <c r="K246" t="s">
        <v>994</v>
      </c>
      <c r="L246" t="s">
        <v>994</v>
      </c>
      <c r="M246" t="s">
        <v>994</v>
      </c>
      <c r="N246" t="s">
        <v>994</v>
      </c>
      <c r="O246" t="s">
        <v>994</v>
      </c>
      <c r="P246" t="s">
        <v>994</v>
      </c>
      <c r="Q246" t="b">
        <v>1</v>
      </c>
      <c r="R246" t="b">
        <v>0</v>
      </c>
      <c r="S246" t="s">
        <v>1033</v>
      </c>
      <c r="T246" t="s">
        <v>994</v>
      </c>
      <c r="U246" t="s">
        <v>1034</v>
      </c>
      <c r="V246" t="s">
        <v>1062</v>
      </c>
      <c r="W246" t="s">
        <v>1187</v>
      </c>
      <c r="X246" t="s">
        <v>994</v>
      </c>
    </row>
    <row r="247" spans="1:24" x14ac:dyDescent="0.25">
      <c r="A247" t="s">
        <v>42</v>
      </c>
      <c r="B247" t="s">
        <v>1557</v>
      </c>
      <c r="C247" t="s">
        <v>336</v>
      </c>
      <c r="D247" t="s">
        <v>323</v>
      </c>
      <c r="E247" t="s">
        <v>1018</v>
      </c>
      <c r="F247">
        <v>0</v>
      </c>
      <c r="G247" t="s">
        <v>1126</v>
      </c>
      <c r="H247" t="s">
        <v>1549</v>
      </c>
      <c r="I247" t="s">
        <v>1550</v>
      </c>
      <c r="J247" t="s">
        <v>1401</v>
      </c>
      <c r="K247" t="s">
        <v>994</v>
      </c>
      <c r="L247" t="s">
        <v>994</v>
      </c>
      <c r="M247" t="s">
        <v>994</v>
      </c>
      <c r="N247" t="s">
        <v>994</v>
      </c>
      <c r="O247" t="s">
        <v>994</v>
      </c>
      <c r="P247" t="s">
        <v>994</v>
      </c>
      <c r="Q247" t="b">
        <v>1</v>
      </c>
      <c r="R247" t="b">
        <v>0</v>
      </c>
      <c r="S247" t="s">
        <v>1033</v>
      </c>
      <c r="T247" t="s">
        <v>994</v>
      </c>
      <c r="U247" t="s">
        <v>1034</v>
      </c>
      <c r="V247" t="s">
        <v>1062</v>
      </c>
      <c r="W247" t="s">
        <v>1187</v>
      </c>
      <c r="X247" t="s">
        <v>994</v>
      </c>
    </row>
    <row r="248" spans="1:24" x14ac:dyDescent="0.25">
      <c r="A248" t="s">
        <v>42</v>
      </c>
      <c r="B248" t="s">
        <v>1558</v>
      </c>
      <c r="C248" t="s">
        <v>336</v>
      </c>
      <c r="D248" t="s">
        <v>323</v>
      </c>
      <c r="E248" t="s">
        <v>1020</v>
      </c>
      <c r="F248">
        <v>1088</v>
      </c>
      <c r="G248" t="s">
        <v>1126</v>
      </c>
      <c r="H248" t="s">
        <v>1559</v>
      </c>
      <c r="I248" t="s">
        <v>1542</v>
      </c>
      <c r="J248" t="s">
        <v>1401</v>
      </c>
      <c r="K248" t="s">
        <v>1120</v>
      </c>
      <c r="L248" t="s">
        <v>1121</v>
      </c>
      <c r="M248" t="s">
        <v>1029</v>
      </c>
      <c r="N248" t="s">
        <v>1122</v>
      </c>
      <c r="O248" t="s">
        <v>994</v>
      </c>
      <c r="P248" t="s">
        <v>1117</v>
      </c>
      <c r="Q248" t="b">
        <v>1</v>
      </c>
      <c r="R248" t="b">
        <v>0</v>
      </c>
      <c r="S248" t="s">
        <v>1033</v>
      </c>
      <c r="T248" t="s">
        <v>994</v>
      </c>
      <c r="U248" t="s">
        <v>1034</v>
      </c>
      <c r="V248" t="s">
        <v>997</v>
      </c>
      <c r="W248" t="s">
        <v>1035</v>
      </c>
      <c r="X248" t="s">
        <v>1543</v>
      </c>
    </row>
    <row r="249" spans="1:24" x14ac:dyDescent="0.25">
      <c r="A249" t="s">
        <v>42</v>
      </c>
      <c r="B249" t="s">
        <v>1560</v>
      </c>
      <c r="C249" t="s">
        <v>336</v>
      </c>
      <c r="D249" t="s">
        <v>323</v>
      </c>
      <c r="E249" t="s">
        <v>1022</v>
      </c>
      <c r="F249">
        <v>9249</v>
      </c>
      <c r="G249" t="s">
        <v>1126</v>
      </c>
      <c r="H249" t="s">
        <v>1561</v>
      </c>
      <c r="I249" t="s">
        <v>1542</v>
      </c>
      <c r="J249" t="s">
        <v>1401</v>
      </c>
      <c r="K249" t="s">
        <v>1120</v>
      </c>
      <c r="L249" t="s">
        <v>1121</v>
      </c>
      <c r="M249" t="s">
        <v>1029</v>
      </c>
      <c r="N249" t="s">
        <v>1122</v>
      </c>
      <c r="O249" t="s">
        <v>994</v>
      </c>
      <c r="P249" t="s">
        <v>1124</v>
      </c>
      <c r="Q249" t="b">
        <v>1</v>
      </c>
      <c r="R249" t="b">
        <v>0</v>
      </c>
      <c r="S249" t="s">
        <v>1033</v>
      </c>
      <c r="T249" t="s">
        <v>994</v>
      </c>
      <c r="U249" t="s">
        <v>1034</v>
      </c>
      <c r="V249" t="s">
        <v>997</v>
      </c>
      <c r="W249" t="s">
        <v>1035</v>
      </c>
      <c r="X249" t="s">
        <v>1543</v>
      </c>
    </row>
    <row r="250" spans="1:24" x14ac:dyDescent="0.25">
      <c r="A250" t="s">
        <v>42</v>
      </c>
      <c r="B250" t="s">
        <v>1562</v>
      </c>
      <c r="C250" t="s">
        <v>337</v>
      </c>
      <c r="D250" t="s">
        <v>323</v>
      </c>
      <c r="E250" t="s">
        <v>992</v>
      </c>
      <c r="F250">
        <v>28994</v>
      </c>
      <c r="G250" t="s">
        <v>1126</v>
      </c>
      <c r="H250" t="s">
        <v>1563</v>
      </c>
      <c r="I250" t="s">
        <v>337</v>
      </c>
      <c r="J250" t="s">
        <v>1401</v>
      </c>
      <c r="K250" t="s">
        <v>1027</v>
      </c>
      <c r="L250" t="s">
        <v>1028</v>
      </c>
      <c r="M250" t="s">
        <v>1029</v>
      </c>
      <c r="N250" t="s">
        <v>1030</v>
      </c>
      <c r="O250" t="s">
        <v>994</v>
      </c>
      <c r="P250" t="s">
        <v>1032</v>
      </c>
      <c r="Q250" t="b">
        <v>1</v>
      </c>
      <c r="R250" t="b">
        <v>0</v>
      </c>
      <c r="S250" t="s">
        <v>1033</v>
      </c>
      <c r="T250" t="s">
        <v>994</v>
      </c>
      <c r="U250" t="s">
        <v>1034</v>
      </c>
      <c r="V250" t="s">
        <v>997</v>
      </c>
      <c r="W250" t="s">
        <v>1035</v>
      </c>
      <c r="X250" t="s">
        <v>994</v>
      </c>
    </row>
    <row r="251" spans="1:24" x14ac:dyDescent="0.25">
      <c r="A251" t="s">
        <v>42</v>
      </c>
      <c r="B251" t="s">
        <v>1564</v>
      </c>
      <c r="C251" t="s">
        <v>337</v>
      </c>
      <c r="D251" t="s">
        <v>323</v>
      </c>
      <c r="E251" t="s">
        <v>1000</v>
      </c>
      <c r="F251">
        <v>29210</v>
      </c>
      <c r="G251" t="s">
        <v>1126</v>
      </c>
      <c r="H251" t="s">
        <v>1565</v>
      </c>
      <c r="I251" t="s">
        <v>337</v>
      </c>
      <c r="J251" t="s">
        <v>1401</v>
      </c>
      <c r="K251" t="s">
        <v>1039</v>
      </c>
      <c r="L251" t="s">
        <v>1040</v>
      </c>
      <c r="M251" t="s">
        <v>1029</v>
      </c>
      <c r="N251" t="s">
        <v>1041</v>
      </c>
      <c r="O251" t="s">
        <v>994</v>
      </c>
      <c r="P251" t="s">
        <v>1043</v>
      </c>
      <c r="Q251" t="b">
        <v>1</v>
      </c>
      <c r="R251" t="b">
        <v>0</v>
      </c>
      <c r="S251" t="s">
        <v>1033</v>
      </c>
      <c r="T251" t="s">
        <v>994</v>
      </c>
      <c r="U251" t="s">
        <v>1034</v>
      </c>
      <c r="V251" t="s">
        <v>997</v>
      </c>
      <c r="W251" t="s">
        <v>1035</v>
      </c>
      <c r="X251" t="s">
        <v>994</v>
      </c>
    </row>
    <row r="252" spans="1:24" x14ac:dyDescent="0.25">
      <c r="A252" t="s">
        <v>42</v>
      </c>
      <c r="B252" t="s">
        <v>1566</v>
      </c>
      <c r="C252" t="s">
        <v>337</v>
      </c>
      <c r="D252" t="s">
        <v>323</v>
      </c>
      <c r="E252" t="s">
        <v>1002</v>
      </c>
      <c r="F252">
        <v>29146</v>
      </c>
      <c r="G252" t="s">
        <v>1126</v>
      </c>
      <c r="H252" t="s">
        <v>1567</v>
      </c>
      <c r="I252" t="s">
        <v>337</v>
      </c>
      <c r="J252" t="s">
        <v>1401</v>
      </c>
      <c r="K252" t="s">
        <v>1046</v>
      </c>
      <c r="L252" t="s">
        <v>1047</v>
      </c>
      <c r="M252" t="s">
        <v>1029</v>
      </c>
      <c r="N252" t="s">
        <v>1048</v>
      </c>
      <c r="O252" t="s">
        <v>994</v>
      </c>
      <c r="P252" t="s">
        <v>1050</v>
      </c>
      <c r="Q252" t="b">
        <v>1</v>
      </c>
      <c r="R252" t="b">
        <v>0</v>
      </c>
      <c r="S252" t="s">
        <v>1033</v>
      </c>
      <c r="T252" t="s">
        <v>994</v>
      </c>
      <c r="U252" t="s">
        <v>1034</v>
      </c>
      <c r="V252" t="s">
        <v>997</v>
      </c>
      <c r="W252" t="s">
        <v>1035</v>
      </c>
      <c r="X252" t="s">
        <v>994</v>
      </c>
    </row>
    <row r="253" spans="1:24" x14ac:dyDescent="0.25">
      <c r="A253" t="s">
        <v>42</v>
      </c>
      <c r="B253" t="s">
        <v>1568</v>
      </c>
      <c r="C253" t="s">
        <v>337</v>
      </c>
      <c r="D253" t="s">
        <v>323</v>
      </c>
      <c r="E253" t="s">
        <v>1004</v>
      </c>
      <c r="F253">
        <v>29198</v>
      </c>
      <c r="G253" t="s">
        <v>1126</v>
      </c>
      <c r="H253" t="s">
        <v>1569</v>
      </c>
      <c r="I253" t="s">
        <v>337</v>
      </c>
      <c r="J253" t="s">
        <v>1401</v>
      </c>
      <c r="K253" t="s">
        <v>1055</v>
      </c>
      <c r="L253" t="s">
        <v>1056</v>
      </c>
      <c r="M253" t="s">
        <v>1057</v>
      </c>
      <c r="N253" t="s">
        <v>1058</v>
      </c>
      <c r="O253" t="s">
        <v>994</v>
      </c>
      <c r="P253" t="s">
        <v>1059</v>
      </c>
      <c r="Q253" t="b">
        <v>1</v>
      </c>
      <c r="R253" t="b">
        <v>0</v>
      </c>
      <c r="S253" t="s">
        <v>1033</v>
      </c>
      <c r="T253" t="s">
        <v>994</v>
      </c>
      <c r="U253" t="s">
        <v>1034</v>
      </c>
      <c r="V253" t="s">
        <v>997</v>
      </c>
      <c r="W253" t="s">
        <v>1035</v>
      </c>
      <c r="X253" t="s">
        <v>994</v>
      </c>
    </row>
    <row r="254" spans="1:24" x14ac:dyDescent="0.25">
      <c r="A254" t="s">
        <v>42</v>
      </c>
      <c r="B254" t="s">
        <v>1570</v>
      </c>
      <c r="C254" t="s">
        <v>337</v>
      </c>
      <c r="D254" t="s">
        <v>323</v>
      </c>
      <c r="E254" t="s">
        <v>1006</v>
      </c>
      <c r="F254">
        <v>29183</v>
      </c>
      <c r="G254" t="s">
        <v>1126</v>
      </c>
      <c r="H254" t="s">
        <v>1571</v>
      </c>
      <c r="I254" t="s">
        <v>337</v>
      </c>
      <c r="J254" t="s">
        <v>1401</v>
      </c>
      <c r="K254" t="s">
        <v>1065</v>
      </c>
      <c r="L254" t="s">
        <v>1066</v>
      </c>
      <c r="M254" t="s">
        <v>1029</v>
      </c>
      <c r="N254" t="s">
        <v>1067</v>
      </c>
      <c r="O254" t="s">
        <v>994</v>
      </c>
      <c r="P254" t="s">
        <v>1069</v>
      </c>
      <c r="Q254" t="b">
        <v>1</v>
      </c>
      <c r="R254" t="b">
        <v>0</v>
      </c>
      <c r="S254" t="s">
        <v>1033</v>
      </c>
      <c r="T254" t="s">
        <v>994</v>
      </c>
      <c r="U254" t="s">
        <v>1034</v>
      </c>
      <c r="V254" t="s">
        <v>997</v>
      </c>
      <c r="W254" t="s">
        <v>1035</v>
      </c>
      <c r="X254" t="s">
        <v>994</v>
      </c>
    </row>
    <row r="255" spans="1:24" x14ac:dyDescent="0.25">
      <c r="A255" t="s">
        <v>42</v>
      </c>
      <c r="B255" t="s">
        <v>1572</v>
      </c>
      <c r="C255" t="s">
        <v>337</v>
      </c>
      <c r="D255" t="s">
        <v>323</v>
      </c>
      <c r="E255" t="s">
        <v>1008</v>
      </c>
      <c r="F255">
        <v>29185</v>
      </c>
      <c r="G255" t="s">
        <v>1126</v>
      </c>
      <c r="H255" t="s">
        <v>1573</v>
      </c>
      <c r="I255" t="s">
        <v>337</v>
      </c>
      <c r="J255" t="s">
        <v>1401</v>
      </c>
      <c r="K255" t="s">
        <v>1072</v>
      </c>
      <c r="L255" t="s">
        <v>1073</v>
      </c>
      <c r="M255" t="s">
        <v>1029</v>
      </c>
      <c r="N255" t="s">
        <v>1074</v>
      </c>
      <c r="O255" t="s">
        <v>994</v>
      </c>
      <c r="P255" t="s">
        <v>1076</v>
      </c>
      <c r="Q255" t="b">
        <v>1</v>
      </c>
      <c r="R255" t="b">
        <v>0</v>
      </c>
      <c r="S255" t="s">
        <v>1033</v>
      </c>
      <c r="T255" t="s">
        <v>994</v>
      </c>
      <c r="U255" t="s">
        <v>1034</v>
      </c>
      <c r="V255" t="s">
        <v>997</v>
      </c>
      <c r="W255" t="s">
        <v>1035</v>
      </c>
      <c r="X255" t="s">
        <v>994</v>
      </c>
    </row>
    <row r="256" spans="1:24" x14ac:dyDescent="0.25">
      <c r="A256" t="s">
        <v>42</v>
      </c>
      <c r="B256" t="s">
        <v>1574</v>
      </c>
      <c r="C256" t="s">
        <v>337</v>
      </c>
      <c r="D256" t="s">
        <v>323</v>
      </c>
      <c r="E256" t="s">
        <v>1010</v>
      </c>
      <c r="F256">
        <v>31935</v>
      </c>
      <c r="G256" t="s">
        <v>1126</v>
      </c>
      <c r="H256" t="s">
        <v>1575</v>
      </c>
      <c r="I256" t="s">
        <v>337</v>
      </c>
      <c r="J256" t="s">
        <v>1401</v>
      </c>
      <c r="K256" t="s">
        <v>1079</v>
      </c>
      <c r="L256" t="s">
        <v>1080</v>
      </c>
      <c r="M256" t="s">
        <v>1029</v>
      </c>
      <c r="N256" t="s">
        <v>1081</v>
      </c>
      <c r="O256" t="s">
        <v>994</v>
      </c>
      <c r="P256" t="s">
        <v>1083</v>
      </c>
      <c r="Q256" t="b">
        <v>1</v>
      </c>
      <c r="R256" t="b">
        <v>0</v>
      </c>
      <c r="S256" t="s">
        <v>1033</v>
      </c>
      <c r="T256" t="s">
        <v>994</v>
      </c>
      <c r="U256" t="s">
        <v>1034</v>
      </c>
      <c r="V256" t="s">
        <v>997</v>
      </c>
      <c r="W256" t="s">
        <v>1035</v>
      </c>
      <c r="X256" t="s">
        <v>994</v>
      </c>
    </row>
    <row r="257" spans="1:24" x14ac:dyDescent="0.25">
      <c r="A257" t="s">
        <v>42</v>
      </c>
      <c r="B257" t="s">
        <v>1576</v>
      </c>
      <c r="C257" t="s">
        <v>337</v>
      </c>
      <c r="D257" t="s">
        <v>323</v>
      </c>
      <c r="E257" t="s">
        <v>1012</v>
      </c>
      <c r="F257">
        <v>31885</v>
      </c>
      <c r="G257" t="s">
        <v>1126</v>
      </c>
      <c r="H257" t="s">
        <v>1577</v>
      </c>
      <c r="I257" t="s">
        <v>337</v>
      </c>
      <c r="J257" t="s">
        <v>1401</v>
      </c>
      <c r="K257" t="s">
        <v>1086</v>
      </c>
      <c r="L257" t="s">
        <v>1087</v>
      </c>
      <c r="M257" t="s">
        <v>1057</v>
      </c>
      <c r="N257" t="s">
        <v>1088</v>
      </c>
      <c r="O257" t="s">
        <v>994</v>
      </c>
      <c r="P257" t="s">
        <v>1089</v>
      </c>
      <c r="Q257" t="b">
        <v>1</v>
      </c>
      <c r="R257" t="b">
        <v>0</v>
      </c>
      <c r="S257" t="s">
        <v>1033</v>
      </c>
      <c r="T257" t="s">
        <v>994</v>
      </c>
      <c r="U257" t="s">
        <v>1034</v>
      </c>
      <c r="V257" t="s">
        <v>997</v>
      </c>
      <c r="W257" t="s">
        <v>1035</v>
      </c>
      <c r="X257" t="s">
        <v>994</v>
      </c>
    </row>
    <row r="258" spans="1:24" x14ac:dyDescent="0.25">
      <c r="A258" t="s">
        <v>42</v>
      </c>
      <c r="B258" t="s">
        <v>1578</v>
      </c>
      <c r="C258" t="s">
        <v>337</v>
      </c>
      <c r="D258" t="s">
        <v>323</v>
      </c>
      <c r="E258" t="s">
        <v>1014</v>
      </c>
      <c r="F258">
        <v>32173</v>
      </c>
      <c r="G258" t="s">
        <v>1126</v>
      </c>
      <c r="H258" t="s">
        <v>1579</v>
      </c>
      <c r="I258" t="s">
        <v>337</v>
      </c>
      <c r="J258" t="s">
        <v>1401</v>
      </c>
      <c r="K258" t="s">
        <v>1092</v>
      </c>
      <c r="L258" t="s">
        <v>1093</v>
      </c>
      <c r="M258" t="s">
        <v>1029</v>
      </c>
      <c r="N258" t="s">
        <v>1094</v>
      </c>
      <c r="O258" t="s">
        <v>994</v>
      </c>
      <c r="P258" t="s">
        <v>1096</v>
      </c>
      <c r="Q258" t="b">
        <v>1</v>
      </c>
      <c r="R258" t="b">
        <v>0</v>
      </c>
      <c r="S258" t="s">
        <v>1033</v>
      </c>
      <c r="T258" t="s">
        <v>994</v>
      </c>
      <c r="U258" t="s">
        <v>1034</v>
      </c>
      <c r="V258" t="s">
        <v>997</v>
      </c>
      <c r="W258" t="s">
        <v>1035</v>
      </c>
      <c r="X258" t="s">
        <v>994</v>
      </c>
    </row>
    <row r="259" spans="1:24" x14ac:dyDescent="0.25">
      <c r="A259" t="s">
        <v>42</v>
      </c>
      <c r="B259" t="s">
        <v>1580</v>
      </c>
      <c r="C259" t="s">
        <v>337</v>
      </c>
      <c r="D259" t="s">
        <v>323</v>
      </c>
      <c r="E259" t="s">
        <v>1016</v>
      </c>
      <c r="F259">
        <v>32335</v>
      </c>
      <c r="G259" t="s">
        <v>1126</v>
      </c>
      <c r="H259" t="s">
        <v>1581</v>
      </c>
      <c r="I259" t="s">
        <v>337</v>
      </c>
      <c r="J259" t="s">
        <v>1401</v>
      </c>
      <c r="K259" t="s">
        <v>1100</v>
      </c>
      <c r="L259" t="s">
        <v>1101</v>
      </c>
      <c r="M259" t="s">
        <v>1029</v>
      </c>
      <c r="N259" t="s">
        <v>1102</v>
      </c>
      <c r="O259" t="s">
        <v>994</v>
      </c>
      <c r="P259" t="s">
        <v>1104</v>
      </c>
      <c r="Q259" t="b">
        <v>1</v>
      </c>
      <c r="R259" t="b">
        <v>0</v>
      </c>
      <c r="S259" t="s">
        <v>1033</v>
      </c>
      <c r="T259" t="s">
        <v>994</v>
      </c>
      <c r="U259" t="s">
        <v>1034</v>
      </c>
      <c r="V259" t="s">
        <v>997</v>
      </c>
      <c r="W259" t="s">
        <v>1035</v>
      </c>
      <c r="X259" t="s">
        <v>994</v>
      </c>
    </row>
    <row r="260" spans="1:24" x14ac:dyDescent="0.25">
      <c r="A260" t="s">
        <v>42</v>
      </c>
      <c r="B260" t="s">
        <v>1582</v>
      </c>
      <c r="C260" t="s">
        <v>337</v>
      </c>
      <c r="D260" t="s">
        <v>323</v>
      </c>
      <c r="E260" t="s">
        <v>1018</v>
      </c>
      <c r="F260">
        <v>33269</v>
      </c>
      <c r="G260" t="s">
        <v>1126</v>
      </c>
      <c r="H260" t="s">
        <v>1583</v>
      </c>
      <c r="I260" t="s">
        <v>337</v>
      </c>
      <c r="J260" t="s">
        <v>1401</v>
      </c>
      <c r="K260" t="s">
        <v>1107</v>
      </c>
      <c r="L260" t="s">
        <v>1108</v>
      </c>
      <c r="M260" t="s">
        <v>1029</v>
      </c>
      <c r="N260" t="s">
        <v>1109</v>
      </c>
      <c r="O260" t="s">
        <v>994</v>
      </c>
      <c r="P260" t="s">
        <v>1111</v>
      </c>
      <c r="Q260" t="b">
        <v>1</v>
      </c>
      <c r="R260" t="b">
        <v>0</v>
      </c>
      <c r="S260" t="s">
        <v>1033</v>
      </c>
      <c r="T260" t="s">
        <v>994</v>
      </c>
      <c r="U260" t="s">
        <v>1034</v>
      </c>
      <c r="V260" t="s">
        <v>997</v>
      </c>
      <c r="W260" t="s">
        <v>1035</v>
      </c>
      <c r="X260" t="s">
        <v>994</v>
      </c>
    </row>
    <row r="261" spans="1:24" x14ac:dyDescent="0.25">
      <c r="A261" t="s">
        <v>42</v>
      </c>
      <c r="B261" t="s">
        <v>1584</v>
      </c>
      <c r="C261" t="s">
        <v>337</v>
      </c>
      <c r="D261" t="s">
        <v>323</v>
      </c>
      <c r="E261" t="s">
        <v>1020</v>
      </c>
      <c r="F261">
        <v>33380</v>
      </c>
      <c r="G261" t="s">
        <v>1126</v>
      </c>
      <c r="H261" t="s">
        <v>1585</v>
      </c>
      <c r="I261" t="s">
        <v>337</v>
      </c>
      <c r="J261" t="s">
        <v>1401</v>
      </c>
      <c r="K261" t="s">
        <v>1114</v>
      </c>
      <c r="L261" t="s">
        <v>1115</v>
      </c>
      <c r="M261" t="s">
        <v>1057</v>
      </c>
      <c r="N261" t="s">
        <v>1116</v>
      </c>
      <c r="O261" t="s">
        <v>994</v>
      </c>
      <c r="P261" t="s">
        <v>1117</v>
      </c>
      <c r="Q261" t="b">
        <v>1</v>
      </c>
      <c r="R261" t="b">
        <v>0</v>
      </c>
      <c r="S261" t="s">
        <v>1033</v>
      </c>
      <c r="T261" t="s">
        <v>994</v>
      </c>
      <c r="U261" t="s">
        <v>1034</v>
      </c>
      <c r="V261" t="s">
        <v>997</v>
      </c>
      <c r="W261" t="s">
        <v>1035</v>
      </c>
      <c r="X261" t="s">
        <v>994</v>
      </c>
    </row>
    <row r="262" spans="1:24" x14ac:dyDescent="0.25">
      <c r="A262" t="s">
        <v>42</v>
      </c>
      <c r="B262" t="s">
        <v>1586</v>
      </c>
      <c r="C262" t="s">
        <v>337</v>
      </c>
      <c r="D262" t="s">
        <v>323</v>
      </c>
      <c r="E262" t="s">
        <v>1022</v>
      </c>
      <c r="F262">
        <v>57774</v>
      </c>
      <c r="G262" t="s">
        <v>1126</v>
      </c>
      <c r="H262" t="s">
        <v>1587</v>
      </c>
      <c r="I262" t="s">
        <v>337</v>
      </c>
      <c r="J262" t="s">
        <v>1401</v>
      </c>
      <c r="K262" t="s">
        <v>1120</v>
      </c>
      <c r="L262" t="s">
        <v>1121</v>
      </c>
      <c r="M262" t="s">
        <v>1029</v>
      </c>
      <c r="N262" t="s">
        <v>1122</v>
      </c>
      <c r="O262" t="s">
        <v>994</v>
      </c>
      <c r="P262" t="s">
        <v>1124</v>
      </c>
      <c r="Q262" t="b">
        <v>1</v>
      </c>
      <c r="R262" t="b">
        <v>0</v>
      </c>
      <c r="S262" t="s">
        <v>1033</v>
      </c>
      <c r="T262" t="s">
        <v>994</v>
      </c>
      <c r="U262" t="s">
        <v>1034</v>
      </c>
      <c r="V262" t="s">
        <v>997</v>
      </c>
      <c r="W262" t="s">
        <v>1035</v>
      </c>
      <c r="X262" t="s">
        <v>994</v>
      </c>
    </row>
    <row r="263" spans="1:24" x14ac:dyDescent="0.25">
      <c r="A263" t="s">
        <v>42</v>
      </c>
      <c r="B263" t="s">
        <v>1588</v>
      </c>
      <c r="C263" t="s">
        <v>338</v>
      </c>
      <c r="D263" t="s">
        <v>323</v>
      </c>
      <c r="E263" t="s">
        <v>992</v>
      </c>
      <c r="F263">
        <v>59226</v>
      </c>
      <c r="G263" t="s">
        <v>1428</v>
      </c>
      <c r="H263" t="s">
        <v>1589</v>
      </c>
      <c r="I263" t="s">
        <v>1590</v>
      </c>
      <c r="J263" t="s">
        <v>1401</v>
      </c>
      <c r="K263" t="s">
        <v>1027</v>
      </c>
      <c r="L263" t="s">
        <v>1028</v>
      </c>
      <c r="M263" t="s">
        <v>1029</v>
      </c>
      <c r="N263" t="s">
        <v>1030</v>
      </c>
      <c r="O263" t="s">
        <v>994</v>
      </c>
      <c r="P263" t="s">
        <v>1032</v>
      </c>
      <c r="Q263" t="b">
        <v>0</v>
      </c>
      <c r="R263" t="b">
        <v>1</v>
      </c>
      <c r="S263" t="s">
        <v>1591</v>
      </c>
      <c r="T263" t="s">
        <v>1592</v>
      </c>
      <c r="U263" t="s">
        <v>1432</v>
      </c>
      <c r="V263" t="s">
        <v>1433</v>
      </c>
      <c r="W263" t="s">
        <v>1593</v>
      </c>
      <c r="X263" t="s">
        <v>1594</v>
      </c>
    </row>
    <row r="264" spans="1:24" x14ac:dyDescent="0.25">
      <c r="A264" t="s">
        <v>42</v>
      </c>
      <c r="B264" t="s">
        <v>1595</v>
      </c>
      <c r="C264" t="s">
        <v>338</v>
      </c>
      <c r="D264" t="s">
        <v>323</v>
      </c>
      <c r="E264" t="s">
        <v>1000</v>
      </c>
      <c r="F264">
        <v>62108</v>
      </c>
      <c r="G264" t="s">
        <v>1428</v>
      </c>
      <c r="H264" t="s">
        <v>1596</v>
      </c>
      <c r="I264" t="s">
        <v>1590</v>
      </c>
      <c r="J264" t="s">
        <v>1401</v>
      </c>
      <c r="K264" t="s">
        <v>1039</v>
      </c>
      <c r="L264" t="s">
        <v>1040</v>
      </c>
      <c r="M264" t="s">
        <v>1029</v>
      </c>
      <c r="N264" t="s">
        <v>1041</v>
      </c>
      <c r="O264" t="s">
        <v>994</v>
      </c>
      <c r="P264" t="s">
        <v>1043</v>
      </c>
      <c r="Q264" t="b">
        <v>0</v>
      </c>
      <c r="R264" t="b">
        <v>1</v>
      </c>
      <c r="S264" t="s">
        <v>1591</v>
      </c>
      <c r="T264" t="s">
        <v>1592</v>
      </c>
      <c r="U264" t="s">
        <v>1432</v>
      </c>
      <c r="V264" t="s">
        <v>1433</v>
      </c>
      <c r="W264" t="s">
        <v>1593</v>
      </c>
      <c r="X264" t="s">
        <v>1594</v>
      </c>
    </row>
    <row r="265" spans="1:24" x14ac:dyDescent="0.25">
      <c r="A265" t="s">
        <v>42</v>
      </c>
      <c r="B265" t="s">
        <v>1597</v>
      </c>
      <c r="C265" t="s">
        <v>338</v>
      </c>
      <c r="D265" t="s">
        <v>323</v>
      </c>
      <c r="E265" t="s">
        <v>1002</v>
      </c>
      <c r="F265">
        <v>63951</v>
      </c>
      <c r="G265" t="s">
        <v>1428</v>
      </c>
      <c r="H265" t="s">
        <v>1598</v>
      </c>
      <c r="I265" t="s">
        <v>1590</v>
      </c>
      <c r="J265" t="s">
        <v>1401</v>
      </c>
      <c r="K265" t="s">
        <v>1046</v>
      </c>
      <c r="L265" t="s">
        <v>1047</v>
      </c>
      <c r="M265" t="s">
        <v>1029</v>
      </c>
      <c r="N265" t="s">
        <v>1048</v>
      </c>
      <c r="O265" t="s">
        <v>994</v>
      </c>
      <c r="P265" t="s">
        <v>1050</v>
      </c>
      <c r="Q265" t="b">
        <v>0</v>
      </c>
      <c r="R265" t="b">
        <v>1</v>
      </c>
      <c r="S265" t="s">
        <v>1591</v>
      </c>
      <c r="T265" t="s">
        <v>1592</v>
      </c>
      <c r="U265" t="s">
        <v>1432</v>
      </c>
      <c r="V265" t="s">
        <v>1433</v>
      </c>
      <c r="W265" t="s">
        <v>1593</v>
      </c>
      <c r="X265" t="s">
        <v>1594</v>
      </c>
    </row>
    <row r="266" spans="1:24" x14ac:dyDescent="0.25">
      <c r="A266" t="s">
        <v>42</v>
      </c>
      <c r="B266" t="s">
        <v>1599</v>
      </c>
      <c r="C266" t="s">
        <v>338</v>
      </c>
      <c r="D266" t="s">
        <v>323</v>
      </c>
      <c r="E266" t="s">
        <v>1004</v>
      </c>
      <c r="F266">
        <v>67319</v>
      </c>
      <c r="G266" t="s">
        <v>1428</v>
      </c>
      <c r="H266" t="s">
        <v>1600</v>
      </c>
      <c r="I266" t="s">
        <v>1601</v>
      </c>
      <c r="J266" t="s">
        <v>1401</v>
      </c>
      <c r="K266" t="s">
        <v>1602</v>
      </c>
      <c r="L266" t="s">
        <v>1603</v>
      </c>
      <c r="M266" t="s">
        <v>1604</v>
      </c>
      <c r="N266" t="s">
        <v>1605</v>
      </c>
      <c r="O266" t="s">
        <v>994</v>
      </c>
      <c r="P266" t="s">
        <v>1059</v>
      </c>
      <c r="Q266" t="b">
        <v>0</v>
      </c>
      <c r="R266" t="b">
        <v>1</v>
      </c>
      <c r="S266" t="s">
        <v>1591</v>
      </c>
      <c r="T266" t="s">
        <v>1606</v>
      </c>
      <c r="U266" t="s">
        <v>1432</v>
      </c>
      <c r="V266" t="s">
        <v>1433</v>
      </c>
      <c r="W266" t="s">
        <v>1607</v>
      </c>
      <c r="X266" t="s">
        <v>1608</v>
      </c>
    </row>
    <row r="267" spans="1:24" x14ac:dyDescent="0.25">
      <c r="A267" t="s">
        <v>42</v>
      </c>
      <c r="B267" t="s">
        <v>1609</v>
      </c>
      <c r="C267" t="s">
        <v>338</v>
      </c>
      <c r="D267" t="s">
        <v>323</v>
      </c>
      <c r="E267" t="s">
        <v>1006</v>
      </c>
      <c r="F267">
        <v>69514</v>
      </c>
      <c r="G267" t="s">
        <v>1428</v>
      </c>
      <c r="H267" t="s">
        <v>1610</v>
      </c>
      <c r="I267" t="s">
        <v>1611</v>
      </c>
      <c r="J267" t="s">
        <v>1401</v>
      </c>
      <c r="K267" t="s">
        <v>1065</v>
      </c>
      <c r="L267" t="s">
        <v>1066</v>
      </c>
      <c r="M267" t="s">
        <v>1029</v>
      </c>
      <c r="N267" t="s">
        <v>1067</v>
      </c>
      <c r="O267" t="s">
        <v>994</v>
      </c>
      <c r="P267" t="s">
        <v>1069</v>
      </c>
      <c r="Q267" t="b">
        <v>0</v>
      </c>
      <c r="R267" t="b">
        <v>1</v>
      </c>
      <c r="S267" t="s">
        <v>1591</v>
      </c>
      <c r="T267" t="s">
        <v>1612</v>
      </c>
      <c r="U267" t="s">
        <v>1432</v>
      </c>
      <c r="V267" t="s">
        <v>1433</v>
      </c>
      <c r="W267" t="s">
        <v>1613</v>
      </c>
      <c r="X267" t="s">
        <v>1614</v>
      </c>
    </row>
    <row r="268" spans="1:24" x14ac:dyDescent="0.25">
      <c r="A268" t="s">
        <v>42</v>
      </c>
      <c r="B268" t="s">
        <v>1615</v>
      </c>
      <c r="C268" t="s">
        <v>338</v>
      </c>
      <c r="D268" t="s">
        <v>323</v>
      </c>
      <c r="E268" t="s">
        <v>1008</v>
      </c>
      <c r="F268">
        <v>72435</v>
      </c>
      <c r="G268" t="s">
        <v>1428</v>
      </c>
      <c r="H268" t="s">
        <v>1616</v>
      </c>
      <c r="I268" t="s">
        <v>1611</v>
      </c>
      <c r="J268" t="s">
        <v>1401</v>
      </c>
      <c r="K268" t="s">
        <v>1072</v>
      </c>
      <c r="L268" t="s">
        <v>1073</v>
      </c>
      <c r="M268" t="s">
        <v>1029</v>
      </c>
      <c r="N268" t="s">
        <v>1074</v>
      </c>
      <c r="O268" t="s">
        <v>994</v>
      </c>
      <c r="P268" t="s">
        <v>1076</v>
      </c>
      <c r="Q268" t="b">
        <v>0</v>
      </c>
      <c r="R268" t="b">
        <v>1</v>
      </c>
      <c r="S268" t="s">
        <v>1591</v>
      </c>
      <c r="T268" t="s">
        <v>1612</v>
      </c>
      <c r="U268" t="s">
        <v>1432</v>
      </c>
      <c r="V268" t="s">
        <v>1433</v>
      </c>
      <c r="W268" t="s">
        <v>1613</v>
      </c>
      <c r="X268" t="s">
        <v>1614</v>
      </c>
    </row>
    <row r="269" spans="1:24" x14ac:dyDescent="0.25">
      <c r="A269" t="s">
        <v>42</v>
      </c>
      <c r="B269" t="s">
        <v>1617</v>
      </c>
      <c r="C269" t="s">
        <v>338</v>
      </c>
      <c r="D269" t="s">
        <v>323</v>
      </c>
      <c r="E269" t="s">
        <v>1010</v>
      </c>
      <c r="F269">
        <v>79520</v>
      </c>
      <c r="G269" t="s">
        <v>1428</v>
      </c>
      <c r="H269" t="s">
        <v>1618</v>
      </c>
      <c r="I269" t="s">
        <v>1601</v>
      </c>
      <c r="J269" t="s">
        <v>1401</v>
      </c>
      <c r="K269" t="s">
        <v>1079</v>
      </c>
      <c r="L269" t="s">
        <v>1080</v>
      </c>
      <c r="M269" t="s">
        <v>1029</v>
      </c>
      <c r="N269" t="s">
        <v>1081</v>
      </c>
      <c r="O269" t="s">
        <v>994</v>
      </c>
      <c r="P269" t="s">
        <v>1083</v>
      </c>
      <c r="Q269" t="b">
        <v>0</v>
      </c>
      <c r="R269" t="b">
        <v>1</v>
      </c>
      <c r="S269" t="s">
        <v>1591</v>
      </c>
      <c r="T269" t="s">
        <v>1606</v>
      </c>
      <c r="U269" t="s">
        <v>1432</v>
      </c>
      <c r="V269" t="s">
        <v>1433</v>
      </c>
      <c r="W269" t="s">
        <v>1607</v>
      </c>
      <c r="X269" t="s">
        <v>1608</v>
      </c>
    </row>
    <row r="270" spans="1:24" x14ac:dyDescent="0.25">
      <c r="A270" t="s">
        <v>42</v>
      </c>
      <c r="B270" t="s">
        <v>1619</v>
      </c>
      <c r="C270" t="s">
        <v>338</v>
      </c>
      <c r="D270" t="s">
        <v>323</v>
      </c>
      <c r="E270" t="s">
        <v>1012</v>
      </c>
      <c r="F270">
        <v>83624</v>
      </c>
      <c r="G270" t="s">
        <v>1428</v>
      </c>
      <c r="H270" t="s">
        <v>1620</v>
      </c>
      <c r="I270" t="s">
        <v>1601</v>
      </c>
      <c r="J270" t="s">
        <v>1401</v>
      </c>
      <c r="K270" t="s">
        <v>1621</v>
      </c>
      <c r="L270" t="s">
        <v>1622</v>
      </c>
      <c r="M270" t="s">
        <v>1057</v>
      </c>
      <c r="N270" t="s">
        <v>1623</v>
      </c>
      <c r="O270" t="s">
        <v>994</v>
      </c>
      <c r="P270" t="s">
        <v>1089</v>
      </c>
      <c r="Q270" t="b">
        <v>0</v>
      </c>
      <c r="R270" t="b">
        <v>1</v>
      </c>
      <c r="S270" t="s">
        <v>1591</v>
      </c>
      <c r="T270" t="s">
        <v>1606</v>
      </c>
      <c r="U270" t="s">
        <v>1432</v>
      </c>
      <c r="V270" t="s">
        <v>1433</v>
      </c>
      <c r="W270" t="s">
        <v>1607</v>
      </c>
      <c r="X270" t="s">
        <v>1608</v>
      </c>
    </row>
    <row r="271" spans="1:24" x14ac:dyDescent="0.25">
      <c r="A271" t="s">
        <v>42</v>
      </c>
      <c r="B271" t="s">
        <v>1624</v>
      </c>
      <c r="C271" t="s">
        <v>338</v>
      </c>
      <c r="D271" t="s">
        <v>323</v>
      </c>
      <c r="E271" t="s">
        <v>1014</v>
      </c>
      <c r="F271">
        <v>96087</v>
      </c>
      <c r="G271" t="s">
        <v>1428</v>
      </c>
      <c r="H271" t="s">
        <v>1625</v>
      </c>
      <c r="I271" t="s">
        <v>1611</v>
      </c>
      <c r="J271" t="s">
        <v>1401</v>
      </c>
      <c r="K271" t="s">
        <v>1092</v>
      </c>
      <c r="L271" t="s">
        <v>1093</v>
      </c>
      <c r="M271" t="s">
        <v>1029</v>
      </c>
      <c r="N271" t="s">
        <v>1094</v>
      </c>
      <c r="O271" t="s">
        <v>994</v>
      </c>
      <c r="P271" t="s">
        <v>1096</v>
      </c>
      <c r="Q271" t="b">
        <v>1</v>
      </c>
      <c r="R271" t="b">
        <v>0</v>
      </c>
      <c r="S271" t="s">
        <v>996</v>
      </c>
      <c r="T271" t="s">
        <v>1612</v>
      </c>
      <c r="U271" t="s">
        <v>1432</v>
      </c>
      <c r="V271" t="s">
        <v>1433</v>
      </c>
      <c r="W271" t="s">
        <v>1613</v>
      </c>
      <c r="X271" t="s">
        <v>1614</v>
      </c>
    </row>
    <row r="272" spans="1:24" x14ac:dyDescent="0.25">
      <c r="A272" t="s">
        <v>42</v>
      </c>
      <c r="B272" t="s">
        <v>1626</v>
      </c>
      <c r="C272" t="s">
        <v>338</v>
      </c>
      <c r="D272" t="s">
        <v>323</v>
      </c>
      <c r="E272" t="s">
        <v>1016</v>
      </c>
      <c r="F272">
        <v>100271</v>
      </c>
      <c r="G272" t="s">
        <v>1428</v>
      </c>
      <c r="H272" t="s">
        <v>1627</v>
      </c>
      <c r="I272" t="s">
        <v>1601</v>
      </c>
      <c r="J272" t="s">
        <v>1401</v>
      </c>
      <c r="K272" t="s">
        <v>1100</v>
      </c>
      <c r="L272" t="s">
        <v>1101</v>
      </c>
      <c r="M272" t="s">
        <v>1029</v>
      </c>
      <c r="N272" t="s">
        <v>1102</v>
      </c>
      <c r="O272" t="s">
        <v>994</v>
      </c>
      <c r="P272" t="s">
        <v>1104</v>
      </c>
      <c r="Q272" t="b">
        <v>1</v>
      </c>
      <c r="R272" t="b">
        <v>0</v>
      </c>
      <c r="S272" t="s">
        <v>996</v>
      </c>
      <c r="T272" t="s">
        <v>1606</v>
      </c>
      <c r="U272" t="s">
        <v>1432</v>
      </c>
      <c r="V272" t="s">
        <v>1433</v>
      </c>
      <c r="W272" t="s">
        <v>1607</v>
      </c>
      <c r="X272" t="s">
        <v>1608</v>
      </c>
    </row>
    <row r="273" spans="1:24" x14ac:dyDescent="0.25">
      <c r="A273" t="s">
        <v>42</v>
      </c>
      <c r="B273" t="s">
        <v>1628</v>
      </c>
      <c r="C273" t="s">
        <v>338</v>
      </c>
      <c r="D273" t="s">
        <v>323</v>
      </c>
      <c r="E273" t="s">
        <v>1018</v>
      </c>
      <c r="F273">
        <v>105466</v>
      </c>
      <c r="G273" t="s">
        <v>1428</v>
      </c>
      <c r="H273" t="s">
        <v>1629</v>
      </c>
      <c r="I273" t="s">
        <v>1601</v>
      </c>
      <c r="J273" t="s">
        <v>1401</v>
      </c>
      <c r="K273" t="s">
        <v>1107</v>
      </c>
      <c r="L273" t="s">
        <v>1108</v>
      </c>
      <c r="M273" t="s">
        <v>1029</v>
      </c>
      <c r="N273" t="s">
        <v>1109</v>
      </c>
      <c r="O273" t="s">
        <v>994</v>
      </c>
      <c r="P273" t="s">
        <v>1111</v>
      </c>
      <c r="Q273" t="b">
        <v>1</v>
      </c>
      <c r="R273" t="b">
        <v>0</v>
      </c>
      <c r="S273" t="s">
        <v>996</v>
      </c>
      <c r="T273" t="s">
        <v>1606</v>
      </c>
      <c r="U273" t="s">
        <v>1432</v>
      </c>
      <c r="V273" t="s">
        <v>1433</v>
      </c>
      <c r="W273" t="s">
        <v>1607</v>
      </c>
      <c r="X273" t="s">
        <v>1608</v>
      </c>
    </row>
    <row r="274" spans="1:24" x14ac:dyDescent="0.25">
      <c r="A274" t="s">
        <v>42</v>
      </c>
      <c r="B274" t="s">
        <v>1630</v>
      </c>
      <c r="C274" t="s">
        <v>338</v>
      </c>
      <c r="D274" t="s">
        <v>323</v>
      </c>
      <c r="E274" t="s">
        <v>1020</v>
      </c>
      <c r="F274">
        <v>108178</v>
      </c>
      <c r="G274" t="s">
        <v>1428</v>
      </c>
      <c r="H274" t="s">
        <v>1631</v>
      </c>
      <c r="I274" t="s">
        <v>1590</v>
      </c>
      <c r="J274" t="s">
        <v>1401</v>
      </c>
      <c r="K274" t="s">
        <v>1632</v>
      </c>
      <c r="L274" t="s">
        <v>1633</v>
      </c>
      <c r="M274" t="s">
        <v>1604</v>
      </c>
      <c r="N274" t="s">
        <v>1634</v>
      </c>
      <c r="O274" t="s">
        <v>994</v>
      </c>
      <c r="P274" t="s">
        <v>1117</v>
      </c>
      <c r="Q274" t="b">
        <v>1</v>
      </c>
      <c r="R274" t="b">
        <v>0</v>
      </c>
      <c r="S274" t="s">
        <v>996</v>
      </c>
      <c r="T274" t="s">
        <v>1592</v>
      </c>
      <c r="U274" t="s">
        <v>1432</v>
      </c>
      <c r="V274" t="s">
        <v>1433</v>
      </c>
      <c r="W274" t="s">
        <v>1593</v>
      </c>
      <c r="X274" t="s">
        <v>1594</v>
      </c>
    </row>
    <row r="275" spans="1:24" x14ac:dyDescent="0.25">
      <c r="A275" t="s">
        <v>42</v>
      </c>
      <c r="B275" t="s">
        <v>1635</v>
      </c>
      <c r="C275" t="s">
        <v>338</v>
      </c>
      <c r="D275" t="s">
        <v>323</v>
      </c>
      <c r="E275" t="s">
        <v>1022</v>
      </c>
      <c r="F275">
        <v>142123</v>
      </c>
      <c r="G275" t="s">
        <v>1428</v>
      </c>
      <c r="H275" t="s">
        <v>1636</v>
      </c>
      <c r="I275" t="s">
        <v>1590</v>
      </c>
      <c r="J275" t="s">
        <v>1401</v>
      </c>
      <c r="K275" t="s">
        <v>1120</v>
      </c>
      <c r="L275" t="s">
        <v>1121</v>
      </c>
      <c r="M275" t="s">
        <v>1029</v>
      </c>
      <c r="N275" t="s">
        <v>1122</v>
      </c>
      <c r="O275" t="s">
        <v>994</v>
      </c>
      <c r="P275" t="s">
        <v>1124</v>
      </c>
      <c r="Q275" t="b">
        <v>0</v>
      </c>
      <c r="R275" t="b">
        <v>1</v>
      </c>
      <c r="S275" t="s">
        <v>1591</v>
      </c>
      <c r="T275" t="s">
        <v>1592</v>
      </c>
      <c r="U275" t="s">
        <v>1432</v>
      </c>
      <c r="V275" t="s">
        <v>1433</v>
      </c>
      <c r="W275" t="s">
        <v>1593</v>
      </c>
      <c r="X275" t="s">
        <v>1594</v>
      </c>
    </row>
    <row r="276" spans="1:24" x14ac:dyDescent="0.25">
      <c r="A276" t="s">
        <v>42</v>
      </c>
      <c r="B276" t="s">
        <v>1637</v>
      </c>
      <c r="C276" t="s">
        <v>341</v>
      </c>
      <c r="D276" t="s">
        <v>994</v>
      </c>
      <c r="E276" t="s">
        <v>992</v>
      </c>
      <c r="F276">
        <v>4184</v>
      </c>
      <c r="G276" t="s">
        <v>1126</v>
      </c>
      <c r="H276" t="s">
        <v>1638</v>
      </c>
      <c r="I276" t="s">
        <v>1639</v>
      </c>
      <c r="J276" t="s">
        <v>1401</v>
      </c>
      <c r="K276" t="s">
        <v>1027</v>
      </c>
      <c r="L276" t="s">
        <v>1028</v>
      </c>
      <c r="M276" t="s">
        <v>1029</v>
      </c>
      <c r="N276" t="s">
        <v>1030</v>
      </c>
      <c r="O276" t="s">
        <v>994</v>
      </c>
      <c r="P276" t="s">
        <v>1032</v>
      </c>
      <c r="Q276" t="b">
        <v>1</v>
      </c>
      <c r="R276" t="b">
        <v>0</v>
      </c>
      <c r="S276" t="s">
        <v>1033</v>
      </c>
      <c r="T276" t="s">
        <v>994</v>
      </c>
      <c r="U276" t="s">
        <v>1034</v>
      </c>
      <c r="V276" t="s">
        <v>997</v>
      </c>
      <c r="W276" t="s">
        <v>1035</v>
      </c>
      <c r="X276" t="s">
        <v>1640</v>
      </c>
    </row>
    <row r="277" spans="1:24" x14ac:dyDescent="0.25">
      <c r="A277" t="s">
        <v>42</v>
      </c>
      <c r="B277" t="s">
        <v>1641</v>
      </c>
      <c r="C277" t="s">
        <v>341</v>
      </c>
      <c r="D277" t="s">
        <v>994</v>
      </c>
      <c r="E277" t="s">
        <v>1000</v>
      </c>
      <c r="F277">
        <v>5313</v>
      </c>
      <c r="G277" t="s">
        <v>1126</v>
      </c>
      <c r="H277" t="s">
        <v>1642</v>
      </c>
      <c r="I277" t="s">
        <v>1639</v>
      </c>
      <c r="J277" t="s">
        <v>1401</v>
      </c>
      <c r="K277" t="s">
        <v>1039</v>
      </c>
      <c r="L277" t="s">
        <v>1040</v>
      </c>
      <c r="M277" t="s">
        <v>1029</v>
      </c>
      <c r="N277" t="s">
        <v>1041</v>
      </c>
      <c r="O277" t="s">
        <v>994</v>
      </c>
      <c r="P277" t="s">
        <v>1043</v>
      </c>
      <c r="Q277" t="b">
        <v>1</v>
      </c>
      <c r="R277" t="b">
        <v>0</v>
      </c>
      <c r="S277" t="s">
        <v>1033</v>
      </c>
      <c r="T277" t="s">
        <v>994</v>
      </c>
      <c r="U277" t="s">
        <v>1034</v>
      </c>
      <c r="V277" t="s">
        <v>997</v>
      </c>
      <c r="W277" t="s">
        <v>1035</v>
      </c>
      <c r="X277" t="s">
        <v>1640</v>
      </c>
    </row>
    <row r="278" spans="1:24" x14ac:dyDescent="0.25">
      <c r="A278" t="s">
        <v>42</v>
      </c>
      <c r="B278" t="s">
        <v>1643</v>
      </c>
      <c r="C278" t="s">
        <v>341</v>
      </c>
      <c r="D278" t="s">
        <v>994</v>
      </c>
      <c r="E278" t="s">
        <v>1002</v>
      </c>
      <c r="F278">
        <v>5803</v>
      </c>
      <c r="G278" t="s">
        <v>1126</v>
      </c>
      <c r="H278" t="s">
        <v>1644</v>
      </c>
      <c r="I278" t="s">
        <v>1639</v>
      </c>
      <c r="J278" t="s">
        <v>1401</v>
      </c>
      <c r="K278" t="s">
        <v>1046</v>
      </c>
      <c r="L278" t="s">
        <v>1047</v>
      </c>
      <c r="M278" t="s">
        <v>1029</v>
      </c>
      <c r="N278" t="s">
        <v>1048</v>
      </c>
      <c r="O278" t="s">
        <v>994</v>
      </c>
      <c r="P278" t="s">
        <v>1050</v>
      </c>
      <c r="Q278" t="b">
        <v>1</v>
      </c>
      <c r="R278" t="b">
        <v>0</v>
      </c>
      <c r="S278" t="s">
        <v>1033</v>
      </c>
      <c r="T278" t="s">
        <v>994</v>
      </c>
      <c r="U278" t="s">
        <v>1034</v>
      </c>
      <c r="V278" t="s">
        <v>997</v>
      </c>
      <c r="W278" t="s">
        <v>1035</v>
      </c>
      <c r="X278" t="s">
        <v>1640</v>
      </c>
    </row>
    <row r="279" spans="1:24" x14ac:dyDescent="0.25">
      <c r="A279" t="s">
        <v>42</v>
      </c>
      <c r="B279" t="s">
        <v>1645</v>
      </c>
      <c r="C279" t="s">
        <v>341</v>
      </c>
      <c r="D279" t="s">
        <v>994</v>
      </c>
      <c r="E279" t="s">
        <v>1004</v>
      </c>
      <c r="F279">
        <v>7493</v>
      </c>
      <c r="G279" t="s">
        <v>1126</v>
      </c>
      <c r="H279" t="s">
        <v>1646</v>
      </c>
      <c r="I279" t="s">
        <v>1639</v>
      </c>
      <c r="J279" t="s">
        <v>1401</v>
      </c>
      <c r="K279" t="s">
        <v>1055</v>
      </c>
      <c r="L279" t="s">
        <v>1056</v>
      </c>
      <c r="M279" t="s">
        <v>1057</v>
      </c>
      <c r="N279" t="s">
        <v>1058</v>
      </c>
      <c r="O279" t="s">
        <v>994</v>
      </c>
      <c r="P279" t="s">
        <v>1059</v>
      </c>
      <c r="Q279" t="b">
        <v>1</v>
      </c>
      <c r="R279" t="b">
        <v>0</v>
      </c>
      <c r="S279" t="s">
        <v>1033</v>
      </c>
      <c r="T279" t="s">
        <v>994</v>
      </c>
      <c r="U279" t="s">
        <v>1034</v>
      </c>
      <c r="V279" t="s">
        <v>997</v>
      </c>
      <c r="W279" t="s">
        <v>1035</v>
      </c>
      <c r="X279" t="s">
        <v>1640</v>
      </c>
    </row>
    <row r="280" spans="1:24" x14ac:dyDescent="0.25">
      <c r="A280" t="s">
        <v>42</v>
      </c>
      <c r="B280" t="s">
        <v>1647</v>
      </c>
      <c r="C280" t="s">
        <v>341</v>
      </c>
      <c r="D280" t="s">
        <v>994</v>
      </c>
      <c r="E280" t="s">
        <v>1006</v>
      </c>
      <c r="F280">
        <v>6198</v>
      </c>
      <c r="G280" t="s">
        <v>1126</v>
      </c>
      <c r="H280" t="s">
        <v>1648</v>
      </c>
      <c r="I280" t="s">
        <v>1639</v>
      </c>
      <c r="J280" t="s">
        <v>1401</v>
      </c>
      <c r="K280" t="s">
        <v>1065</v>
      </c>
      <c r="L280" t="s">
        <v>1066</v>
      </c>
      <c r="M280" t="s">
        <v>1029</v>
      </c>
      <c r="N280" t="s">
        <v>1067</v>
      </c>
      <c r="O280" t="s">
        <v>994</v>
      </c>
      <c r="P280" t="s">
        <v>1069</v>
      </c>
      <c r="Q280" t="b">
        <v>1</v>
      </c>
      <c r="R280" t="b">
        <v>0</v>
      </c>
      <c r="S280" t="s">
        <v>1033</v>
      </c>
      <c r="T280" t="s">
        <v>994</v>
      </c>
      <c r="U280" t="s">
        <v>1034</v>
      </c>
      <c r="V280" t="s">
        <v>997</v>
      </c>
      <c r="W280" t="s">
        <v>1035</v>
      </c>
      <c r="X280" t="s">
        <v>1640</v>
      </c>
    </row>
    <row r="281" spans="1:24" x14ac:dyDescent="0.25">
      <c r="A281" t="s">
        <v>42</v>
      </c>
      <c r="B281" t="s">
        <v>1649</v>
      </c>
      <c r="C281" t="s">
        <v>341</v>
      </c>
      <c r="D281" t="s">
        <v>994</v>
      </c>
      <c r="E281" t="s">
        <v>1008</v>
      </c>
      <c r="F281">
        <v>6092</v>
      </c>
      <c r="G281" t="s">
        <v>1126</v>
      </c>
      <c r="H281" t="s">
        <v>1650</v>
      </c>
      <c r="I281" t="s">
        <v>1639</v>
      </c>
      <c r="J281" t="s">
        <v>1401</v>
      </c>
      <c r="K281" t="s">
        <v>1072</v>
      </c>
      <c r="L281" t="s">
        <v>1073</v>
      </c>
      <c r="M281" t="s">
        <v>1029</v>
      </c>
      <c r="N281" t="s">
        <v>1074</v>
      </c>
      <c r="O281" t="s">
        <v>994</v>
      </c>
      <c r="P281" t="s">
        <v>1076</v>
      </c>
      <c r="Q281" t="b">
        <v>1</v>
      </c>
      <c r="R281" t="b">
        <v>0</v>
      </c>
      <c r="S281" t="s">
        <v>1033</v>
      </c>
      <c r="T281" t="s">
        <v>994</v>
      </c>
      <c r="U281" t="s">
        <v>1034</v>
      </c>
      <c r="V281" t="s">
        <v>997</v>
      </c>
      <c r="W281" t="s">
        <v>1035</v>
      </c>
      <c r="X281" t="s">
        <v>1640</v>
      </c>
    </row>
    <row r="282" spans="1:24" x14ac:dyDescent="0.25">
      <c r="A282" t="s">
        <v>42</v>
      </c>
      <c r="B282" t="s">
        <v>1651</v>
      </c>
      <c r="C282" t="s">
        <v>341</v>
      </c>
      <c r="D282" t="s">
        <v>994</v>
      </c>
      <c r="E282" t="s">
        <v>1010</v>
      </c>
      <c r="F282">
        <v>7049</v>
      </c>
      <c r="G282" t="s">
        <v>1126</v>
      </c>
      <c r="H282" t="s">
        <v>1652</v>
      </c>
      <c r="I282" t="s">
        <v>1639</v>
      </c>
      <c r="J282" t="s">
        <v>1401</v>
      </c>
      <c r="K282" t="s">
        <v>1079</v>
      </c>
      <c r="L282" t="s">
        <v>1080</v>
      </c>
      <c r="M282" t="s">
        <v>1029</v>
      </c>
      <c r="N282" t="s">
        <v>1081</v>
      </c>
      <c r="O282" t="s">
        <v>994</v>
      </c>
      <c r="P282" t="s">
        <v>1083</v>
      </c>
      <c r="Q282" t="b">
        <v>1</v>
      </c>
      <c r="R282" t="b">
        <v>0</v>
      </c>
      <c r="S282" t="s">
        <v>1033</v>
      </c>
      <c r="T282" t="s">
        <v>994</v>
      </c>
      <c r="U282" t="s">
        <v>1034</v>
      </c>
      <c r="V282" t="s">
        <v>997</v>
      </c>
      <c r="W282" t="s">
        <v>1035</v>
      </c>
      <c r="X282" t="s">
        <v>1640</v>
      </c>
    </row>
    <row r="283" spans="1:24" x14ac:dyDescent="0.25">
      <c r="A283" t="s">
        <v>42</v>
      </c>
      <c r="B283" t="s">
        <v>1653</v>
      </c>
      <c r="C283" t="s">
        <v>341</v>
      </c>
      <c r="D283" t="s">
        <v>994</v>
      </c>
      <c r="E283" t="s">
        <v>1012</v>
      </c>
      <c r="F283">
        <v>7987</v>
      </c>
      <c r="G283" t="s">
        <v>1126</v>
      </c>
      <c r="H283" t="s">
        <v>1654</v>
      </c>
      <c r="I283" t="s">
        <v>1639</v>
      </c>
      <c r="J283" t="s">
        <v>1401</v>
      </c>
      <c r="K283" t="s">
        <v>1086</v>
      </c>
      <c r="L283" t="s">
        <v>1087</v>
      </c>
      <c r="M283" t="s">
        <v>1057</v>
      </c>
      <c r="N283" t="s">
        <v>1088</v>
      </c>
      <c r="O283" t="s">
        <v>994</v>
      </c>
      <c r="P283" t="s">
        <v>1089</v>
      </c>
      <c r="Q283" t="b">
        <v>1</v>
      </c>
      <c r="R283" t="b">
        <v>0</v>
      </c>
      <c r="S283" t="s">
        <v>1033</v>
      </c>
      <c r="T283" t="s">
        <v>994</v>
      </c>
      <c r="U283" t="s">
        <v>1034</v>
      </c>
      <c r="V283" t="s">
        <v>997</v>
      </c>
      <c r="W283" t="s">
        <v>1035</v>
      </c>
      <c r="X283" t="s">
        <v>1640</v>
      </c>
    </row>
    <row r="284" spans="1:24" x14ac:dyDescent="0.25">
      <c r="A284" t="s">
        <v>42</v>
      </c>
      <c r="B284" t="s">
        <v>1655</v>
      </c>
      <c r="C284" t="s">
        <v>341</v>
      </c>
      <c r="D284" t="s">
        <v>994</v>
      </c>
      <c r="E284" t="s">
        <v>1014</v>
      </c>
      <c r="F284">
        <v>8497</v>
      </c>
      <c r="G284" t="s">
        <v>1126</v>
      </c>
      <c r="H284" t="s">
        <v>1656</v>
      </c>
      <c r="I284" t="s">
        <v>1639</v>
      </c>
      <c r="J284" t="s">
        <v>1401</v>
      </c>
      <c r="K284" t="s">
        <v>1092</v>
      </c>
      <c r="L284" t="s">
        <v>1093</v>
      </c>
      <c r="M284" t="s">
        <v>1029</v>
      </c>
      <c r="N284" t="s">
        <v>1094</v>
      </c>
      <c r="O284" t="s">
        <v>994</v>
      </c>
      <c r="P284" t="s">
        <v>1096</v>
      </c>
      <c r="Q284" t="b">
        <v>1</v>
      </c>
      <c r="R284" t="b">
        <v>0</v>
      </c>
      <c r="S284" t="s">
        <v>1033</v>
      </c>
      <c r="T284" t="s">
        <v>994</v>
      </c>
      <c r="U284" t="s">
        <v>1034</v>
      </c>
      <c r="V284" t="s">
        <v>997</v>
      </c>
      <c r="W284" t="s">
        <v>1035</v>
      </c>
      <c r="X284" t="s">
        <v>1640</v>
      </c>
    </row>
    <row r="285" spans="1:24" x14ac:dyDescent="0.25">
      <c r="A285" t="s">
        <v>42</v>
      </c>
      <c r="B285" t="s">
        <v>1657</v>
      </c>
      <c r="C285" t="s">
        <v>341</v>
      </c>
      <c r="D285" t="s">
        <v>994</v>
      </c>
      <c r="E285" t="s">
        <v>1016</v>
      </c>
      <c r="F285">
        <v>8347</v>
      </c>
      <c r="G285" t="s">
        <v>1126</v>
      </c>
      <c r="H285" t="s">
        <v>1658</v>
      </c>
      <c r="I285" t="s">
        <v>1639</v>
      </c>
      <c r="J285" t="s">
        <v>1401</v>
      </c>
      <c r="K285" t="s">
        <v>1100</v>
      </c>
      <c r="L285" t="s">
        <v>1101</v>
      </c>
      <c r="M285" t="s">
        <v>1029</v>
      </c>
      <c r="N285" t="s">
        <v>1102</v>
      </c>
      <c r="O285" t="s">
        <v>994</v>
      </c>
      <c r="P285" t="s">
        <v>1104</v>
      </c>
      <c r="Q285" t="b">
        <v>1</v>
      </c>
      <c r="R285" t="b">
        <v>0</v>
      </c>
      <c r="S285" t="s">
        <v>1033</v>
      </c>
      <c r="T285" t="s">
        <v>994</v>
      </c>
      <c r="U285" t="s">
        <v>1034</v>
      </c>
      <c r="V285" t="s">
        <v>997</v>
      </c>
      <c r="W285" t="s">
        <v>1035</v>
      </c>
      <c r="X285" t="s">
        <v>1640</v>
      </c>
    </row>
    <row r="286" spans="1:24" x14ac:dyDescent="0.25">
      <c r="A286" t="s">
        <v>42</v>
      </c>
      <c r="B286" t="s">
        <v>1659</v>
      </c>
      <c r="C286" t="s">
        <v>341</v>
      </c>
      <c r="D286" t="s">
        <v>994</v>
      </c>
      <c r="E286" t="s">
        <v>1018</v>
      </c>
      <c r="F286">
        <v>10546</v>
      </c>
      <c r="G286" t="s">
        <v>1126</v>
      </c>
      <c r="H286" t="s">
        <v>1660</v>
      </c>
      <c r="I286" t="s">
        <v>1639</v>
      </c>
      <c r="J286" t="s">
        <v>1401</v>
      </c>
      <c r="K286" t="s">
        <v>1107</v>
      </c>
      <c r="L286" t="s">
        <v>1108</v>
      </c>
      <c r="M286" t="s">
        <v>1029</v>
      </c>
      <c r="N286" t="s">
        <v>1109</v>
      </c>
      <c r="O286" t="s">
        <v>994</v>
      </c>
      <c r="P286" t="s">
        <v>1111</v>
      </c>
      <c r="Q286" t="b">
        <v>1</v>
      </c>
      <c r="R286" t="b">
        <v>0</v>
      </c>
      <c r="S286" t="s">
        <v>1033</v>
      </c>
      <c r="T286" t="s">
        <v>994</v>
      </c>
      <c r="U286" t="s">
        <v>1034</v>
      </c>
      <c r="V286" t="s">
        <v>997</v>
      </c>
      <c r="W286" t="s">
        <v>1035</v>
      </c>
      <c r="X286" t="s">
        <v>1640</v>
      </c>
    </row>
    <row r="287" spans="1:24" x14ac:dyDescent="0.25">
      <c r="A287" t="s">
        <v>42</v>
      </c>
      <c r="B287" t="s">
        <v>1661</v>
      </c>
      <c r="C287" t="s">
        <v>341</v>
      </c>
      <c r="D287" t="s">
        <v>994</v>
      </c>
      <c r="E287" t="s">
        <v>1020</v>
      </c>
      <c r="F287">
        <v>12200</v>
      </c>
      <c r="G287" t="s">
        <v>1126</v>
      </c>
      <c r="H287" t="s">
        <v>1662</v>
      </c>
      <c r="I287" t="s">
        <v>1639</v>
      </c>
      <c r="J287" t="s">
        <v>1401</v>
      </c>
      <c r="K287" t="s">
        <v>1114</v>
      </c>
      <c r="L287" t="s">
        <v>1115</v>
      </c>
      <c r="M287" t="s">
        <v>1057</v>
      </c>
      <c r="N287" t="s">
        <v>1116</v>
      </c>
      <c r="O287" t="s">
        <v>994</v>
      </c>
      <c r="P287" t="s">
        <v>1117</v>
      </c>
      <c r="Q287" t="b">
        <v>1</v>
      </c>
      <c r="R287" t="b">
        <v>0</v>
      </c>
      <c r="S287" t="s">
        <v>1033</v>
      </c>
      <c r="T287" t="s">
        <v>994</v>
      </c>
      <c r="U287" t="s">
        <v>1034</v>
      </c>
      <c r="V287" t="s">
        <v>997</v>
      </c>
      <c r="W287" t="s">
        <v>1035</v>
      </c>
      <c r="X287" t="s">
        <v>1640</v>
      </c>
    </row>
    <row r="288" spans="1:24" x14ac:dyDescent="0.25">
      <c r="A288" t="s">
        <v>42</v>
      </c>
      <c r="B288" t="s">
        <v>1663</v>
      </c>
      <c r="C288" t="s">
        <v>341</v>
      </c>
      <c r="D288" t="s">
        <v>994</v>
      </c>
      <c r="E288" t="s">
        <v>1022</v>
      </c>
      <c r="F288">
        <v>16852</v>
      </c>
      <c r="G288" t="s">
        <v>1126</v>
      </c>
      <c r="H288" t="s">
        <v>1664</v>
      </c>
      <c r="I288" t="s">
        <v>1639</v>
      </c>
      <c r="J288" t="s">
        <v>1401</v>
      </c>
      <c r="K288" t="s">
        <v>1120</v>
      </c>
      <c r="L288" t="s">
        <v>1121</v>
      </c>
      <c r="M288" t="s">
        <v>1029</v>
      </c>
      <c r="N288" t="s">
        <v>1122</v>
      </c>
      <c r="O288" t="s">
        <v>994</v>
      </c>
      <c r="P288" t="s">
        <v>1124</v>
      </c>
      <c r="Q288" t="b">
        <v>1</v>
      </c>
      <c r="R288" t="b">
        <v>0</v>
      </c>
      <c r="S288" t="s">
        <v>1033</v>
      </c>
      <c r="T288" t="s">
        <v>994</v>
      </c>
      <c r="U288" t="s">
        <v>1034</v>
      </c>
      <c r="V288" t="s">
        <v>997</v>
      </c>
      <c r="W288" t="s">
        <v>1035</v>
      </c>
      <c r="X288" t="s">
        <v>1640</v>
      </c>
    </row>
    <row r="289" spans="1:24" x14ac:dyDescent="0.25">
      <c r="A289" t="s">
        <v>42</v>
      </c>
      <c r="B289" t="s">
        <v>1665</v>
      </c>
      <c r="C289" t="s">
        <v>342</v>
      </c>
      <c r="D289" t="s">
        <v>994</v>
      </c>
      <c r="E289" t="s">
        <v>992</v>
      </c>
      <c r="F289">
        <v>59956</v>
      </c>
      <c r="G289" t="s">
        <v>1126</v>
      </c>
      <c r="H289" t="s">
        <v>1666</v>
      </c>
      <c r="I289" t="s">
        <v>1667</v>
      </c>
      <c r="J289" t="s">
        <v>1401</v>
      </c>
      <c r="K289" t="s">
        <v>1027</v>
      </c>
      <c r="L289" t="s">
        <v>1028</v>
      </c>
      <c r="M289" t="s">
        <v>1029</v>
      </c>
      <c r="N289" t="s">
        <v>1030</v>
      </c>
      <c r="O289" t="s">
        <v>994</v>
      </c>
      <c r="P289" t="s">
        <v>1032</v>
      </c>
      <c r="Q289" t="b">
        <v>1</v>
      </c>
      <c r="R289" t="b">
        <v>0</v>
      </c>
      <c r="S289" t="s">
        <v>1033</v>
      </c>
      <c r="T289" t="s">
        <v>994</v>
      </c>
      <c r="U289" t="s">
        <v>1034</v>
      </c>
      <c r="V289" t="s">
        <v>997</v>
      </c>
      <c r="W289" t="s">
        <v>1035</v>
      </c>
      <c r="X289" t="s">
        <v>1668</v>
      </c>
    </row>
    <row r="290" spans="1:24" x14ac:dyDescent="0.25">
      <c r="A290" t="s">
        <v>42</v>
      </c>
      <c r="B290" t="s">
        <v>1669</v>
      </c>
      <c r="C290" t="s">
        <v>342</v>
      </c>
      <c r="D290" t="s">
        <v>994</v>
      </c>
      <c r="E290" t="s">
        <v>1000</v>
      </c>
      <c r="F290">
        <v>67551</v>
      </c>
      <c r="G290" t="s">
        <v>1126</v>
      </c>
      <c r="H290" t="s">
        <v>1670</v>
      </c>
      <c r="I290" t="s">
        <v>1667</v>
      </c>
      <c r="J290" t="s">
        <v>1401</v>
      </c>
      <c r="K290" t="s">
        <v>1039</v>
      </c>
      <c r="L290" t="s">
        <v>1040</v>
      </c>
      <c r="M290" t="s">
        <v>1029</v>
      </c>
      <c r="N290" t="s">
        <v>1041</v>
      </c>
      <c r="O290" t="s">
        <v>994</v>
      </c>
      <c r="P290" t="s">
        <v>1043</v>
      </c>
      <c r="Q290" t="b">
        <v>1</v>
      </c>
      <c r="R290" t="b">
        <v>0</v>
      </c>
      <c r="S290" t="s">
        <v>1033</v>
      </c>
      <c r="T290" t="s">
        <v>994</v>
      </c>
      <c r="U290" t="s">
        <v>1034</v>
      </c>
      <c r="V290" t="s">
        <v>997</v>
      </c>
      <c r="W290" t="s">
        <v>1035</v>
      </c>
      <c r="X290" t="s">
        <v>1668</v>
      </c>
    </row>
    <row r="291" spans="1:24" x14ac:dyDescent="0.25">
      <c r="A291" t="s">
        <v>42</v>
      </c>
      <c r="B291" t="s">
        <v>1671</v>
      </c>
      <c r="C291" t="s">
        <v>342</v>
      </c>
      <c r="D291" t="s">
        <v>994</v>
      </c>
      <c r="E291" t="s">
        <v>1002</v>
      </c>
      <c r="F291">
        <v>75189</v>
      </c>
      <c r="G291" t="s">
        <v>1126</v>
      </c>
      <c r="H291" t="s">
        <v>1672</v>
      </c>
      <c r="I291" t="s">
        <v>1667</v>
      </c>
      <c r="J291" t="s">
        <v>1401</v>
      </c>
      <c r="K291" t="s">
        <v>1046</v>
      </c>
      <c r="L291" t="s">
        <v>1047</v>
      </c>
      <c r="M291" t="s">
        <v>1029</v>
      </c>
      <c r="N291" t="s">
        <v>1048</v>
      </c>
      <c r="O291" t="s">
        <v>994</v>
      </c>
      <c r="P291" t="s">
        <v>1050</v>
      </c>
      <c r="Q291" t="b">
        <v>1</v>
      </c>
      <c r="R291" t="b">
        <v>0</v>
      </c>
      <c r="S291" t="s">
        <v>1033</v>
      </c>
      <c r="T291" t="s">
        <v>994</v>
      </c>
      <c r="U291" t="s">
        <v>1034</v>
      </c>
      <c r="V291" t="s">
        <v>997</v>
      </c>
      <c r="W291" t="s">
        <v>1035</v>
      </c>
      <c r="X291" t="s">
        <v>1668</v>
      </c>
    </row>
    <row r="292" spans="1:24" x14ac:dyDescent="0.25">
      <c r="A292" t="s">
        <v>42</v>
      </c>
      <c r="B292" t="s">
        <v>1673</v>
      </c>
      <c r="C292" t="s">
        <v>342</v>
      </c>
      <c r="D292" t="s">
        <v>994</v>
      </c>
      <c r="E292" t="s">
        <v>1004</v>
      </c>
      <c r="F292">
        <v>69184</v>
      </c>
      <c r="G292" t="s">
        <v>1126</v>
      </c>
      <c r="H292" t="s">
        <v>1674</v>
      </c>
      <c r="I292" t="s">
        <v>1667</v>
      </c>
      <c r="J292" t="s">
        <v>1401</v>
      </c>
      <c r="K292" t="s">
        <v>1055</v>
      </c>
      <c r="L292" t="s">
        <v>1056</v>
      </c>
      <c r="M292" t="s">
        <v>1057</v>
      </c>
      <c r="N292" t="s">
        <v>1058</v>
      </c>
      <c r="O292" t="s">
        <v>994</v>
      </c>
      <c r="P292" t="s">
        <v>1059</v>
      </c>
      <c r="Q292" t="b">
        <v>1</v>
      </c>
      <c r="R292" t="b">
        <v>0</v>
      </c>
      <c r="S292" t="s">
        <v>1033</v>
      </c>
      <c r="T292" t="s">
        <v>994</v>
      </c>
      <c r="U292" t="s">
        <v>1034</v>
      </c>
      <c r="V292" t="s">
        <v>997</v>
      </c>
      <c r="W292" t="s">
        <v>1035</v>
      </c>
      <c r="X292" t="s">
        <v>1668</v>
      </c>
    </row>
    <row r="293" spans="1:24" x14ac:dyDescent="0.25">
      <c r="A293" t="s">
        <v>42</v>
      </c>
      <c r="B293" t="s">
        <v>1675</v>
      </c>
      <c r="C293" t="s">
        <v>342</v>
      </c>
      <c r="D293" t="s">
        <v>994</v>
      </c>
      <c r="E293" t="s">
        <v>1006</v>
      </c>
      <c r="F293">
        <v>66826</v>
      </c>
      <c r="G293" t="s">
        <v>1126</v>
      </c>
      <c r="H293" t="s">
        <v>1676</v>
      </c>
      <c r="I293" t="s">
        <v>1667</v>
      </c>
      <c r="J293" t="s">
        <v>1401</v>
      </c>
      <c r="K293" t="s">
        <v>1065</v>
      </c>
      <c r="L293" t="s">
        <v>1066</v>
      </c>
      <c r="M293" t="s">
        <v>1029</v>
      </c>
      <c r="N293" t="s">
        <v>1067</v>
      </c>
      <c r="O293" t="s">
        <v>994</v>
      </c>
      <c r="P293" t="s">
        <v>1069</v>
      </c>
      <c r="Q293" t="b">
        <v>1</v>
      </c>
      <c r="R293" t="b">
        <v>0</v>
      </c>
      <c r="S293" t="s">
        <v>1033</v>
      </c>
      <c r="T293" t="s">
        <v>994</v>
      </c>
      <c r="U293" t="s">
        <v>1034</v>
      </c>
      <c r="V293" t="s">
        <v>997</v>
      </c>
      <c r="W293" t="s">
        <v>1035</v>
      </c>
      <c r="X293" t="s">
        <v>1677</v>
      </c>
    </row>
    <row r="294" spans="1:24" x14ac:dyDescent="0.25">
      <c r="A294" t="s">
        <v>42</v>
      </c>
      <c r="B294" t="s">
        <v>1678</v>
      </c>
      <c r="C294" t="s">
        <v>342</v>
      </c>
      <c r="E294" t="s">
        <v>1008</v>
      </c>
      <c r="F294">
        <v>67570</v>
      </c>
      <c r="G294" t="s">
        <v>1052</v>
      </c>
      <c r="H294" t="s">
        <v>1679</v>
      </c>
      <c r="I294" t="s">
        <v>1667</v>
      </c>
      <c r="J294" t="s">
        <v>1401</v>
      </c>
      <c r="K294" t="s">
        <v>1072</v>
      </c>
      <c r="L294" t="s">
        <v>1073</v>
      </c>
      <c r="M294" t="s">
        <v>1029</v>
      </c>
      <c r="N294" t="s">
        <v>1074</v>
      </c>
      <c r="O294" t="s">
        <v>994</v>
      </c>
      <c r="P294" t="s">
        <v>1076</v>
      </c>
      <c r="Q294" t="b">
        <v>1</v>
      </c>
      <c r="R294" t="b">
        <v>0</v>
      </c>
      <c r="S294" t="s">
        <v>1097</v>
      </c>
      <c r="T294" t="s">
        <v>994</v>
      </c>
      <c r="U294" t="s">
        <v>1061</v>
      </c>
      <c r="V294" t="s">
        <v>997</v>
      </c>
      <c r="W294" t="s">
        <v>1035</v>
      </c>
      <c r="X294" t="s">
        <v>1677</v>
      </c>
    </row>
    <row r="295" spans="1:24" x14ac:dyDescent="0.25">
      <c r="A295" t="s">
        <v>42</v>
      </c>
      <c r="B295" t="s">
        <v>1680</v>
      </c>
      <c r="C295" t="s">
        <v>342</v>
      </c>
      <c r="D295" t="s">
        <v>994</v>
      </c>
      <c r="E295" t="s">
        <v>1010</v>
      </c>
      <c r="F295">
        <v>67859</v>
      </c>
      <c r="G295" t="s">
        <v>1126</v>
      </c>
      <c r="H295" t="s">
        <v>1681</v>
      </c>
      <c r="I295" t="s">
        <v>1667</v>
      </c>
      <c r="J295" t="s">
        <v>1401</v>
      </c>
      <c r="K295" t="s">
        <v>1079</v>
      </c>
      <c r="L295" t="s">
        <v>1080</v>
      </c>
      <c r="M295" t="s">
        <v>1029</v>
      </c>
      <c r="N295" t="s">
        <v>1081</v>
      </c>
      <c r="O295" t="s">
        <v>994</v>
      </c>
      <c r="P295" t="s">
        <v>1083</v>
      </c>
      <c r="Q295" t="b">
        <v>1</v>
      </c>
      <c r="R295" t="b">
        <v>0</v>
      </c>
      <c r="S295" t="s">
        <v>1033</v>
      </c>
      <c r="T295" t="s">
        <v>994</v>
      </c>
      <c r="U295" t="s">
        <v>1034</v>
      </c>
      <c r="V295" t="s">
        <v>997</v>
      </c>
      <c r="W295" t="s">
        <v>1035</v>
      </c>
      <c r="X295" t="s">
        <v>1668</v>
      </c>
    </row>
    <row r="296" spans="1:24" x14ac:dyDescent="0.25">
      <c r="A296" t="s">
        <v>42</v>
      </c>
      <c r="B296" t="s">
        <v>1682</v>
      </c>
      <c r="C296" t="s">
        <v>342</v>
      </c>
      <c r="D296" t="s">
        <v>994</v>
      </c>
      <c r="E296" t="s">
        <v>1012</v>
      </c>
      <c r="F296">
        <v>75100</v>
      </c>
      <c r="G296" t="s">
        <v>1126</v>
      </c>
      <c r="H296" t="s">
        <v>1683</v>
      </c>
      <c r="I296" t="s">
        <v>1667</v>
      </c>
      <c r="J296" t="s">
        <v>1401</v>
      </c>
      <c r="K296" t="s">
        <v>1086</v>
      </c>
      <c r="L296" t="s">
        <v>1087</v>
      </c>
      <c r="M296" t="s">
        <v>1057</v>
      </c>
      <c r="N296" t="s">
        <v>1088</v>
      </c>
      <c r="O296" t="s">
        <v>994</v>
      </c>
      <c r="P296" t="s">
        <v>1089</v>
      </c>
      <c r="Q296" t="b">
        <v>1</v>
      </c>
      <c r="R296" t="b">
        <v>0</v>
      </c>
      <c r="S296" t="s">
        <v>1033</v>
      </c>
      <c r="T296" t="s">
        <v>994</v>
      </c>
      <c r="U296" t="s">
        <v>1034</v>
      </c>
      <c r="V296" t="s">
        <v>997</v>
      </c>
      <c r="W296" t="s">
        <v>1035</v>
      </c>
      <c r="X296" t="s">
        <v>1668</v>
      </c>
    </row>
    <row r="297" spans="1:24" x14ac:dyDescent="0.25">
      <c r="A297" t="s">
        <v>42</v>
      </c>
      <c r="B297" t="s">
        <v>1684</v>
      </c>
      <c r="C297" t="s">
        <v>342</v>
      </c>
      <c r="D297" t="s">
        <v>994</v>
      </c>
      <c r="E297" t="s">
        <v>1014</v>
      </c>
      <c r="F297">
        <v>77249</v>
      </c>
      <c r="G297" t="s">
        <v>1126</v>
      </c>
      <c r="H297" t="s">
        <v>1685</v>
      </c>
      <c r="I297" t="s">
        <v>1667</v>
      </c>
      <c r="J297" t="s">
        <v>1401</v>
      </c>
      <c r="K297" t="s">
        <v>1092</v>
      </c>
      <c r="L297" t="s">
        <v>1093</v>
      </c>
      <c r="M297" t="s">
        <v>1029</v>
      </c>
      <c r="N297" t="s">
        <v>1094</v>
      </c>
      <c r="O297" t="s">
        <v>994</v>
      </c>
      <c r="P297" t="s">
        <v>1096</v>
      </c>
      <c r="Q297" t="b">
        <v>1</v>
      </c>
      <c r="R297" t="b">
        <v>0</v>
      </c>
      <c r="S297" t="s">
        <v>1033</v>
      </c>
      <c r="T297" t="s">
        <v>994</v>
      </c>
      <c r="U297" t="s">
        <v>1034</v>
      </c>
      <c r="V297" t="s">
        <v>997</v>
      </c>
      <c r="W297" t="s">
        <v>1035</v>
      </c>
      <c r="X297" t="s">
        <v>1668</v>
      </c>
    </row>
    <row r="298" spans="1:24" x14ac:dyDescent="0.25">
      <c r="A298" t="s">
        <v>42</v>
      </c>
      <c r="B298" t="s">
        <v>1686</v>
      </c>
      <c r="C298" t="s">
        <v>342</v>
      </c>
      <c r="D298" t="s">
        <v>994</v>
      </c>
      <c r="E298" t="s">
        <v>1016</v>
      </c>
      <c r="F298">
        <v>72994</v>
      </c>
      <c r="G298" t="s">
        <v>1126</v>
      </c>
      <c r="H298" t="s">
        <v>1687</v>
      </c>
      <c r="I298" t="s">
        <v>1667</v>
      </c>
      <c r="J298" t="s">
        <v>1401</v>
      </c>
      <c r="K298" t="s">
        <v>1100</v>
      </c>
      <c r="L298" t="s">
        <v>1101</v>
      </c>
      <c r="M298" t="s">
        <v>1029</v>
      </c>
      <c r="N298" t="s">
        <v>1102</v>
      </c>
      <c r="O298" t="s">
        <v>994</v>
      </c>
      <c r="P298" t="s">
        <v>1104</v>
      </c>
      <c r="Q298" t="b">
        <v>1</v>
      </c>
      <c r="R298" t="b">
        <v>0</v>
      </c>
      <c r="S298" t="s">
        <v>1033</v>
      </c>
      <c r="T298" t="s">
        <v>994</v>
      </c>
      <c r="U298" t="s">
        <v>1034</v>
      </c>
      <c r="V298" t="s">
        <v>997</v>
      </c>
      <c r="W298" t="s">
        <v>1035</v>
      </c>
      <c r="X298" t="s">
        <v>1668</v>
      </c>
    </row>
    <row r="299" spans="1:24" x14ac:dyDescent="0.25">
      <c r="A299" t="s">
        <v>42</v>
      </c>
      <c r="B299" t="s">
        <v>1688</v>
      </c>
      <c r="C299" t="s">
        <v>342</v>
      </c>
      <c r="D299" t="s">
        <v>994</v>
      </c>
      <c r="E299" t="s">
        <v>1018</v>
      </c>
      <c r="F299">
        <v>81467</v>
      </c>
      <c r="G299" t="s">
        <v>1126</v>
      </c>
      <c r="H299" t="s">
        <v>1689</v>
      </c>
      <c r="I299" t="s">
        <v>1667</v>
      </c>
      <c r="J299" t="s">
        <v>1401</v>
      </c>
      <c r="K299" t="s">
        <v>1107</v>
      </c>
      <c r="L299" t="s">
        <v>1108</v>
      </c>
      <c r="M299" t="s">
        <v>1029</v>
      </c>
      <c r="N299" t="s">
        <v>1109</v>
      </c>
      <c r="O299" t="s">
        <v>994</v>
      </c>
      <c r="P299" t="s">
        <v>1111</v>
      </c>
      <c r="Q299" t="b">
        <v>1</v>
      </c>
      <c r="R299" t="b">
        <v>0</v>
      </c>
      <c r="S299" t="s">
        <v>1033</v>
      </c>
      <c r="T299" t="s">
        <v>994</v>
      </c>
      <c r="U299" t="s">
        <v>1034</v>
      </c>
      <c r="V299" t="s">
        <v>997</v>
      </c>
      <c r="W299" t="s">
        <v>1035</v>
      </c>
      <c r="X299" t="s">
        <v>1668</v>
      </c>
    </row>
    <row r="300" spans="1:24" x14ac:dyDescent="0.25">
      <c r="A300" t="s">
        <v>42</v>
      </c>
      <c r="B300" t="s">
        <v>1690</v>
      </c>
      <c r="C300" t="s">
        <v>342</v>
      </c>
      <c r="D300" t="s">
        <v>994</v>
      </c>
      <c r="E300" t="s">
        <v>1020</v>
      </c>
      <c r="F300">
        <v>81971</v>
      </c>
      <c r="G300" t="s">
        <v>1126</v>
      </c>
      <c r="H300" t="s">
        <v>1691</v>
      </c>
      <c r="I300" t="s">
        <v>1667</v>
      </c>
      <c r="J300" t="s">
        <v>1401</v>
      </c>
      <c r="K300" t="s">
        <v>1114</v>
      </c>
      <c r="L300" t="s">
        <v>1115</v>
      </c>
      <c r="M300" t="s">
        <v>1057</v>
      </c>
      <c r="N300" t="s">
        <v>1116</v>
      </c>
      <c r="O300" t="s">
        <v>994</v>
      </c>
      <c r="P300" t="s">
        <v>1117</v>
      </c>
      <c r="Q300" t="b">
        <v>1</v>
      </c>
      <c r="R300" t="b">
        <v>0</v>
      </c>
      <c r="S300" t="s">
        <v>1033</v>
      </c>
      <c r="T300" t="s">
        <v>994</v>
      </c>
      <c r="U300" t="s">
        <v>1034</v>
      </c>
      <c r="V300" t="s">
        <v>997</v>
      </c>
      <c r="W300" t="s">
        <v>1035</v>
      </c>
      <c r="X300" t="s">
        <v>1668</v>
      </c>
    </row>
    <row r="301" spans="1:24" x14ac:dyDescent="0.25">
      <c r="A301" t="s">
        <v>42</v>
      </c>
      <c r="B301" t="s">
        <v>1692</v>
      </c>
      <c r="C301" t="s">
        <v>342</v>
      </c>
      <c r="D301" t="s">
        <v>994</v>
      </c>
      <c r="E301" t="s">
        <v>1022</v>
      </c>
      <c r="F301">
        <v>85176</v>
      </c>
      <c r="G301" t="s">
        <v>1126</v>
      </c>
      <c r="H301" t="s">
        <v>1693</v>
      </c>
      <c r="I301" t="s">
        <v>1667</v>
      </c>
      <c r="J301" t="s">
        <v>1401</v>
      </c>
      <c r="K301" t="s">
        <v>1120</v>
      </c>
      <c r="L301" t="s">
        <v>1121</v>
      </c>
      <c r="M301" t="s">
        <v>1029</v>
      </c>
      <c r="N301" t="s">
        <v>1122</v>
      </c>
      <c r="O301" t="s">
        <v>994</v>
      </c>
      <c r="P301" t="s">
        <v>1124</v>
      </c>
      <c r="Q301" t="b">
        <v>1</v>
      </c>
      <c r="R301" t="b">
        <v>0</v>
      </c>
      <c r="S301" t="s">
        <v>1033</v>
      </c>
      <c r="T301" t="s">
        <v>994</v>
      </c>
      <c r="U301" t="s">
        <v>1034</v>
      </c>
      <c r="V301" t="s">
        <v>997</v>
      </c>
      <c r="W301" t="s">
        <v>1035</v>
      </c>
      <c r="X301" t="s">
        <v>1668</v>
      </c>
    </row>
    <row r="302" spans="1:24" x14ac:dyDescent="0.25">
      <c r="A302" t="s">
        <v>42</v>
      </c>
      <c r="B302" t="s">
        <v>1694</v>
      </c>
      <c r="C302" t="s">
        <v>343</v>
      </c>
      <c r="E302" t="s">
        <v>992</v>
      </c>
      <c r="F302">
        <v>3715</v>
      </c>
      <c r="G302" t="s">
        <v>1052</v>
      </c>
      <c r="H302" t="s">
        <v>1695</v>
      </c>
      <c r="I302" t="s">
        <v>1696</v>
      </c>
      <c r="J302" t="s">
        <v>1401</v>
      </c>
      <c r="K302" t="s">
        <v>1027</v>
      </c>
      <c r="L302" t="s">
        <v>1028</v>
      </c>
      <c r="M302" t="s">
        <v>1029</v>
      </c>
      <c r="N302" t="s">
        <v>1030</v>
      </c>
      <c r="O302" t="s">
        <v>994</v>
      </c>
      <c r="P302" t="s">
        <v>1032</v>
      </c>
      <c r="Q302" t="b">
        <v>1</v>
      </c>
      <c r="R302" t="b">
        <v>0</v>
      </c>
      <c r="S302" t="s">
        <v>1097</v>
      </c>
      <c r="T302" t="s">
        <v>994</v>
      </c>
      <c r="U302" t="s">
        <v>1061</v>
      </c>
      <c r="V302" t="s">
        <v>997</v>
      </c>
      <c r="W302" t="s">
        <v>1035</v>
      </c>
      <c r="X302" t="s">
        <v>1697</v>
      </c>
    </row>
    <row r="303" spans="1:24" x14ac:dyDescent="0.25">
      <c r="A303" t="s">
        <v>42</v>
      </c>
      <c r="B303" t="s">
        <v>1698</v>
      </c>
      <c r="C303" t="s">
        <v>343</v>
      </c>
      <c r="E303" t="s">
        <v>1000</v>
      </c>
      <c r="F303">
        <v>3846</v>
      </c>
      <c r="G303" t="s">
        <v>1052</v>
      </c>
      <c r="H303" t="s">
        <v>1699</v>
      </c>
      <c r="I303" t="s">
        <v>1696</v>
      </c>
      <c r="J303" t="s">
        <v>1401</v>
      </c>
      <c r="K303" t="s">
        <v>1039</v>
      </c>
      <c r="L303" t="s">
        <v>1040</v>
      </c>
      <c r="M303" t="s">
        <v>1029</v>
      </c>
      <c r="N303" t="s">
        <v>1041</v>
      </c>
      <c r="O303" t="s">
        <v>994</v>
      </c>
      <c r="P303" t="s">
        <v>1043</v>
      </c>
      <c r="Q303" t="b">
        <v>1</v>
      </c>
      <c r="R303" t="b">
        <v>0</v>
      </c>
      <c r="S303" t="s">
        <v>1097</v>
      </c>
      <c r="T303" t="s">
        <v>994</v>
      </c>
      <c r="U303" t="s">
        <v>1061</v>
      </c>
      <c r="V303" t="s">
        <v>997</v>
      </c>
      <c r="W303" t="s">
        <v>1035</v>
      </c>
      <c r="X303" t="s">
        <v>1697</v>
      </c>
    </row>
    <row r="304" spans="1:24" x14ac:dyDescent="0.25">
      <c r="A304" t="s">
        <v>42</v>
      </c>
      <c r="B304" t="s">
        <v>1700</v>
      </c>
      <c r="C304" t="s">
        <v>343</v>
      </c>
      <c r="E304" t="s">
        <v>1002</v>
      </c>
      <c r="F304">
        <v>4303</v>
      </c>
      <c r="G304" t="s">
        <v>1052</v>
      </c>
      <c r="H304" t="s">
        <v>1701</v>
      </c>
      <c r="I304" t="s">
        <v>1696</v>
      </c>
      <c r="J304" t="s">
        <v>1401</v>
      </c>
      <c r="K304" t="s">
        <v>1046</v>
      </c>
      <c r="L304" t="s">
        <v>1047</v>
      </c>
      <c r="M304" t="s">
        <v>1029</v>
      </c>
      <c r="N304" t="s">
        <v>1048</v>
      </c>
      <c r="O304" t="s">
        <v>994</v>
      </c>
      <c r="P304" t="s">
        <v>1050</v>
      </c>
      <c r="Q304" t="b">
        <v>1</v>
      </c>
      <c r="R304" t="b">
        <v>0</v>
      </c>
      <c r="S304" t="s">
        <v>1097</v>
      </c>
      <c r="T304" t="s">
        <v>994</v>
      </c>
      <c r="U304" t="s">
        <v>1061</v>
      </c>
      <c r="V304" t="s">
        <v>997</v>
      </c>
      <c r="W304" t="s">
        <v>1035</v>
      </c>
      <c r="X304" t="s">
        <v>1697</v>
      </c>
    </row>
    <row r="305" spans="1:24" x14ac:dyDescent="0.25">
      <c r="A305" t="s">
        <v>42</v>
      </c>
      <c r="B305" t="s">
        <v>1702</v>
      </c>
      <c r="C305" t="s">
        <v>343</v>
      </c>
      <c r="E305" t="s">
        <v>1004</v>
      </c>
      <c r="F305">
        <v>4137</v>
      </c>
      <c r="G305" t="s">
        <v>1052</v>
      </c>
      <c r="H305" t="s">
        <v>1703</v>
      </c>
      <c r="I305" t="s">
        <v>1696</v>
      </c>
      <c r="J305" t="s">
        <v>1401</v>
      </c>
      <c r="K305" t="s">
        <v>1055</v>
      </c>
      <c r="L305" t="s">
        <v>1056</v>
      </c>
      <c r="M305" t="s">
        <v>1057</v>
      </c>
      <c r="N305" t="s">
        <v>1058</v>
      </c>
      <c r="O305" t="s">
        <v>994</v>
      </c>
      <c r="P305" t="s">
        <v>1059</v>
      </c>
      <c r="Q305" t="b">
        <v>1</v>
      </c>
      <c r="R305" t="b">
        <v>0</v>
      </c>
      <c r="S305" t="s">
        <v>1097</v>
      </c>
      <c r="T305" t="s">
        <v>994</v>
      </c>
      <c r="U305" t="s">
        <v>1061</v>
      </c>
      <c r="V305" t="s">
        <v>997</v>
      </c>
      <c r="W305" t="s">
        <v>1035</v>
      </c>
      <c r="X305" t="s">
        <v>1697</v>
      </c>
    </row>
    <row r="306" spans="1:24" x14ac:dyDescent="0.25">
      <c r="A306" t="s">
        <v>42</v>
      </c>
      <c r="B306" t="s">
        <v>1704</v>
      </c>
      <c r="C306" t="s">
        <v>343</v>
      </c>
      <c r="E306" t="s">
        <v>1006</v>
      </c>
      <c r="F306">
        <v>3973</v>
      </c>
      <c r="G306" t="s">
        <v>1052</v>
      </c>
      <c r="H306" t="s">
        <v>1705</v>
      </c>
      <c r="I306" t="s">
        <v>1696</v>
      </c>
      <c r="J306" t="s">
        <v>1401</v>
      </c>
      <c r="K306" t="s">
        <v>1065</v>
      </c>
      <c r="L306" t="s">
        <v>1066</v>
      </c>
      <c r="M306" t="s">
        <v>1029</v>
      </c>
      <c r="N306" t="s">
        <v>1067</v>
      </c>
      <c r="O306" t="s">
        <v>994</v>
      </c>
      <c r="P306" t="s">
        <v>1069</v>
      </c>
      <c r="Q306" t="b">
        <v>1</v>
      </c>
      <c r="R306" t="b">
        <v>0</v>
      </c>
      <c r="S306" t="s">
        <v>1097</v>
      </c>
      <c r="T306" t="s">
        <v>994</v>
      </c>
      <c r="U306" t="s">
        <v>1061</v>
      </c>
      <c r="V306" t="s">
        <v>997</v>
      </c>
      <c r="W306" t="s">
        <v>1035</v>
      </c>
      <c r="X306" t="s">
        <v>1697</v>
      </c>
    </row>
    <row r="307" spans="1:24" x14ac:dyDescent="0.25">
      <c r="A307" t="s">
        <v>42</v>
      </c>
      <c r="B307" t="s">
        <v>1706</v>
      </c>
      <c r="C307" t="s">
        <v>343</v>
      </c>
      <c r="E307" t="s">
        <v>1008</v>
      </c>
      <c r="F307">
        <v>4251</v>
      </c>
      <c r="G307" t="s">
        <v>1052</v>
      </c>
      <c r="H307" t="s">
        <v>1707</v>
      </c>
      <c r="I307" t="s">
        <v>1696</v>
      </c>
      <c r="J307" t="s">
        <v>1401</v>
      </c>
      <c r="K307" t="s">
        <v>1072</v>
      </c>
      <c r="L307" t="s">
        <v>1073</v>
      </c>
      <c r="M307" t="s">
        <v>1029</v>
      </c>
      <c r="N307" t="s">
        <v>1074</v>
      </c>
      <c r="O307" t="s">
        <v>994</v>
      </c>
      <c r="P307" t="s">
        <v>1076</v>
      </c>
      <c r="Q307" t="b">
        <v>1</v>
      </c>
      <c r="R307" t="b">
        <v>0</v>
      </c>
      <c r="S307" t="s">
        <v>1097</v>
      </c>
      <c r="T307" t="s">
        <v>994</v>
      </c>
      <c r="U307" t="s">
        <v>1061</v>
      </c>
      <c r="V307" t="s">
        <v>997</v>
      </c>
      <c r="W307" t="s">
        <v>1035</v>
      </c>
      <c r="X307" t="s">
        <v>1697</v>
      </c>
    </row>
    <row r="308" spans="1:24" x14ac:dyDescent="0.25">
      <c r="A308" t="s">
        <v>42</v>
      </c>
      <c r="B308" t="s">
        <v>1708</v>
      </c>
      <c r="C308" t="s">
        <v>343</v>
      </c>
      <c r="E308" t="s">
        <v>1010</v>
      </c>
      <c r="F308">
        <v>4896</v>
      </c>
      <c r="G308" t="s">
        <v>1052</v>
      </c>
      <c r="H308" t="s">
        <v>1709</v>
      </c>
      <c r="I308" t="s">
        <v>1696</v>
      </c>
      <c r="J308" t="s">
        <v>1401</v>
      </c>
      <c r="K308" t="s">
        <v>1079</v>
      </c>
      <c r="L308" t="s">
        <v>1080</v>
      </c>
      <c r="M308" t="s">
        <v>1029</v>
      </c>
      <c r="N308" t="s">
        <v>1081</v>
      </c>
      <c r="O308" t="s">
        <v>994</v>
      </c>
      <c r="P308" t="s">
        <v>1083</v>
      </c>
      <c r="Q308" t="b">
        <v>1</v>
      </c>
      <c r="R308" t="b">
        <v>0</v>
      </c>
      <c r="S308" t="s">
        <v>1097</v>
      </c>
      <c r="T308" t="s">
        <v>994</v>
      </c>
      <c r="U308" t="s">
        <v>1061</v>
      </c>
      <c r="V308" t="s">
        <v>997</v>
      </c>
      <c r="W308" t="s">
        <v>1035</v>
      </c>
      <c r="X308" t="s">
        <v>1697</v>
      </c>
    </row>
    <row r="309" spans="1:24" x14ac:dyDescent="0.25">
      <c r="A309" t="s">
        <v>42</v>
      </c>
      <c r="B309" t="s">
        <v>1710</v>
      </c>
      <c r="C309" t="s">
        <v>343</v>
      </c>
      <c r="E309" t="s">
        <v>1012</v>
      </c>
      <c r="F309">
        <v>5036</v>
      </c>
      <c r="G309" t="s">
        <v>1052</v>
      </c>
      <c r="H309" t="s">
        <v>1711</v>
      </c>
      <c r="I309" t="s">
        <v>1696</v>
      </c>
      <c r="J309" t="s">
        <v>1401</v>
      </c>
      <c r="K309" t="s">
        <v>1086</v>
      </c>
      <c r="L309" t="s">
        <v>1087</v>
      </c>
      <c r="M309" t="s">
        <v>1057</v>
      </c>
      <c r="N309" t="s">
        <v>1088</v>
      </c>
      <c r="O309" t="s">
        <v>994</v>
      </c>
      <c r="P309" t="s">
        <v>1089</v>
      </c>
      <c r="Q309" t="b">
        <v>1</v>
      </c>
      <c r="R309" t="b">
        <v>0</v>
      </c>
      <c r="S309" t="s">
        <v>1097</v>
      </c>
      <c r="T309" t="s">
        <v>994</v>
      </c>
      <c r="U309" t="s">
        <v>1061</v>
      </c>
      <c r="V309" t="s">
        <v>997</v>
      </c>
      <c r="W309" t="s">
        <v>1035</v>
      </c>
      <c r="X309" t="s">
        <v>1697</v>
      </c>
    </row>
    <row r="310" spans="1:24" x14ac:dyDescent="0.25">
      <c r="A310" t="s">
        <v>42</v>
      </c>
      <c r="B310" t="s">
        <v>1712</v>
      </c>
      <c r="C310" t="s">
        <v>343</v>
      </c>
      <c r="D310" t="s">
        <v>994</v>
      </c>
      <c r="E310" t="s">
        <v>1014</v>
      </c>
      <c r="F310">
        <v>4908</v>
      </c>
      <c r="G310" t="s">
        <v>1126</v>
      </c>
      <c r="H310" t="s">
        <v>1713</v>
      </c>
      <c r="I310" t="s">
        <v>1696</v>
      </c>
      <c r="J310" t="s">
        <v>1401</v>
      </c>
      <c r="K310" t="s">
        <v>1092</v>
      </c>
      <c r="L310" t="s">
        <v>1093</v>
      </c>
      <c r="M310" t="s">
        <v>1029</v>
      </c>
      <c r="N310" t="s">
        <v>1094</v>
      </c>
      <c r="O310" t="s">
        <v>994</v>
      </c>
      <c r="P310" t="s">
        <v>1096</v>
      </c>
      <c r="Q310" t="b">
        <v>1</v>
      </c>
      <c r="R310" t="b">
        <v>0</v>
      </c>
      <c r="S310" t="s">
        <v>1033</v>
      </c>
      <c r="T310" t="s">
        <v>994</v>
      </c>
      <c r="U310" t="s">
        <v>1034</v>
      </c>
      <c r="V310" t="s">
        <v>997</v>
      </c>
      <c r="W310" t="s">
        <v>1035</v>
      </c>
      <c r="X310" t="s">
        <v>1697</v>
      </c>
    </row>
    <row r="311" spans="1:24" x14ac:dyDescent="0.25">
      <c r="A311" t="s">
        <v>42</v>
      </c>
      <c r="B311" t="s">
        <v>1714</v>
      </c>
      <c r="C311" t="s">
        <v>343</v>
      </c>
      <c r="D311" t="s">
        <v>994</v>
      </c>
      <c r="E311" t="s">
        <v>1016</v>
      </c>
      <c r="F311">
        <v>4969</v>
      </c>
      <c r="G311" t="s">
        <v>1126</v>
      </c>
      <c r="H311" t="s">
        <v>1715</v>
      </c>
      <c r="I311" t="s">
        <v>1696</v>
      </c>
      <c r="J311" t="s">
        <v>1401</v>
      </c>
      <c r="K311" t="s">
        <v>1100</v>
      </c>
      <c r="L311" t="s">
        <v>1101</v>
      </c>
      <c r="M311" t="s">
        <v>1029</v>
      </c>
      <c r="N311" t="s">
        <v>1102</v>
      </c>
      <c r="O311" t="s">
        <v>994</v>
      </c>
      <c r="P311" t="s">
        <v>1104</v>
      </c>
      <c r="Q311" t="b">
        <v>1</v>
      </c>
      <c r="R311" t="b">
        <v>0</v>
      </c>
      <c r="S311" t="s">
        <v>1033</v>
      </c>
      <c r="T311" t="s">
        <v>994</v>
      </c>
      <c r="U311" t="s">
        <v>1034</v>
      </c>
      <c r="V311" t="s">
        <v>997</v>
      </c>
      <c r="W311" t="s">
        <v>1035</v>
      </c>
      <c r="X311" t="s">
        <v>1697</v>
      </c>
    </row>
    <row r="312" spans="1:24" x14ac:dyDescent="0.25">
      <c r="A312" t="s">
        <v>42</v>
      </c>
      <c r="B312" t="s">
        <v>1716</v>
      </c>
      <c r="C312" t="s">
        <v>343</v>
      </c>
      <c r="D312" t="s">
        <v>994</v>
      </c>
      <c r="E312" t="s">
        <v>1018</v>
      </c>
      <c r="F312">
        <v>5542</v>
      </c>
      <c r="G312" t="s">
        <v>1126</v>
      </c>
      <c r="H312" t="s">
        <v>1717</v>
      </c>
      <c r="I312" t="s">
        <v>1696</v>
      </c>
      <c r="J312" t="s">
        <v>1401</v>
      </c>
      <c r="K312" t="s">
        <v>1107</v>
      </c>
      <c r="L312" t="s">
        <v>1108</v>
      </c>
      <c r="M312" t="s">
        <v>1029</v>
      </c>
      <c r="N312" t="s">
        <v>1109</v>
      </c>
      <c r="O312" t="s">
        <v>994</v>
      </c>
      <c r="P312" t="s">
        <v>1111</v>
      </c>
      <c r="Q312" t="b">
        <v>1</v>
      </c>
      <c r="R312" t="b">
        <v>0</v>
      </c>
      <c r="S312" t="s">
        <v>1033</v>
      </c>
      <c r="T312" t="s">
        <v>994</v>
      </c>
      <c r="U312" t="s">
        <v>1034</v>
      </c>
      <c r="V312" t="s">
        <v>997</v>
      </c>
      <c r="W312" t="s">
        <v>1035</v>
      </c>
      <c r="X312" t="s">
        <v>1697</v>
      </c>
    </row>
    <row r="313" spans="1:24" x14ac:dyDescent="0.25">
      <c r="A313" t="s">
        <v>42</v>
      </c>
      <c r="B313" t="s">
        <v>1718</v>
      </c>
      <c r="C313" t="s">
        <v>343</v>
      </c>
      <c r="D313" t="s">
        <v>994</v>
      </c>
      <c r="E313" t="s">
        <v>1020</v>
      </c>
      <c r="F313">
        <v>6578</v>
      </c>
      <c r="G313" t="s">
        <v>1126</v>
      </c>
      <c r="H313" t="s">
        <v>1719</v>
      </c>
      <c r="I313" t="s">
        <v>1696</v>
      </c>
      <c r="J313" t="s">
        <v>1401</v>
      </c>
      <c r="K313" t="s">
        <v>1114</v>
      </c>
      <c r="L313" t="s">
        <v>1115</v>
      </c>
      <c r="M313" t="s">
        <v>1057</v>
      </c>
      <c r="N313" t="s">
        <v>1116</v>
      </c>
      <c r="O313" t="s">
        <v>994</v>
      </c>
      <c r="P313" t="s">
        <v>1117</v>
      </c>
      <c r="Q313" t="b">
        <v>1</v>
      </c>
      <c r="R313" t="b">
        <v>0</v>
      </c>
      <c r="S313" t="s">
        <v>1033</v>
      </c>
      <c r="T313" t="s">
        <v>994</v>
      </c>
      <c r="U313" t="s">
        <v>1034</v>
      </c>
      <c r="V313" t="s">
        <v>997</v>
      </c>
      <c r="W313" t="s">
        <v>1035</v>
      </c>
      <c r="X313" t="s">
        <v>1697</v>
      </c>
    </row>
    <row r="314" spans="1:24" x14ac:dyDescent="0.25">
      <c r="A314" t="s">
        <v>42</v>
      </c>
      <c r="B314" t="s">
        <v>1720</v>
      </c>
      <c r="C314" t="s">
        <v>343</v>
      </c>
      <c r="E314" t="s">
        <v>1022</v>
      </c>
      <c r="F314">
        <v>7162</v>
      </c>
      <c r="G314" t="s">
        <v>1052</v>
      </c>
      <c r="H314" t="s">
        <v>1721</v>
      </c>
      <c r="I314" t="s">
        <v>1696</v>
      </c>
      <c r="J314" t="s">
        <v>1401</v>
      </c>
      <c r="K314" t="s">
        <v>1120</v>
      </c>
      <c r="L314" t="s">
        <v>1121</v>
      </c>
      <c r="M314" t="s">
        <v>1029</v>
      </c>
      <c r="N314" t="s">
        <v>1122</v>
      </c>
      <c r="O314" t="s">
        <v>994</v>
      </c>
      <c r="P314" t="s">
        <v>1124</v>
      </c>
      <c r="Q314" t="b">
        <v>1</v>
      </c>
      <c r="R314" t="b">
        <v>0</v>
      </c>
      <c r="S314" t="s">
        <v>1097</v>
      </c>
      <c r="T314" t="s">
        <v>994</v>
      </c>
      <c r="U314" t="s">
        <v>1061</v>
      </c>
      <c r="V314" t="s">
        <v>997</v>
      </c>
      <c r="W314" t="s">
        <v>1035</v>
      </c>
      <c r="X314" t="s">
        <v>1697</v>
      </c>
    </row>
    <row r="315" spans="1:24" x14ac:dyDescent="0.25">
      <c r="A315" t="s">
        <v>42</v>
      </c>
      <c r="B315" t="s">
        <v>1722</v>
      </c>
      <c r="C315" t="s">
        <v>346</v>
      </c>
      <c r="E315" t="s">
        <v>992</v>
      </c>
      <c r="F315">
        <v>15208</v>
      </c>
      <c r="G315" t="s">
        <v>1052</v>
      </c>
      <c r="H315" t="s">
        <v>1723</v>
      </c>
      <c r="I315" t="s">
        <v>1724</v>
      </c>
      <c r="J315" t="s">
        <v>1401</v>
      </c>
      <c r="K315" t="s">
        <v>1027</v>
      </c>
      <c r="L315" t="s">
        <v>1028</v>
      </c>
      <c r="M315" t="s">
        <v>1029</v>
      </c>
      <c r="N315" t="s">
        <v>1030</v>
      </c>
      <c r="O315" t="s">
        <v>994</v>
      </c>
      <c r="P315" t="s">
        <v>1032</v>
      </c>
      <c r="Q315" t="b">
        <v>1</v>
      </c>
      <c r="R315" t="b">
        <v>0</v>
      </c>
      <c r="S315" t="s">
        <v>1097</v>
      </c>
      <c r="T315" t="s">
        <v>994</v>
      </c>
      <c r="U315" t="s">
        <v>1061</v>
      </c>
      <c r="V315" t="s">
        <v>997</v>
      </c>
      <c r="W315" t="s">
        <v>1035</v>
      </c>
      <c r="X315" t="s">
        <v>1725</v>
      </c>
    </row>
    <row r="316" spans="1:24" x14ac:dyDescent="0.25">
      <c r="A316" t="s">
        <v>42</v>
      </c>
      <c r="B316" t="s">
        <v>1726</v>
      </c>
      <c r="C316" t="s">
        <v>346</v>
      </c>
      <c r="E316" t="s">
        <v>1000</v>
      </c>
      <c r="F316">
        <v>15159</v>
      </c>
      <c r="G316" t="s">
        <v>1052</v>
      </c>
      <c r="H316" t="s">
        <v>1727</v>
      </c>
      <c r="I316" t="s">
        <v>1724</v>
      </c>
      <c r="J316" t="s">
        <v>1401</v>
      </c>
      <c r="K316" t="s">
        <v>1039</v>
      </c>
      <c r="L316" t="s">
        <v>1040</v>
      </c>
      <c r="M316" t="s">
        <v>1029</v>
      </c>
      <c r="N316" t="s">
        <v>1041</v>
      </c>
      <c r="O316" t="s">
        <v>994</v>
      </c>
      <c r="P316" t="s">
        <v>1043</v>
      </c>
      <c r="Q316" t="b">
        <v>1</v>
      </c>
      <c r="R316" t="b">
        <v>0</v>
      </c>
      <c r="S316" t="s">
        <v>1097</v>
      </c>
      <c r="T316" t="s">
        <v>994</v>
      </c>
      <c r="U316" t="s">
        <v>1061</v>
      </c>
      <c r="V316" t="s">
        <v>997</v>
      </c>
      <c r="W316" t="s">
        <v>1035</v>
      </c>
      <c r="X316" t="s">
        <v>1725</v>
      </c>
    </row>
    <row r="317" spans="1:24" x14ac:dyDescent="0.25">
      <c r="A317" t="s">
        <v>42</v>
      </c>
      <c r="B317" t="s">
        <v>1728</v>
      </c>
      <c r="C317" t="s">
        <v>346</v>
      </c>
      <c r="E317" t="s">
        <v>1002</v>
      </c>
      <c r="F317">
        <v>15314</v>
      </c>
      <c r="G317" t="s">
        <v>1052</v>
      </c>
      <c r="H317" t="s">
        <v>1729</v>
      </c>
      <c r="I317" t="s">
        <v>1724</v>
      </c>
      <c r="J317" t="s">
        <v>1401</v>
      </c>
      <c r="K317" t="s">
        <v>1046</v>
      </c>
      <c r="L317" t="s">
        <v>1047</v>
      </c>
      <c r="M317" t="s">
        <v>1029</v>
      </c>
      <c r="N317" t="s">
        <v>1048</v>
      </c>
      <c r="O317" t="s">
        <v>994</v>
      </c>
      <c r="P317" t="s">
        <v>1050</v>
      </c>
      <c r="Q317" t="b">
        <v>1</v>
      </c>
      <c r="R317" t="b">
        <v>0</v>
      </c>
      <c r="S317" t="s">
        <v>1097</v>
      </c>
      <c r="T317" t="s">
        <v>994</v>
      </c>
      <c r="U317" t="s">
        <v>1061</v>
      </c>
      <c r="V317" t="s">
        <v>997</v>
      </c>
      <c r="W317" t="s">
        <v>1035</v>
      </c>
      <c r="X317" t="s">
        <v>1725</v>
      </c>
    </row>
    <row r="318" spans="1:24" x14ac:dyDescent="0.25">
      <c r="A318" t="s">
        <v>42</v>
      </c>
      <c r="B318" t="s">
        <v>1730</v>
      </c>
      <c r="C318" t="s">
        <v>346</v>
      </c>
      <c r="E318" t="s">
        <v>1004</v>
      </c>
      <c r="F318">
        <v>14746</v>
      </c>
      <c r="G318" t="s">
        <v>1052</v>
      </c>
      <c r="H318" t="s">
        <v>1731</v>
      </c>
      <c r="I318" t="s">
        <v>1724</v>
      </c>
      <c r="J318" t="s">
        <v>1401</v>
      </c>
      <c r="K318" t="s">
        <v>1055</v>
      </c>
      <c r="L318" t="s">
        <v>1056</v>
      </c>
      <c r="M318" t="s">
        <v>1057</v>
      </c>
      <c r="N318" t="s">
        <v>1058</v>
      </c>
      <c r="O318" t="s">
        <v>994</v>
      </c>
      <c r="P318" t="s">
        <v>1059</v>
      </c>
      <c r="Q318" t="b">
        <v>1</v>
      </c>
      <c r="R318" t="b">
        <v>0</v>
      </c>
      <c r="S318" t="s">
        <v>1097</v>
      </c>
      <c r="T318" t="s">
        <v>994</v>
      </c>
      <c r="U318" t="s">
        <v>1061</v>
      </c>
      <c r="V318" t="s">
        <v>997</v>
      </c>
      <c r="W318" t="s">
        <v>1035</v>
      </c>
      <c r="X318" t="s">
        <v>1725</v>
      </c>
    </row>
    <row r="319" spans="1:24" x14ac:dyDescent="0.25">
      <c r="A319" t="s">
        <v>42</v>
      </c>
      <c r="B319" t="s">
        <v>1732</v>
      </c>
      <c r="C319" t="s">
        <v>346</v>
      </c>
      <c r="E319" t="s">
        <v>1006</v>
      </c>
      <c r="F319">
        <v>13672</v>
      </c>
      <c r="G319" t="s">
        <v>1052</v>
      </c>
      <c r="H319" t="s">
        <v>1733</v>
      </c>
      <c r="I319" t="s">
        <v>1724</v>
      </c>
      <c r="J319" t="s">
        <v>1401</v>
      </c>
      <c r="K319" t="s">
        <v>1065</v>
      </c>
      <c r="L319" t="s">
        <v>1066</v>
      </c>
      <c r="M319" t="s">
        <v>1029</v>
      </c>
      <c r="N319" t="s">
        <v>1067</v>
      </c>
      <c r="O319" t="s">
        <v>994</v>
      </c>
      <c r="P319" t="s">
        <v>1069</v>
      </c>
      <c r="Q319" t="b">
        <v>1</v>
      </c>
      <c r="R319" t="b">
        <v>0</v>
      </c>
      <c r="S319" t="s">
        <v>1097</v>
      </c>
      <c r="T319" t="s">
        <v>994</v>
      </c>
      <c r="U319" t="s">
        <v>1061</v>
      </c>
      <c r="V319" t="s">
        <v>997</v>
      </c>
      <c r="W319" t="s">
        <v>1035</v>
      </c>
      <c r="X319" t="s">
        <v>1725</v>
      </c>
    </row>
    <row r="320" spans="1:24" x14ac:dyDescent="0.25">
      <c r="A320" t="s">
        <v>42</v>
      </c>
      <c r="B320" t="s">
        <v>1734</v>
      </c>
      <c r="C320" t="s">
        <v>346</v>
      </c>
      <c r="E320" t="s">
        <v>1008</v>
      </c>
      <c r="F320">
        <v>14280</v>
      </c>
      <c r="G320" t="s">
        <v>1052</v>
      </c>
      <c r="H320" t="s">
        <v>1735</v>
      </c>
      <c r="I320" t="s">
        <v>1724</v>
      </c>
      <c r="J320" t="s">
        <v>1401</v>
      </c>
      <c r="K320" t="s">
        <v>1072</v>
      </c>
      <c r="L320" t="s">
        <v>1073</v>
      </c>
      <c r="M320" t="s">
        <v>1029</v>
      </c>
      <c r="N320" t="s">
        <v>1074</v>
      </c>
      <c r="O320" t="s">
        <v>994</v>
      </c>
      <c r="P320" t="s">
        <v>1076</v>
      </c>
      <c r="Q320" t="b">
        <v>1</v>
      </c>
      <c r="R320" t="b">
        <v>0</v>
      </c>
      <c r="S320" t="s">
        <v>1097</v>
      </c>
      <c r="T320" t="s">
        <v>994</v>
      </c>
      <c r="U320" t="s">
        <v>1061</v>
      </c>
      <c r="V320" t="s">
        <v>997</v>
      </c>
      <c r="W320" t="s">
        <v>1035</v>
      </c>
      <c r="X320" t="s">
        <v>1725</v>
      </c>
    </row>
    <row r="321" spans="1:24" x14ac:dyDescent="0.25">
      <c r="A321" t="s">
        <v>42</v>
      </c>
      <c r="B321" t="s">
        <v>1736</v>
      </c>
      <c r="C321" t="s">
        <v>346</v>
      </c>
      <c r="E321" t="s">
        <v>1010</v>
      </c>
      <c r="F321">
        <v>14785</v>
      </c>
      <c r="G321" t="s">
        <v>1052</v>
      </c>
      <c r="H321" t="s">
        <v>1737</v>
      </c>
      <c r="I321" t="s">
        <v>1724</v>
      </c>
      <c r="J321" t="s">
        <v>1401</v>
      </c>
      <c r="K321" t="s">
        <v>1079</v>
      </c>
      <c r="L321" t="s">
        <v>1080</v>
      </c>
      <c r="M321" t="s">
        <v>1029</v>
      </c>
      <c r="N321" t="s">
        <v>1081</v>
      </c>
      <c r="O321" t="s">
        <v>994</v>
      </c>
      <c r="P321" t="s">
        <v>1083</v>
      </c>
      <c r="Q321" t="b">
        <v>1</v>
      </c>
      <c r="R321" t="b">
        <v>0</v>
      </c>
      <c r="S321" t="s">
        <v>1097</v>
      </c>
      <c r="T321" t="s">
        <v>994</v>
      </c>
      <c r="U321" t="s">
        <v>1061</v>
      </c>
      <c r="V321" t="s">
        <v>997</v>
      </c>
      <c r="W321" t="s">
        <v>1035</v>
      </c>
      <c r="X321" t="s">
        <v>1725</v>
      </c>
    </row>
    <row r="322" spans="1:24" x14ac:dyDescent="0.25">
      <c r="A322" t="s">
        <v>42</v>
      </c>
      <c r="B322" t="s">
        <v>1738</v>
      </c>
      <c r="C322" t="s">
        <v>346</v>
      </c>
      <c r="E322" t="s">
        <v>1012</v>
      </c>
      <c r="F322">
        <v>11882</v>
      </c>
      <c r="G322" t="s">
        <v>1052</v>
      </c>
      <c r="H322" t="s">
        <v>1739</v>
      </c>
      <c r="I322" t="s">
        <v>1740</v>
      </c>
      <c r="J322" t="s">
        <v>1401</v>
      </c>
      <c r="K322" t="s">
        <v>1086</v>
      </c>
      <c r="L322" t="s">
        <v>1087</v>
      </c>
      <c r="M322" t="s">
        <v>1057</v>
      </c>
      <c r="N322" t="s">
        <v>1088</v>
      </c>
      <c r="O322" t="s">
        <v>994</v>
      </c>
      <c r="P322" t="s">
        <v>1089</v>
      </c>
      <c r="Q322" t="b">
        <v>1</v>
      </c>
      <c r="R322" t="b">
        <v>0</v>
      </c>
      <c r="S322" t="s">
        <v>1097</v>
      </c>
      <c r="T322" t="s">
        <v>994</v>
      </c>
      <c r="U322" t="s">
        <v>1061</v>
      </c>
      <c r="V322" t="s">
        <v>997</v>
      </c>
      <c r="W322" t="s">
        <v>1035</v>
      </c>
      <c r="X322" t="s">
        <v>1741</v>
      </c>
    </row>
    <row r="323" spans="1:24" x14ac:dyDescent="0.25">
      <c r="A323" t="s">
        <v>42</v>
      </c>
      <c r="B323" t="s">
        <v>1742</v>
      </c>
      <c r="C323" t="s">
        <v>346</v>
      </c>
      <c r="D323" t="s">
        <v>994</v>
      </c>
      <c r="E323" t="s">
        <v>1014</v>
      </c>
      <c r="F323">
        <v>11886</v>
      </c>
      <c r="G323" t="s">
        <v>1126</v>
      </c>
      <c r="H323" t="s">
        <v>1743</v>
      </c>
      <c r="I323" t="s">
        <v>1740</v>
      </c>
      <c r="J323" t="s">
        <v>1401</v>
      </c>
      <c r="K323" t="s">
        <v>1092</v>
      </c>
      <c r="L323" t="s">
        <v>1093</v>
      </c>
      <c r="M323" t="s">
        <v>1029</v>
      </c>
      <c r="N323" t="s">
        <v>1094</v>
      </c>
      <c r="O323" t="s">
        <v>994</v>
      </c>
      <c r="P323" t="s">
        <v>1096</v>
      </c>
      <c r="Q323" t="b">
        <v>1</v>
      </c>
      <c r="R323" t="b">
        <v>0</v>
      </c>
      <c r="S323" t="s">
        <v>1033</v>
      </c>
      <c r="T323" t="s">
        <v>994</v>
      </c>
      <c r="U323" t="s">
        <v>1034</v>
      </c>
      <c r="V323" t="s">
        <v>997</v>
      </c>
      <c r="W323" t="s">
        <v>1035</v>
      </c>
      <c r="X323" t="s">
        <v>1741</v>
      </c>
    </row>
    <row r="324" spans="1:24" x14ac:dyDescent="0.25">
      <c r="A324" t="s">
        <v>42</v>
      </c>
      <c r="B324" t="s">
        <v>1744</v>
      </c>
      <c r="C324" t="s">
        <v>346</v>
      </c>
      <c r="D324" t="s">
        <v>994</v>
      </c>
      <c r="E324" t="s">
        <v>1016</v>
      </c>
      <c r="F324">
        <v>24607</v>
      </c>
      <c r="G324" t="s">
        <v>1126</v>
      </c>
      <c r="H324" t="s">
        <v>1745</v>
      </c>
      <c r="I324" t="s">
        <v>1740</v>
      </c>
      <c r="J324" t="s">
        <v>1401</v>
      </c>
      <c r="K324" t="s">
        <v>1100</v>
      </c>
      <c r="L324" t="s">
        <v>1101</v>
      </c>
      <c r="M324" t="s">
        <v>1029</v>
      </c>
      <c r="N324" t="s">
        <v>1102</v>
      </c>
      <c r="O324" t="s">
        <v>994</v>
      </c>
      <c r="P324" t="s">
        <v>1104</v>
      </c>
      <c r="Q324" t="b">
        <v>1</v>
      </c>
      <c r="R324" t="b">
        <v>0</v>
      </c>
      <c r="S324" t="s">
        <v>1033</v>
      </c>
      <c r="T324" t="s">
        <v>994</v>
      </c>
      <c r="U324" t="s">
        <v>1034</v>
      </c>
      <c r="V324" t="s">
        <v>997</v>
      </c>
      <c r="W324" t="s">
        <v>1035</v>
      </c>
      <c r="X324" t="s">
        <v>1741</v>
      </c>
    </row>
    <row r="325" spans="1:24" x14ac:dyDescent="0.25">
      <c r="A325" t="s">
        <v>42</v>
      </c>
      <c r="B325" t="s">
        <v>1746</v>
      </c>
      <c r="C325" t="s">
        <v>346</v>
      </c>
      <c r="D325" t="s">
        <v>994</v>
      </c>
      <c r="E325" t="s">
        <v>1018</v>
      </c>
      <c r="F325">
        <v>23602</v>
      </c>
      <c r="G325" t="s">
        <v>1126</v>
      </c>
      <c r="H325" t="s">
        <v>1747</v>
      </c>
      <c r="I325" t="s">
        <v>1740</v>
      </c>
      <c r="J325" t="s">
        <v>1401</v>
      </c>
      <c r="K325" t="s">
        <v>1107</v>
      </c>
      <c r="L325" t="s">
        <v>1108</v>
      </c>
      <c r="M325" t="s">
        <v>1029</v>
      </c>
      <c r="N325" t="s">
        <v>1109</v>
      </c>
      <c r="O325" t="s">
        <v>994</v>
      </c>
      <c r="P325" t="s">
        <v>1111</v>
      </c>
      <c r="Q325" t="b">
        <v>1</v>
      </c>
      <c r="R325" t="b">
        <v>0</v>
      </c>
      <c r="S325" t="s">
        <v>1033</v>
      </c>
      <c r="T325" t="s">
        <v>994</v>
      </c>
      <c r="U325" t="s">
        <v>1034</v>
      </c>
      <c r="V325" t="s">
        <v>997</v>
      </c>
      <c r="W325" t="s">
        <v>1035</v>
      </c>
      <c r="X325" t="s">
        <v>1741</v>
      </c>
    </row>
    <row r="326" spans="1:24" x14ac:dyDescent="0.25">
      <c r="A326" t="s">
        <v>42</v>
      </c>
      <c r="B326" t="s">
        <v>1748</v>
      </c>
      <c r="C326" t="s">
        <v>346</v>
      </c>
      <c r="D326" t="s">
        <v>994</v>
      </c>
      <c r="E326" t="s">
        <v>1020</v>
      </c>
      <c r="F326">
        <v>48543</v>
      </c>
      <c r="G326" t="s">
        <v>1126</v>
      </c>
      <c r="H326" t="s">
        <v>1749</v>
      </c>
      <c r="I326" t="s">
        <v>1740</v>
      </c>
      <c r="J326" t="s">
        <v>1401</v>
      </c>
      <c r="K326" t="s">
        <v>1114</v>
      </c>
      <c r="L326" t="s">
        <v>1115</v>
      </c>
      <c r="M326" t="s">
        <v>1057</v>
      </c>
      <c r="N326" t="s">
        <v>1116</v>
      </c>
      <c r="O326" t="s">
        <v>994</v>
      </c>
      <c r="P326" t="s">
        <v>1117</v>
      </c>
      <c r="Q326" t="b">
        <v>1</v>
      </c>
      <c r="R326" t="b">
        <v>0</v>
      </c>
      <c r="S326" t="s">
        <v>1033</v>
      </c>
      <c r="T326" t="s">
        <v>994</v>
      </c>
      <c r="U326" t="s">
        <v>1034</v>
      </c>
      <c r="V326" t="s">
        <v>997</v>
      </c>
      <c r="W326" t="s">
        <v>1035</v>
      </c>
      <c r="X326" t="s">
        <v>1741</v>
      </c>
    </row>
    <row r="327" spans="1:24" x14ac:dyDescent="0.25">
      <c r="A327" t="s">
        <v>42</v>
      </c>
      <c r="B327" t="s">
        <v>1750</v>
      </c>
      <c r="C327" t="s">
        <v>346</v>
      </c>
      <c r="E327" t="s">
        <v>1022</v>
      </c>
      <c r="F327">
        <v>79499</v>
      </c>
      <c r="G327" t="s">
        <v>1052</v>
      </c>
      <c r="H327" t="s">
        <v>1751</v>
      </c>
      <c r="I327" t="s">
        <v>1740</v>
      </c>
      <c r="J327" t="s">
        <v>1401</v>
      </c>
      <c r="K327" t="s">
        <v>1120</v>
      </c>
      <c r="L327" t="s">
        <v>1121</v>
      </c>
      <c r="M327" t="s">
        <v>1029</v>
      </c>
      <c r="N327" t="s">
        <v>1122</v>
      </c>
      <c r="O327" t="s">
        <v>994</v>
      </c>
      <c r="P327" t="s">
        <v>1124</v>
      </c>
      <c r="Q327" t="b">
        <v>1</v>
      </c>
      <c r="R327" t="b">
        <v>0</v>
      </c>
      <c r="S327" t="s">
        <v>1097</v>
      </c>
      <c r="T327" t="s">
        <v>994</v>
      </c>
      <c r="U327" t="s">
        <v>1061</v>
      </c>
      <c r="V327" t="s">
        <v>997</v>
      </c>
      <c r="W327" t="s">
        <v>1035</v>
      </c>
      <c r="X327" t="s">
        <v>1741</v>
      </c>
    </row>
    <row r="328" spans="1:24" x14ac:dyDescent="0.25">
      <c r="A328" t="s">
        <v>42</v>
      </c>
      <c r="B328" t="s">
        <v>1752</v>
      </c>
      <c r="C328" t="s">
        <v>347</v>
      </c>
      <c r="D328" t="s">
        <v>994</v>
      </c>
      <c r="E328" t="s">
        <v>992</v>
      </c>
      <c r="F328">
        <v>542</v>
      </c>
      <c r="G328" t="s">
        <v>1126</v>
      </c>
      <c r="H328" t="s">
        <v>1753</v>
      </c>
      <c r="I328" t="s">
        <v>1754</v>
      </c>
      <c r="J328" t="s">
        <v>1401</v>
      </c>
      <c r="K328" t="s">
        <v>1027</v>
      </c>
      <c r="L328" t="s">
        <v>1028</v>
      </c>
      <c r="M328" t="s">
        <v>1029</v>
      </c>
      <c r="N328" t="s">
        <v>1030</v>
      </c>
      <c r="O328" t="s">
        <v>994</v>
      </c>
      <c r="P328" t="s">
        <v>1032</v>
      </c>
      <c r="Q328" t="b">
        <v>1</v>
      </c>
      <c r="R328" t="b">
        <v>0</v>
      </c>
      <c r="S328" t="s">
        <v>1033</v>
      </c>
      <c r="T328" t="s">
        <v>994</v>
      </c>
      <c r="U328" t="s">
        <v>1034</v>
      </c>
      <c r="V328" t="s">
        <v>997</v>
      </c>
      <c r="W328" t="s">
        <v>1035</v>
      </c>
      <c r="X328" t="s">
        <v>1755</v>
      </c>
    </row>
    <row r="329" spans="1:24" x14ac:dyDescent="0.25">
      <c r="A329" t="s">
        <v>42</v>
      </c>
      <c r="B329" t="s">
        <v>1756</v>
      </c>
      <c r="C329" t="s">
        <v>347</v>
      </c>
      <c r="D329" t="s">
        <v>994</v>
      </c>
      <c r="E329" t="s">
        <v>1000</v>
      </c>
      <c r="F329">
        <v>558</v>
      </c>
      <c r="G329" t="s">
        <v>1126</v>
      </c>
      <c r="H329" t="s">
        <v>1757</v>
      </c>
      <c r="I329" t="s">
        <v>1754</v>
      </c>
      <c r="J329" t="s">
        <v>1401</v>
      </c>
      <c r="K329" t="s">
        <v>1039</v>
      </c>
      <c r="L329" t="s">
        <v>1040</v>
      </c>
      <c r="M329" t="s">
        <v>1029</v>
      </c>
      <c r="N329" t="s">
        <v>1041</v>
      </c>
      <c r="O329" t="s">
        <v>994</v>
      </c>
      <c r="P329" t="s">
        <v>1043</v>
      </c>
      <c r="Q329" t="b">
        <v>1</v>
      </c>
      <c r="R329" t="b">
        <v>0</v>
      </c>
      <c r="S329" t="s">
        <v>1033</v>
      </c>
      <c r="T329" t="s">
        <v>994</v>
      </c>
      <c r="U329" t="s">
        <v>1034</v>
      </c>
      <c r="V329" t="s">
        <v>997</v>
      </c>
      <c r="W329" t="s">
        <v>1035</v>
      </c>
      <c r="X329" t="s">
        <v>1755</v>
      </c>
    </row>
    <row r="330" spans="1:24" x14ac:dyDescent="0.25">
      <c r="A330" t="s">
        <v>42</v>
      </c>
      <c r="B330" t="s">
        <v>1758</v>
      </c>
      <c r="C330" t="s">
        <v>347</v>
      </c>
      <c r="D330" t="s">
        <v>994</v>
      </c>
      <c r="E330" t="s">
        <v>1002</v>
      </c>
      <c r="F330">
        <v>528</v>
      </c>
      <c r="G330" t="s">
        <v>1126</v>
      </c>
      <c r="H330" t="s">
        <v>1759</v>
      </c>
      <c r="I330" t="s">
        <v>1754</v>
      </c>
      <c r="J330" t="s">
        <v>1401</v>
      </c>
      <c r="K330" t="s">
        <v>1046</v>
      </c>
      <c r="L330" t="s">
        <v>1047</v>
      </c>
      <c r="M330" t="s">
        <v>1029</v>
      </c>
      <c r="N330" t="s">
        <v>1048</v>
      </c>
      <c r="O330" t="s">
        <v>994</v>
      </c>
      <c r="P330" t="s">
        <v>1050</v>
      </c>
      <c r="Q330" t="b">
        <v>1</v>
      </c>
      <c r="R330" t="b">
        <v>0</v>
      </c>
      <c r="S330" t="s">
        <v>1033</v>
      </c>
      <c r="T330" t="s">
        <v>994</v>
      </c>
      <c r="U330" t="s">
        <v>1034</v>
      </c>
      <c r="V330" t="s">
        <v>997</v>
      </c>
      <c r="W330" t="s">
        <v>1035</v>
      </c>
      <c r="X330" t="s">
        <v>1755</v>
      </c>
    </row>
    <row r="331" spans="1:24" x14ac:dyDescent="0.25">
      <c r="A331" t="s">
        <v>42</v>
      </c>
      <c r="B331" t="s">
        <v>1760</v>
      </c>
      <c r="C331" t="s">
        <v>347</v>
      </c>
      <c r="D331" t="s">
        <v>994</v>
      </c>
      <c r="E331" t="s">
        <v>1004</v>
      </c>
      <c r="F331">
        <v>485</v>
      </c>
      <c r="G331" t="s">
        <v>1126</v>
      </c>
      <c r="H331" t="s">
        <v>1761</v>
      </c>
      <c r="I331" t="s">
        <v>1754</v>
      </c>
      <c r="J331" t="s">
        <v>1401</v>
      </c>
      <c r="K331" t="s">
        <v>1055</v>
      </c>
      <c r="L331" t="s">
        <v>1056</v>
      </c>
      <c r="M331" t="s">
        <v>1057</v>
      </c>
      <c r="N331" t="s">
        <v>1058</v>
      </c>
      <c r="O331" t="s">
        <v>994</v>
      </c>
      <c r="P331" t="s">
        <v>1059</v>
      </c>
      <c r="Q331" t="b">
        <v>1</v>
      </c>
      <c r="R331" t="b">
        <v>0</v>
      </c>
      <c r="S331" t="s">
        <v>1033</v>
      </c>
      <c r="T331" t="s">
        <v>994</v>
      </c>
      <c r="U331" t="s">
        <v>1034</v>
      </c>
      <c r="V331" t="s">
        <v>997</v>
      </c>
      <c r="W331" t="s">
        <v>1035</v>
      </c>
      <c r="X331" t="s">
        <v>1755</v>
      </c>
    </row>
    <row r="332" spans="1:24" x14ac:dyDescent="0.25">
      <c r="A332" t="s">
        <v>42</v>
      </c>
      <c r="B332" t="s">
        <v>1762</v>
      </c>
      <c r="C332" t="s">
        <v>347</v>
      </c>
      <c r="D332" t="s">
        <v>994</v>
      </c>
      <c r="E332" t="s">
        <v>1006</v>
      </c>
      <c r="F332">
        <v>486</v>
      </c>
      <c r="G332" t="s">
        <v>1126</v>
      </c>
      <c r="H332" t="s">
        <v>1763</v>
      </c>
      <c r="I332" t="s">
        <v>1754</v>
      </c>
      <c r="J332" t="s">
        <v>1401</v>
      </c>
      <c r="K332" t="s">
        <v>1065</v>
      </c>
      <c r="L332" t="s">
        <v>1066</v>
      </c>
      <c r="M332" t="s">
        <v>1029</v>
      </c>
      <c r="N332" t="s">
        <v>1067</v>
      </c>
      <c r="O332" t="s">
        <v>994</v>
      </c>
      <c r="P332" t="s">
        <v>1069</v>
      </c>
      <c r="Q332" t="b">
        <v>1</v>
      </c>
      <c r="R332" t="b">
        <v>0</v>
      </c>
      <c r="S332" t="s">
        <v>1033</v>
      </c>
      <c r="T332" t="s">
        <v>994</v>
      </c>
      <c r="U332" t="s">
        <v>1034</v>
      </c>
      <c r="V332" t="s">
        <v>997</v>
      </c>
      <c r="W332" t="s">
        <v>1035</v>
      </c>
      <c r="X332" t="s">
        <v>1755</v>
      </c>
    </row>
    <row r="333" spans="1:24" x14ac:dyDescent="0.25">
      <c r="A333" t="s">
        <v>42</v>
      </c>
      <c r="B333" t="s">
        <v>1764</v>
      </c>
      <c r="C333" t="s">
        <v>347</v>
      </c>
      <c r="D333" t="s">
        <v>994</v>
      </c>
      <c r="E333" t="s">
        <v>1008</v>
      </c>
      <c r="F333">
        <v>717</v>
      </c>
      <c r="G333" t="s">
        <v>1126</v>
      </c>
      <c r="H333" t="s">
        <v>1765</v>
      </c>
      <c r="I333" t="s">
        <v>1754</v>
      </c>
      <c r="J333" t="s">
        <v>1401</v>
      </c>
      <c r="K333" t="s">
        <v>1072</v>
      </c>
      <c r="L333" t="s">
        <v>1073</v>
      </c>
      <c r="M333" t="s">
        <v>1029</v>
      </c>
      <c r="N333" t="s">
        <v>1074</v>
      </c>
      <c r="O333" t="s">
        <v>994</v>
      </c>
      <c r="P333" t="s">
        <v>1076</v>
      </c>
      <c r="Q333" t="b">
        <v>1</v>
      </c>
      <c r="R333" t="b">
        <v>0</v>
      </c>
      <c r="S333" t="s">
        <v>1033</v>
      </c>
      <c r="T333" t="s">
        <v>994</v>
      </c>
      <c r="U333" t="s">
        <v>1034</v>
      </c>
      <c r="V333" t="s">
        <v>997</v>
      </c>
      <c r="W333" t="s">
        <v>1035</v>
      </c>
      <c r="X333" t="s">
        <v>1755</v>
      </c>
    </row>
    <row r="334" spans="1:24" x14ac:dyDescent="0.25">
      <c r="A334" t="s">
        <v>42</v>
      </c>
      <c r="B334" t="s">
        <v>1766</v>
      </c>
      <c r="C334" t="s">
        <v>347</v>
      </c>
      <c r="D334" t="s">
        <v>994</v>
      </c>
      <c r="E334" t="s">
        <v>1010</v>
      </c>
      <c r="F334">
        <v>706</v>
      </c>
      <c r="G334" t="s">
        <v>1126</v>
      </c>
      <c r="H334" t="s">
        <v>1767</v>
      </c>
      <c r="I334" t="s">
        <v>1754</v>
      </c>
      <c r="J334" t="s">
        <v>1401</v>
      </c>
      <c r="K334" t="s">
        <v>1079</v>
      </c>
      <c r="L334" t="s">
        <v>1080</v>
      </c>
      <c r="M334" t="s">
        <v>1029</v>
      </c>
      <c r="N334" t="s">
        <v>1081</v>
      </c>
      <c r="O334" t="s">
        <v>994</v>
      </c>
      <c r="P334" t="s">
        <v>1083</v>
      </c>
      <c r="Q334" t="b">
        <v>1</v>
      </c>
      <c r="R334" t="b">
        <v>0</v>
      </c>
      <c r="S334" t="s">
        <v>1033</v>
      </c>
      <c r="T334" t="s">
        <v>994</v>
      </c>
      <c r="U334" t="s">
        <v>1034</v>
      </c>
      <c r="V334" t="s">
        <v>997</v>
      </c>
      <c r="W334" t="s">
        <v>1035</v>
      </c>
      <c r="X334" t="s">
        <v>1755</v>
      </c>
    </row>
    <row r="335" spans="1:24" x14ac:dyDescent="0.25">
      <c r="A335" t="s">
        <v>42</v>
      </c>
      <c r="B335" t="s">
        <v>1768</v>
      </c>
      <c r="C335" t="s">
        <v>347</v>
      </c>
      <c r="D335" t="s">
        <v>994</v>
      </c>
      <c r="E335" t="s">
        <v>1012</v>
      </c>
      <c r="F335">
        <v>0</v>
      </c>
      <c r="G335" t="s">
        <v>1126</v>
      </c>
      <c r="H335" t="s">
        <v>1769</v>
      </c>
      <c r="I335" t="s">
        <v>1770</v>
      </c>
      <c r="J335" t="s">
        <v>1401</v>
      </c>
      <c r="K335" t="s">
        <v>994</v>
      </c>
      <c r="L335" t="s">
        <v>994</v>
      </c>
      <c r="M335" t="s">
        <v>994</v>
      </c>
      <c r="N335" t="s">
        <v>994</v>
      </c>
      <c r="O335" t="s">
        <v>994</v>
      </c>
      <c r="P335" t="s">
        <v>994</v>
      </c>
      <c r="Q335" t="b">
        <v>1</v>
      </c>
      <c r="R335" t="b">
        <v>0</v>
      </c>
      <c r="S335" t="s">
        <v>1033</v>
      </c>
      <c r="T335" t="s">
        <v>994</v>
      </c>
      <c r="U335" t="s">
        <v>1034</v>
      </c>
      <c r="V335" t="s">
        <v>1062</v>
      </c>
      <c r="W335" t="s">
        <v>1187</v>
      </c>
      <c r="X335" t="s">
        <v>994</v>
      </c>
    </row>
    <row r="336" spans="1:24" x14ac:dyDescent="0.25">
      <c r="A336" t="s">
        <v>42</v>
      </c>
      <c r="B336" t="s">
        <v>1771</v>
      </c>
      <c r="C336" t="s">
        <v>347</v>
      </c>
      <c r="D336" t="s">
        <v>994</v>
      </c>
      <c r="E336" t="s">
        <v>1014</v>
      </c>
      <c r="F336">
        <v>0</v>
      </c>
      <c r="G336" t="s">
        <v>1126</v>
      </c>
      <c r="H336" t="s">
        <v>1769</v>
      </c>
      <c r="I336" t="s">
        <v>1770</v>
      </c>
      <c r="J336" t="s">
        <v>1401</v>
      </c>
      <c r="K336" t="s">
        <v>994</v>
      </c>
      <c r="L336" t="s">
        <v>994</v>
      </c>
      <c r="M336" t="s">
        <v>994</v>
      </c>
      <c r="N336" t="s">
        <v>994</v>
      </c>
      <c r="O336" t="s">
        <v>994</v>
      </c>
      <c r="P336" t="s">
        <v>994</v>
      </c>
      <c r="Q336" t="b">
        <v>1</v>
      </c>
      <c r="R336" t="b">
        <v>0</v>
      </c>
      <c r="S336" t="s">
        <v>1033</v>
      </c>
      <c r="T336" t="s">
        <v>994</v>
      </c>
      <c r="U336" t="s">
        <v>1034</v>
      </c>
      <c r="V336" t="s">
        <v>1062</v>
      </c>
      <c r="W336" t="s">
        <v>1187</v>
      </c>
      <c r="X336" t="s">
        <v>994</v>
      </c>
    </row>
    <row r="337" spans="1:24" x14ac:dyDescent="0.25">
      <c r="A337" t="s">
        <v>42</v>
      </c>
      <c r="B337" t="s">
        <v>1772</v>
      </c>
      <c r="C337" t="s">
        <v>347</v>
      </c>
      <c r="D337" t="s">
        <v>994</v>
      </c>
      <c r="E337" t="s">
        <v>1016</v>
      </c>
      <c r="F337">
        <v>0</v>
      </c>
      <c r="G337" t="s">
        <v>1126</v>
      </c>
      <c r="H337" t="s">
        <v>1769</v>
      </c>
      <c r="I337" t="s">
        <v>1770</v>
      </c>
      <c r="J337" t="s">
        <v>1401</v>
      </c>
      <c r="K337" t="s">
        <v>994</v>
      </c>
      <c r="L337" t="s">
        <v>994</v>
      </c>
      <c r="M337" t="s">
        <v>994</v>
      </c>
      <c r="N337" t="s">
        <v>994</v>
      </c>
      <c r="O337" t="s">
        <v>994</v>
      </c>
      <c r="P337" t="s">
        <v>994</v>
      </c>
      <c r="Q337" t="b">
        <v>1</v>
      </c>
      <c r="R337" t="b">
        <v>0</v>
      </c>
      <c r="S337" t="s">
        <v>1033</v>
      </c>
      <c r="T337" t="s">
        <v>994</v>
      </c>
      <c r="U337" t="s">
        <v>1034</v>
      </c>
      <c r="V337" t="s">
        <v>1062</v>
      </c>
      <c r="W337" t="s">
        <v>1187</v>
      </c>
      <c r="X337" t="s">
        <v>994</v>
      </c>
    </row>
    <row r="338" spans="1:24" x14ac:dyDescent="0.25">
      <c r="A338" t="s">
        <v>42</v>
      </c>
      <c r="B338" t="s">
        <v>1773</v>
      </c>
      <c r="C338" t="s">
        <v>347</v>
      </c>
      <c r="D338" t="s">
        <v>994</v>
      </c>
      <c r="E338" t="s">
        <v>1018</v>
      </c>
      <c r="F338">
        <v>0</v>
      </c>
      <c r="G338" t="s">
        <v>1126</v>
      </c>
      <c r="H338" t="s">
        <v>1769</v>
      </c>
      <c r="I338" t="s">
        <v>1770</v>
      </c>
      <c r="J338" t="s">
        <v>1401</v>
      </c>
      <c r="K338" t="s">
        <v>994</v>
      </c>
      <c r="L338" t="s">
        <v>994</v>
      </c>
      <c r="M338" t="s">
        <v>994</v>
      </c>
      <c r="N338" t="s">
        <v>994</v>
      </c>
      <c r="O338" t="s">
        <v>994</v>
      </c>
      <c r="P338" t="s">
        <v>994</v>
      </c>
      <c r="Q338" t="b">
        <v>1</v>
      </c>
      <c r="R338" t="b">
        <v>0</v>
      </c>
      <c r="S338" t="s">
        <v>1033</v>
      </c>
      <c r="T338" t="s">
        <v>994</v>
      </c>
      <c r="U338" t="s">
        <v>1034</v>
      </c>
      <c r="V338" t="s">
        <v>1062</v>
      </c>
      <c r="W338" t="s">
        <v>1187</v>
      </c>
      <c r="X338" t="s">
        <v>994</v>
      </c>
    </row>
    <row r="339" spans="1:24" x14ac:dyDescent="0.25">
      <c r="A339" t="s">
        <v>42</v>
      </c>
      <c r="B339" t="s">
        <v>1774</v>
      </c>
      <c r="C339" t="s">
        <v>347</v>
      </c>
      <c r="D339" t="s">
        <v>994</v>
      </c>
      <c r="E339" t="s">
        <v>1020</v>
      </c>
      <c r="F339">
        <v>0</v>
      </c>
      <c r="G339" t="s">
        <v>1126</v>
      </c>
      <c r="H339" t="s">
        <v>1769</v>
      </c>
      <c r="I339" t="s">
        <v>1770</v>
      </c>
      <c r="J339" t="s">
        <v>1401</v>
      </c>
      <c r="K339" t="s">
        <v>994</v>
      </c>
      <c r="L339" t="s">
        <v>994</v>
      </c>
      <c r="M339" t="s">
        <v>994</v>
      </c>
      <c r="N339" t="s">
        <v>994</v>
      </c>
      <c r="O339" t="s">
        <v>994</v>
      </c>
      <c r="P339" t="s">
        <v>994</v>
      </c>
      <c r="Q339" t="b">
        <v>1</v>
      </c>
      <c r="R339" t="b">
        <v>0</v>
      </c>
      <c r="S339" t="s">
        <v>1033</v>
      </c>
      <c r="T339" t="s">
        <v>994</v>
      </c>
      <c r="U339" t="s">
        <v>1034</v>
      </c>
      <c r="V339" t="s">
        <v>1062</v>
      </c>
      <c r="W339" t="s">
        <v>1187</v>
      </c>
      <c r="X339" t="s">
        <v>994</v>
      </c>
    </row>
    <row r="340" spans="1:24" x14ac:dyDescent="0.25">
      <c r="A340" t="s">
        <v>42</v>
      </c>
      <c r="B340" t="s">
        <v>1775</v>
      </c>
      <c r="C340" t="s">
        <v>347</v>
      </c>
      <c r="D340" t="s">
        <v>994</v>
      </c>
      <c r="E340" t="s">
        <v>1022</v>
      </c>
      <c r="F340">
        <v>0</v>
      </c>
      <c r="G340" t="s">
        <v>1126</v>
      </c>
      <c r="H340" t="s">
        <v>1769</v>
      </c>
      <c r="I340" t="s">
        <v>1770</v>
      </c>
      <c r="J340" t="s">
        <v>1401</v>
      </c>
      <c r="K340" t="s">
        <v>994</v>
      </c>
      <c r="L340" t="s">
        <v>994</v>
      </c>
      <c r="M340" t="s">
        <v>994</v>
      </c>
      <c r="N340" t="s">
        <v>994</v>
      </c>
      <c r="O340" t="s">
        <v>994</v>
      </c>
      <c r="P340" t="s">
        <v>994</v>
      </c>
      <c r="Q340" t="b">
        <v>1</v>
      </c>
      <c r="R340" t="b">
        <v>0</v>
      </c>
      <c r="S340" t="s">
        <v>1033</v>
      </c>
      <c r="T340" t="s">
        <v>994</v>
      </c>
      <c r="U340" t="s">
        <v>1034</v>
      </c>
      <c r="V340" t="s">
        <v>1062</v>
      </c>
      <c r="W340" t="s">
        <v>1187</v>
      </c>
      <c r="X340" t="s">
        <v>994</v>
      </c>
    </row>
    <row r="341" spans="1:24" x14ac:dyDescent="0.25">
      <c r="A341" t="s">
        <v>42</v>
      </c>
      <c r="B341" t="s">
        <v>1776</v>
      </c>
      <c r="C341" t="s">
        <v>348</v>
      </c>
      <c r="D341" t="s">
        <v>994</v>
      </c>
      <c r="E341" t="s">
        <v>992</v>
      </c>
      <c r="F341">
        <v>24992</v>
      </c>
      <c r="G341" t="s">
        <v>1428</v>
      </c>
      <c r="H341" t="s">
        <v>1777</v>
      </c>
      <c r="I341" t="s">
        <v>1778</v>
      </c>
      <c r="J341" t="s">
        <v>1401</v>
      </c>
      <c r="K341" t="s">
        <v>1027</v>
      </c>
      <c r="L341" t="s">
        <v>1028</v>
      </c>
      <c r="M341" t="s">
        <v>1029</v>
      </c>
      <c r="N341" t="s">
        <v>1030</v>
      </c>
      <c r="O341" t="s">
        <v>994</v>
      </c>
      <c r="P341" t="s">
        <v>1032</v>
      </c>
      <c r="Q341" t="b">
        <v>0</v>
      </c>
      <c r="R341" t="b">
        <v>1</v>
      </c>
      <c r="S341" t="s">
        <v>1591</v>
      </c>
      <c r="T341" t="s">
        <v>1779</v>
      </c>
      <c r="U341" t="s">
        <v>1432</v>
      </c>
      <c r="V341" t="s">
        <v>1433</v>
      </c>
      <c r="W341" t="s">
        <v>1780</v>
      </c>
      <c r="X341" t="s">
        <v>1781</v>
      </c>
    </row>
    <row r="342" spans="1:24" x14ac:dyDescent="0.25">
      <c r="A342" t="s">
        <v>42</v>
      </c>
      <c r="B342" t="s">
        <v>1782</v>
      </c>
      <c r="C342" t="s">
        <v>348</v>
      </c>
      <c r="D342" t="s">
        <v>994</v>
      </c>
      <c r="E342" t="s">
        <v>1000</v>
      </c>
      <c r="F342">
        <v>23476</v>
      </c>
      <c r="G342" t="s">
        <v>1428</v>
      </c>
      <c r="H342" t="s">
        <v>1783</v>
      </c>
      <c r="I342" t="s">
        <v>1778</v>
      </c>
      <c r="J342" t="s">
        <v>1401</v>
      </c>
      <c r="K342" t="s">
        <v>1039</v>
      </c>
      <c r="L342" t="s">
        <v>1040</v>
      </c>
      <c r="M342" t="s">
        <v>1029</v>
      </c>
      <c r="N342" t="s">
        <v>1041</v>
      </c>
      <c r="O342" t="s">
        <v>994</v>
      </c>
      <c r="P342" t="s">
        <v>1043</v>
      </c>
      <c r="Q342" t="b">
        <v>0</v>
      </c>
      <c r="R342" t="b">
        <v>1</v>
      </c>
      <c r="S342" t="s">
        <v>1591</v>
      </c>
      <c r="T342" t="s">
        <v>1779</v>
      </c>
      <c r="U342" t="s">
        <v>1432</v>
      </c>
      <c r="V342" t="s">
        <v>1433</v>
      </c>
      <c r="W342" t="s">
        <v>1780</v>
      </c>
      <c r="X342" t="s">
        <v>1781</v>
      </c>
    </row>
    <row r="343" spans="1:24" x14ac:dyDescent="0.25">
      <c r="A343" t="s">
        <v>42</v>
      </c>
      <c r="B343" t="s">
        <v>1784</v>
      </c>
      <c r="C343" t="s">
        <v>348</v>
      </c>
      <c r="D343" t="s">
        <v>994</v>
      </c>
      <c r="E343" t="s">
        <v>1002</v>
      </c>
      <c r="F343">
        <v>22372</v>
      </c>
      <c r="G343" t="s">
        <v>1428</v>
      </c>
      <c r="H343" t="s">
        <v>1785</v>
      </c>
      <c r="I343" t="s">
        <v>1778</v>
      </c>
      <c r="J343" t="s">
        <v>1401</v>
      </c>
      <c r="K343" t="s">
        <v>1046</v>
      </c>
      <c r="L343" t="s">
        <v>1047</v>
      </c>
      <c r="M343" t="s">
        <v>1029</v>
      </c>
      <c r="N343" t="s">
        <v>1048</v>
      </c>
      <c r="O343" t="s">
        <v>994</v>
      </c>
      <c r="P343" t="s">
        <v>1050</v>
      </c>
      <c r="Q343" t="b">
        <v>0</v>
      </c>
      <c r="R343" t="b">
        <v>1</v>
      </c>
      <c r="S343" t="s">
        <v>1591</v>
      </c>
      <c r="T343" t="s">
        <v>1779</v>
      </c>
      <c r="U343" t="s">
        <v>1432</v>
      </c>
      <c r="V343" t="s">
        <v>1433</v>
      </c>
      <c r="W343" t="s">
        <v>1780</v>
      </c>
      <c r="X343" t="s">
        <v>1781</v>
      </c>
    </row>
    <row r="344" spans="1:24" x14ac:dyDescent="0.25">
      <c r="A344" t="s">
        <v>42</v>
      </c>
      <c r="B344" t="s">
        <v>1786</v>
      </c>
      <c r="C344" t="s">
        <v>348</v>
      </c>
      <c r="D344" t="s">
        <v>994</v>
      </c>
      <c r="E344" t="s">
        <v>1004</v>
      </c>
      <c r="F344">
        <v>22968</v>
      </c>
      <c r="G344" t="s">
        <v>1428</v>
      </c>
      <c r="H344" t="s">
        <v>1787</v>
      </c>
      <c r="I344" t="s">
        <v>1778</v>
      </c>
      <c r="J344" t="s">
        <v>1401</v>
      </c>
      <c r="K344" t="s">
        <v>1055</v>
      </c>
      <c r="L344" t="s">
        <v>1056</v>
      </c>
      <c r="M344" t="s">
        <v>1057</v>
      </c>
      <c r="N344" t="s">
        <v>1058</v>
      </c>
      <c r="O344" t="s">
        <v>994</v>
      </c>
      <c r="P344" t="s">
        <v>1059</v>
      </c>
      <c r="Q344" t="b">
        <v>0</v>
      </c>
      <c r="R344" t="b">
        <v>1</v>
      </c>
      <c r="S344" t="s">
        <v>1591</v>
      </c>
      <c r="T344" t="s">
        <v>1779</v>
      </c>
      <c r="U344" t="s">
        <v>1432</v>
      </c>
      <c r="V344" t="s">
        <v>1433</v>
      </c>
      <c r="W344" t="s">
        <v>1780</v>
      </c>
      <c r="X344" t="s">
        <v>1781</v>
      </c>
    </row>
    <row r="345" spans="1:24" x14ac:dyDescent="0.25">
      <c r="A345" t="s">
        <v>42</v>
      </c>
      <c r="B345" t="s">
        <v>1788</v>
      </c>
      <c r="C345" t="s">
        <v>348</v>
      </c>
      <c r="D345" t="s">
        <v>994</v>
      </c>
      <c r="E345" t="s">
        <v>1006</v>
      </c>
      <c r="F345">
        <v>23351</v>
      </c>
      <c r="G345" t="s">
        <v>1428</v>
      </c>
      <c r="H345" t="s">
        <v>1789</v>
      </c>
      <c r="I345" t="s">
        <v>1778</v>
      </c>
      <c r="J345" t="s">
        <v>1401</v>
      </c>
      <c r="K345" t="s">
        <v>1065</v>
      </c>
      <c r="L345" t="s">
        <v>1066</v>
      </c>
      <c r="M345" t="s">
        <v>1029</v>
      </c>
      <c r="N345" t="s">
        <v>1067</v>
      </c>
      <c r="O345" t="s">
        <v>994</v>
      </c>
      <c r="P345" t="s">
        <v>1069</v>
      </c>
      <c r="Q345" t="b">
        <v>0</v>
      </c>
      <c r="R345" t="b">
        <v>1</v>
      </c>
      <c r="S345" t="s">
        <v>1591</v>
      </c>
      <c r="T345" t="s">
        <v>1779</v>
      </c>
      <c r="U345" t="s">
        <v>1432</v>
      </c>
      <c r="V345" t="s">
        <v>1433</v>
      </c>
      <c r="W345" t="s">
        <v>1780</v>
      </c>
      <c r="X345" t="s">
        <v>1790</v>
      </c>
    </row>
    <row r="346" spans="1:24" x14ac:dyDescent="0.25">
      <c r="A346" t="s">
        <v>42</v>
      </c>
      <c r="B346" t="s">
        <v>1791</v>
      </c>
      <c r="C346" t="s">
        <v>348</v>
      </c>
      <c r="D346" t="s">
        <v>994</v>
      </c>
      <c r="E346" t="s">
        <v>1008</v>
      </c>
      <c r="F346">
        <v>21107</v>
      </c>
      <c r="G346" t="s">
        <v>1428</v>
      </c>
      <c r="H346" t="s">
        <v>1792</v>
      </c>
      <c r="I346" t="s">
        <v>1778</v>
      </c>
      <c r="J346" t="s">
        <v>1401</v>
      </c>
      <c r="K346" t="s">
        <v>1072</v>
      </c>
      <c r="L346" t="s">
        <v>1073</v>
      </c>
      <c r="M346" t="s">
        <v>1029</v>
      </c>
      <c r="N346" t="s">
        <v>1074</v>
      </c>
      <c r="O346" t="s">
        <v>994</v>
      </c>
      <c r="P346" t="s">
        <v>1076</v>
      </c>
      <c r="Q346" t="b">
        <v>0</v>
      </c>
      <c r="R346" t="b">
        <v>1</v>
      </c>
      <c r="S346" t="s">
        <v>1591</v>
      </c>
      <c r="T346" t="s">
        <v>1779</v>
      </c>
      <c r="U346" t="s">
        <v>1432</v>
      </c>
      <c r="V346" t="s">
        <v>1433</v>
      </c>
      <c r="W346" t="s">
        <v>1780</v>
      </c>
      <c r="X346" t="s">
        <v>1790</v>
      </c>
    </row>
    <row r="347" spans="1:24" x14ac:dyDescent="0.25">
      <c r="A347" t="s">
        <v>42</v>
      </c>
      <c r="B347" t="s">
        <v>1793</v>
      </c>
      <c r="C347" t="s">
        <v>348</v>
      </c>
      <c r="D347" t="s">
        <v>994</v>
      </c>
      <c r="E347" t="s">
        <v>1010</v>
      </c>
      <c r="F347">
        <v>20852</v>
      </c>
      <c r="G347" t="s">
        <v>1428</v>
      </c>
      <c r="H347" t="s">
        <v>1794</v>
      </c>
      <c r="I347" t="s">
        <v>1778</v>
      </c>
      <c r="J347" t="s">
        <v>1401</v>
      </c>
      <c r="K347" t="s">
        <v>1079</v>
      </c>
      <c r="L347" t="s">
        <v>1080</v>
      </c>
      <c r="M347" t="s">
        <v>1029</v>
      </c>
      <c r="N347" t="s">
        <v>1081</v>
      </c>
      <c r="O347" t="s">
        <v>994</v>
      </c>
      <c r="P347" t="s">
        <v>1083</v>
      </c>
      <c r="Q347" t="b">
        <v>0</v>
      </c>
      <c r="R347" t="b">
        <v>1</v>
      </c>
      <c r="S347" t="s">
        <v>1591</v>
      </c>
      <c r="T347" t="s">
        <v>1779</v>
      </c>
      <c r="U347" t="s">
        <v>1432</v>
      </c>
      <c r="V347" t="s">
        <v>1433</v>
      </c>
      <c r="W347" t="s">
        <v>1780</v>
      </c>
      <c r="X347" t="s">
        <v>1781</v>
      </c>
    </row>
    <row r="348" spans="1:24" x14ac:dyDescent="0.25">
      <c r="A348" t="s">
        <v>42</v>
      </c>
      <c r="B348" t="s">
        <v>1795</v>
      </c>
      <c r="C348" t="s">
        <v>348</v>
      </c>
      <c r="D348" t="s">
        <v>994</v>
      </c>
      <c r="E348" t="s">
        <v>1012</v>
      </c>
      <c r="F348">
        <v>25167</v>
      </c>
      <c r="G348" t="s">
        <v>1428</v>
      </c>
      <c r="H348" t="s">
        <v>1796</v>
      </c>
      <c r="I348" t="s">
        <v>1797</v>
      </c>
      <c r="J348" t="s">
        <v>1401</v>
      </c>
      <c r="K348" t="s">
        <v>1086</v>
      </c>
      <c r="L348" t="s">
        <v>1087</v>
      </c>
      <c r="M348" t="s">
        <v>1057</v>
      </c>
      <c r="N348" t="s">
        <v>1088</v>
      </c>
      <c r="O348" t="s">
        <v>994</v>
      </c>
      <c r="P348" t="s">
        <v>1089</v>
      </c>
      <c r="Q348" t="b">
        <v>0</v>
      </c>
      <c r="R348" t="b">
        <v>1</v>
      </c>
      <c r="S348" t="s">
        <v>1591</v>
      </c>
      <c r="T348" t="s">
        <v>1798</v>
      </c>
      <c r="U348" t="s">
        <v>1432</v>
      </c>
      <c r="V348" t="s">
        <v>1433</v>
      </c>
      <c r="W348" t="s">
        <v>1799</v>
      </c>
      <c r="X348" t="s">
        <v>1800</v>
      </c>
    </row>
    <row r="349" spans="1:24" x14ac:dyDescent="0.25">
      <c r="A349" t="s">
        <v>42</v>
      </c>
      <c r="B349" t="s">
        <v>1801</v>
      </c>
      <c r="C349" t="s">
        <v>348</v>
      </c>
      <c r="D349" t="s">
        <v>994</v>
      </c>
      <c r="E349" t="s">
        <v>1014</v>
      </c>
      <c r="F349">
        <v>27567</v>
      </c>
      <c r="G349" t="s">
        <v>1428</v>
      </c>
      <c r="H349" t="s">
        <v>1802</v>
      </c>
      <c r="I349" t="s">
        <v>1797</v>
      </c>
      <c r="J349" t="s">
        <v>1401</v>
      </c>
      <c r="K349" t="s">
        <v>1092</v>
      </c>
      <c r="L349" t="s">
        <v>1093</v>
      </c>
      <c r="M349" t="s">
        <v>1029</v>
      </c>
      <c r="N349" t="s">
        <v>1094</v>
      </c>
      <c r="O349" t="s">
        <v>994</v>
      </c>
      <c r="P349" t="s">
        <v>1096</v>
      </c>
      <c r="Q349" t="b">
        <v>1</v>
      </c>
      <c r="R349" t="b">
        <v>0</v>
      </c>
      <c r="S349" t="s">
        <v>996</v>
      </c>
      <c r="T349" t="s">
        <v>1798</v>
      </c>
      <c r="U349" t="s">
        <v>1432</v>
      </c>
      <c r="V349" t="s">
        <v>1433</v>
      </c>
      <c r="W349" t="s">
        <v>1799</v>
      </c>
      <c r="X349" t="s">
        <v>1800</v>
      </c>
    </row>
    <row r="350" spans="1:24" x14ac:dyDescent="0.25">
      <c r="A350" t="s">
        <v>42</v>
      </c>
      <c r="B350" t="s">
        <v>1803</v>
      </c>
      <c r="C350" t="s">
        <v>348</v>
      </c>
      <c r="D350" t="s">
        <v>994</v>
      </c>
      <c r="E350" t="s">
        <v>1016</v>
      </c>
      <c r="F350">
        <v>28220</v>
      </c>
      <c r="G350" t="s">
        <v>1428</v>
      </c>
      <c r="H350" t="s">
        <v>1804</v>
      </c>
      <c r="I350" t="s">
        <v>1797</v>
      </c>
      <c r="J350" t="s">
        <v>1401</v>
      </c>
      <c r="K350" t="s">
        <v>1100</v>
      </c>
      <c r="L350" t="s">
        <v>1101</v>
      </c>
      <c r="M350" t="s">
        <v>1029</v>
      </c>
      <c r="N350" t="s">
        <v>1102</v>
      </c>
      <c r="O350" t="s">
        <v>994</v>
      </c>
      <c r="P350" t="s">
        <v>1104</v>
      </c>
      <c r="Q350" t="b">
        <v>1</v>
      </c>
      <c r="R350" t="b">
        <v>0</v>
      </c>
      <c r="S350" t="s">
        <v>996</v>
      </c>
      <c r="T350" t="s">
        <v>1798</v>
      </c>
      <c r="U350" t="s">
        <v>1432</v>
      </c>
      <c r="V350" t="s">
        <v>1433</v>
      </c>
      <c r="W350" t="s">
        <v>1799</v>
      </c>
      <c r="X350" t="s">
        <v>1800</v>
      </c>
    </row>
    <row r="351" spans="1:24" x14ac:dyDescent="0.25">
      <c r="A351" t="s">
        <v>42</v>
      </c>
      <c r="B351" t="s">
        <v>1805</v>
      </c>
      <c r="C351" t="s">
        <v>348</v>
      </c>
      <c r="D351" t="s">
        <v>994</v>
      </c>
      <c r="E351" t="s">
        <v>1018</v>
      </c>
      <c r="F351">
        <v>28445</v>
      </c>
      <c r="G351" t="s">
        <v>1428</v>
      </c>
      <c r="H351" t="s">
        <v>1806</v>
      </c>
      <c r="I351" t="s">
        <v>1797</v>
      </c>
      <c r="J351" t="s">
        <v>1401</v>
      </c>
      <c r="K351" t="s">
        <v>1107</v>
      </c>
      <c r="L351" t="s">
        <v>1108</v>
      </c>
      <c r="M351" t="s">
        <v>1029</v>
      </c>
      <c r="N351" t="s">
        <v>1109</v>
      </c>
      <c r="O351" t="s">
        <v>994</v>
      </c>
      <c r="P351" t="s">
        <v>1111</v>
      </c>
      <c r="Q351" t="b">
        <v>1</v>
      </c>
      <c r="R351" t="b">
        <v>0</v>
      </c>
      <c r="S351" t="s">
        <v>996</v>
      </c>
      <c r="T351" t="s">
        <v>1798</v>
      </c>
      <c r="U351" t="s">
        <v>1432</v>
      </c>
      <c r="V351" t="s">
        <v>1433</v>
      </c>
      <c r="W351" t="s">
        <v>1799</v>
      </c>
      <c r="X351" t="s">
        <v>1800</v>
      </c>
    </row>
    <row r="352" spans="1:24" x14ac:dyDescent="0.25">
      <c r="A352" t="s">
        <v>42</v>
      </c>
      <c r="B352" t="s">
        <v>1807</v>
      </c>
      <c r="C352" t="s">
        <v>348</v>
      </c>
      <c r="D352" t="s">
        <v>994</v>
      </c>
      <c r="E352" t="s">
        <v>1020</v>
      </c>
      <c r="F352">
        <v>30724</v>
      </c>
      <c r="G352" t="s">
        <v>1428</v>
      </c>
      <c r="H352" t="s">
        <v>1808</v>
      </c>
      <c r="I352" t="s">
        <v>1797</v>
      </c>
      <c r="J352" t="s">
        <v>1401</v>
      </c>
      <c r="K352" t="s">
        <v>1114</v>
      </c>
      <c r="L352" t="s">
        <v>1115</v>
      </c>
      <c r="M352" t="s">
        <v>1057</v>
      </c>
      <c r="N352" t="s">
        <v>1116</v>
      </c>
      <c r="O352" t="s">
        <v>994</v>
      </c>
      <c r="P352" t="s">
        <v>1117</v>
      </c>
      <c r="Q352" t="b">
        <v>1</v>
      </c>
      <c r="R352" t="b">
        <v>0</v>
      </c>
      <c r="S352" t="s">
        <v>996</v>
      </c>
      <c r="T352" t="s">
        <v>1798</v>
      </c>
      <c r="U352" t="s">
        <v>1432</v>
      </c>
      <c r="V352" t="s">
        <v>1433</v>
      </c>
      <c r="W352" t="s">
        <v>1799</v>
      </c>
      <c r="X352" t="s">
        <v>1800</v>
      </c>
    </row>
    <row r="353" spans="1:24" x14ac:dyDescent="0.25">
      <c r="A353" t="s">
        <v>42</v>
      </c>
      <c r="B353" t="s">
        <v>1809</v>
      </c>
      <c r="C353" t="s">
        <v>348</v>
      </c>
      <c r="D353" t="s">
        <v>994</v>
      </c>
      <c r="E353" t="s">
        <v>1022</v>
      </c>
      <c r="F353">
        <v>36484</v>
      </c>
      <c r="G353" t="s">
        <v>1428</v>
      </c>
      <c r="H353" t="s">
        <v>1810</v>
      </c>
      <c r="I353" t="s">
        <v>1797</v>
      </c>
      <c r="J353" t="s">
        <v>1401</v>
      </c>
      <c r="K353" t="s">
        <v>1120</v>
      </c>
      <c r="L353" t="s">
        <v>1121</v>
      </c>
      <c r="M353" t="s">
        <v>1029</v>
      </c>
      <c r="N353" t="s">
        <v>1122</v>
      </c>
      <c r="O353" t="s">
        <v>994</v>
      </c>
      <c r="P353" t="s">
        <v>1124</v>
      </c>
      <c r="Q353" t="b">
        <v>0</v>
      </c>
      <c r="R353" t="b">
        <v>1</v>
      </c>
      <c r="S353" t="s">
        <v>1591</v>
      </c>
      <c r="T353" t="s">
        <v>1798</v>
      </c>
      <c r="U353" t="s">
        <v>1432</v>
      </c>
      <c r="V353" t="s">
        <v>1433</v>
      </c>
      <c r="W353" t="s">
        <v>1799</v>
      </c>
      <c r="X353" t="s">
        <v>1800</v>
      </c>
    </row>
    <row r="354" spans="1:24" x14ac:dyDescent="0.25">
      <c r="A354" t="s">
        <v>42</v>
      </c>
      <c r="B354" t="s">
        <v>1811</v>
      </c>
      <c r="C354" t="s">
        <v>351</v>
      </c>
      <c r="D354" t="s">
        <v>994</v>
      </c>
      <c r="E354" t="s">
        <v>992</v>
      </c>
      <c r="F354">
        <v>70269</v>
      </c>
      <c r="G354" t="s">
        <v>1126</v>
      </c>
      <c r="H354" t="s">
        <v>1812</v>
      </c>
      <c r="I354" t="s">
        <v>1813</v>
      </c>
      <c r="J354" t="s">
        <v>1401</v>
      </c>
      <c r="K354" t="s">
        <v>1027</v>
      </c>
      <c r="L354" t="s">
        <v>1028</v>
      </c>
      <c r="M354" t="s">
        <v>1029</v>
      </c>
      <c r="N354" t="s">
        <v>1030</v>
      </c>
      <c r="O354" t="s">
        <v>994</v>
      </c>
      <c r="P354" t="s">
        <v>1032</v>
      </c>
      <c r="Q354" t="b">
        <v>1</v>
      </c>
      <c r="R354" t="b">
        <v>0</v>
      </c>
      <c r="S354" t="s">
        <v>1033</v>
      </c>
      <c r="T354" t="s">
        <v>994</v>
      </c>
      <c r="U354" t="s">
        <v>1034</v>
      </c>
      <c r="V354" t="s">
        <v>997</v>
      </c>
      <c r="W354" t="s">
        <v>1035</v>
      </c>
      <c r="X354" t="s">
        <v>1814</v>
      </c>
    </row>
    <row r="355" spans="1:24" x14ac:dyDescent="0.25">
      <c r="A355" t="s">
        <v>42</v>
      </c>
      <c r="B355" t="s">
        <v>1815</v>
      </c>
      <c r="C355" t="s">
        <v>351</v>
      </c>
      <c r="D355" t="s">
        <v>994</v>
      </c>
      <c r="E355" t="s">
        <v>1000</v>
      </c>
      <c r="F355">
        <v>72248</v>
      </c>
      <c r="G355" t="s">
        <v>1126</v>
      </c>
      <c r="H355" t="s">
        <v>1816</v>
      </c>
      <c r="I355" t="s">
        <v>1813</v>
      </c>
      <c r="J355" t="s">
        <v>1401</v>
      </c>
      <c r="K355" t="s">
        <v>1039</v>
      </c>
      <c r="L355" t="s">
        <v>1040</v>
      </c>
      <c r="M355" t="s">
        <v>1029</v>
      </c>
      <c r="N355" t="s">
        <v>1041</v>
      </c>
      <c r="O355" t="s">
        <v>994</v>
      </c>
      <c r="P355" t="s">
        <v>1043</v>
      </c>
      <c r="Q355" t="b">
        <v>1</v>
      </c>
      <c r="R355" t="b">
        <v>0</v>
      </c>
      <c r="S355" t="s">
        <v>1033</v>
      </c>
      <c r="T355" t="s">
        <v>994</v>
      </c>
      <c r="U355" t="s">
        <v>1034</v>
      </c>
      <c r="V355" t="s">
        <v>997</v>
      </c>
      <c r="W355" t="s">
        <v>1035</v>
      </c>
      <c r="X355" t="s">
        <v>1814</v>
      </c>
    </row>
    <row r="356" spans="1:24" x14ac:dyDescent="0.25">
      <c r="A356" t="s">
        <v>42</v>
      </c>
      <c r="B356" t="s">
        <v>1817</v>
      </c>
      <c r="C356" t="s">
        <v>351</v>
      </c>
      <c r="D356" t="s">
        <v>994</v>
      </c>
      <c r="E356" t="s">
        <v>1002</v>
      </c>
      <c r="F356">
        <v>74591</v>
      </c>
      <c r="G356" t="s">
        <v>1126</v>
      </c>
      <c r="H356" t="s">
        <v>1818</v>
      </c>
      <c r="I356" t="s">
        <v>1813</v>
      </c>
      <c r="J356" t="s">
        <v>1401</v>
      </c>
      <c r="K356" t="s">
        <v>1046</v>
      </c>
      <c r="L356" t="s">
        <v>1047</v>
      </c>
      <c r="M356" t="s">
        <v>1029</v>
      </c>
      <c r="N356" t="s">
        <v>1048</v>
      </c>
      <c r="O356" t="s">
        <v>994</v>
      </c>
      <c r="P356" t="s">
        <v>1050</v>
      </c>
      <c r="Q356" t="b">
        <v>1</v>
      </c>
      <c r="R356" t="b">
        <v>0</v>
      </c>
      <c r="S356" t="s">
        <v>1033</v>
      </c>
      <c r="T356" t="s">
        <v>994</v>
      </c>
      <c r="U356" t="s">
        <v>1034</v>
      </c>
      <c r="V356" t="s">
        <v>997</v>
      </c>
      <c r="W356" t="s">
        <v>1035</v>
      </c>
      <c r="X356" t="s">
        <v>1814</v>
      </c>
    </row>
    <row r="357" spans="1:24" x14ac:dyDescent="0.25">
      <c r="A357" t="s">
        <v>42</v>
      </c>
      <c r="B357" t="s">
        <v>1819</v>
      </c>
      <c r="C357" t="s">
        <v>351</v>
      </c>
      <c r="D357" t="s">
        <v>994</v>
      </c>
      <c r="E357" t="s">
        <v>1004</v>
      </c>
      <c r="F357">
        <v>76534</v>
      </c>
      <c r="G357" t="s">
        <v>1126</v>
      </c>
      <c r="H357" t="s">
        <v>1820</v>
      </c>
      <c r="I357" t="s">
        <v>1813</v>
      </c>
      <c r="J357" t="s">
        <v>1401</v>
      </c>
      <c r="K357" t="s">
        <v>1055</v>
      </c>
      <c r="L357" t="s">
        <v>1056</v>
      </c>
      <c r="M357" t="s">
        <v>1057</v>
      </c>
      <c r="N357" t="s">
        <v>1058</v>
      </c>
      <c r="O357" t="s">
        <v>994</v>
      </c>
      <c r="P357" t="s">
        <v>1059</v>
      </c>
      <c r="Q357" t="b">
        <v>1</v>
      </c>
      <c r="R357" t="b">
        <v>0</v>
      </c>
      <c r="S357" t="s">
        <v>1033</v>
      </c>
      <c r="T357" t="s">
        <v>994</v>
      </c>
      <c r="U357" t="s">
        <v>1034</v>
      </c>
      <c r="V357" t="s">
        <v>997</v>
      </c>
      <c r="W357" t="s">
        <v>1035</v>
      </c>
      <c r="X357" t="s">
        <v>1814</v>
      </c>
    </row>
    <row r="358" spans="1:24" x14ac:dyDescent="0.25">
      <c r="A358" t="s">
        <v>42</v>
      </c>
      <c r="B358" t="s">
        <v>1821</v>
      </c>
      <c r="C358" t="s">
        <v>351</v>
      </c>
      <c r="D358" t="s">
        <v>994</v>
      </c>
      <c r="E358" t="s">
        <v>1006</v>
      </c>
      <c r="F358">
        <v>77913</v>
      </c>
      <c r="G358" t="s">
        <v>1126</v>
      </c>
      <c r="H358" t="s">
        <v>1822</v>
      </c>
      <c r="I358" t="s">
        <v>1813</v>
      </c>
      <c r="J358" t="s">
        <v>1401</v>
      </c>
      <c r="K358" t="s">
        <v>1065</v>
      </c>
      <c r="L358" t="s">
        <v>1066</v>
      </c>
      <c r="M358" t="s">
        <v>1029</v>
      </c>
      <c r="N358" t="s">
        <v>1067</v>
      </c>
      <c r="O358" t="s">
        <v>994</v>
      </c>
      <c r="P358" t="s">
        <v>1069</v>
      </c>
      <c r="Q358" t="b">
        <v>1</v>
      </c>
      <c r="R358" t="b">
        <v>0</v>
      </c>
      <c r="S358" t="s">
        <v>1033</v>
      </c>
      <c r="T358" t="s">
        <v>994</v>
      </c>
      <c r="U358" t="s">
        <v>1034</v>
      </c>
      <c r="V358" t="s">
        <v>997</v>
      </c>
      <c r="W358" t="s">
        <v>1035</v>
      </c>
      <c r="X358" t="s">
        <v>1814</v>
      </c>
    </row>
    <row r="359" spans="1:24" x14ac:dyDescent="0.25">
      <c r="A359" t="s">
        <v>42</v>
      </c>
      <c r="B359" t="s">
        <v>1823</v>
      </c>
      <c r="C359" t="s">
        <v>351</v>
      </c>
      <c r="D359" t="s">
        <v>994</v>
      </c>
      <c r="E359" t="s">
        <v>1008</v>
      </c>
      <c r="F359">
        <v>79732</v>
      </c>
      <c r="G359" t="s">
        <v>1126</v>
      </c>
      <c r="H359" t="s">
        <v>1824</v>
      </c>
      <c r="I359" t="s">
        <v>1813</v>
      </c>
      <c r="J359" t="s">
        <v>1401</v>
      </c>
      <c r="K359" t="s">
        <v>1072</v>
      </c>
      <c r="L359" t="s">
        <v>1073</v>
      </c>
      <c r="M359" t="s">
        <v>1029</v>
      </c>
      <c r="N359" t="s">
        <v>1074</v>
      </c>
      <c r="O359" t="s">
        <v>994</v>
      </c>
      <c r="P359" t="s">
        <v>1076</v>
      </c>
      <c r="Q359" t="b">
        <v>1</v>
      </c>
      <c r="R359" t="b">
        <v>0</v>
      </c>
      <c r="S359" t="s">
        <v>1033</v>
      </c>
      <c r="T359" t="s">
        <v>994</v>
      </c>
      <c r="U359" t="s">
        <v>1034</v>
      </c>
      <c r="V359" t="s">
        <v>997</v>
      </c>
      <c r="W359" t="s">
        <v>1035</v>
      </c>
      <c r="X359" t="s">
        <v>1814</v>
      </c>
    </row>
    <row r="360" spans="1:24" x14ac:dyDescent="0.25">
      <c r="A360" t="s">
        <v>42</v>
      </c>
      <c r="B360" t="s">
        <v>1825</v>
      </c>
      <c r="C360" t="s">
        <v>351</v>
      </c>
      <c r="D360" t="s">
        <v>994</v>
      </c>
      <c r="E360" t="s">
        <v>1010</v>
      </c>
      <c r="F360">
        <v>82030</v>
      </c>
      <c r="G360" t="s">
        <v>1126</v>
      </c>
      <c r="H360" t="s">
        <v>1826</v>
      </c>
      <c r="I360" t="s">
        <v>1813</v>
      </c>
      <c r="J360" t="s">
        <v>1401</v>
      </c>
      <c r="K360" t="s">
        <v>1079</v>
      </c>
      <c r="L360" t="s">
        <v>1080</v>
      </c>
      <c r="M360" t="s">
        <v>1029</v>
      </c>
      <c r="N360" t="s">
        <v>1081</v>
      </c>
      <c r="O360" t="s">
        <v>994</v>
      </c>
      <c r="P360" t="s">
        <v>1083</v>
      </c>
      <c r="Q360" t="b">
        <v>1</v>
      </c>
      <c r="R360" t="b">
        <v>0</v>
      </c>
      <c r="S360" t="s">
        <v>1033</v>
      </c>
      <c r="T360" t="s">
        <v>994</v>
      </c>
      <c r="U360" t="s">
        <v>1034</v>
      </c>
      <c r="V360" t="s">
        <v>997</v>
      </c>
      <c r="W360" t="s">
        <v>1035</v>
      </c>
      <c r="X360" t="s">
        <v>1814</v>
      </c>
    </row>
    <row r="361" spans="1:24" x14ac:dyDescent="0.25">
      <c r="A361" t="s">
        <v>42</v>
      </c>
      <c r="B361" t="s">
        <v>1827</v>
      </c>
      <c r="C361" t="s">
        <v>351</v>
      </c>
      <c r="D361" t="s">
        <v>994</v>
      </c>
      <c r="E361" t="s">
        <v>1012</v>
      </c>
      <c r="F361">
        <v>84800</v>
      </c>
      <c r="G361" t="s">
        <v>1126</v>
      </c>
      <c r="H361" t="s">
        <v>1828</v>
      </c>
      <c r="I361" t="s">
        <v>1813</v>
      </c>
      <c r="J361" t="s">
        <v>1401</v>
      </c>
      <c r="K361" t="s">
        <v>1086</v>
      </c>
      <c r="L361" t="s">
        <v>1087</v>
      </c>
      <c r="M361" t="s">
        <v>1057</v>
      </c>
      <c r="N361" t="s">
        <v>1088</v>
      </c>
      <c r="O361" t="s">
        <v>994</v>
      </c>
      <c r="P361" t="s">
        <v>1089</v>
      </c>
      <c r="Q361" t="b">
        <v>1</v>
      </c>
      <c r="R361" t="b">
        <v>0</v>
      </c>
      <c r="S361" t="s">
        <v>1033</v>
      </c>
      <c r="T361" t="s">
        <v>994</v>
      </c>
      <c r="U361" t="s">
        <v>1034</v>
      </c>
      <c r="V361" t="s">
        <v>997</v>
      </c>
      <c r="W361" t="s">
        <v>1035</v>
      </c>
      <c r="X361" t="s">
        <v>1814</v>
      </c>
    </row>
    <row r="362" spans="1:24" x14ac:dyDescent="0.25">
      <c r="A362" t="s">
        <v>42</v>
      </c>
      <c r="B362" t="s">
        <v>1829</v>
      </c>
      <c r="C362" t="s">
        <v>351</v>
      </c>
      <c r="D362" t="s">
        <v>994</v>
      </c>
      <c r="E362" t="s">
        <v>1014</v>
      </c>
      <c r="F362">
        <v>86725</v>
      </c>
      <c r="G362" t="s">
        <v>1126</v>
      </c>
      <c r="H362" t="s">
        <v>1830</v>
      </c>
      <c r="I362" t="s">
        <v>1813</v>
      </c>
      <c r="J362" t="s">
        <v>1401</v>
      </c>
      <c r="K362" t="s">
        <v>1092</v>
      </c>
      <c r="L362" t="s">
        <v>1093</v>
      </c>
      <c r="M362" t="s">
        <v>1029</v>
      </c>
      <c r="N362" t="s">
        <v>1094</v>
      </c>
      <c r="O362" t="s">
        <v>994</v>
      </c>
      <c r="P362" t="s">
        <v>1096</v>
      </c>
      <c r="Q362" t="b">
        <v>1</v>
      </c>
      <c r="R362" t="b">
        <v>0</v>
      </c>
      <c r="S362" t="s">
        <v>1033</v>
      </c>
      <c r="T362" t="s">
        <v>994</v>
      </c>
      <c r="U362" t="s">
        <v>1034</v>
      </c>
      <c r="V362" t="s">
        <v>997</v>
      </c>
      <c r="W362" t="s">
        <v>1035</v>
      </c>
      <c r="X362" t="s">
        <v>1814</v>
      </c>
    </row>
    <row r="363" spans="1:24" x14ac:dyDescent="0.25">
      <c r="A363" t="s">
        <v>42</v>
      </c>
      <c r="B363" t="s">
        <v>1831</v>
      </c>
      <c r="C363" t="s">
        <v>351</v>
      </c>
      <c r="D363" t="s">
        <v>994</v>
      </c>
      <c r="E363" t="s">
        <v>1016</v>
      </c>
      <c r="F363">
        <v>89283</v>
      </c>
      <c r="G363" t="s">
        <v>1126</v>
      </c>
      <c r="H363" t="s">
        <v>1832</v>
      </c>
      <c r="I363" t="s">
        <v>1813</v>
      </c>
      <c r="J363" t="s">
        <v>1401</v>
      </c>
      <c r="K363" t="s">
        <v>1100</v>
      </c>
      <c r="L363" t="s">
        <v>1101</v>
      </c>
      <c r="M363" t="s">
        <v>1029</v>
      </c>
      <c r="N363" t="s">
        <v>1102</v>
      </c>
      <c r="O363" t="s">
        <v>994</v>
      </c>
      <c r="P363" t="s">
        <v>1104</v>
      </c>
      <c r="Q363" t="b">
        <v>1</v>
      </c>
      <c r="R363" t="b">
        <v>0</v>
      </c>
      <c r="S363" t="s">
        <v>1033</v>
      </c>
      <c r="T363" t="s">
        <v>994</v>
      </c>
      <c r="U363" t="s">
        <v>1034</v>
      </c>
      <c r="V363" t="s">
        <v>997</v>
      </c>
      <c r="W363" t="s">
        <v>1035</v>
      </c>
      <c r="X363" t="s">
        <v>1814</v>
      </c>
    </row>
    <row r="364" spans="1:24" x14ac:dyDescent="0.25">
      <c r="A364" t="s">
        <v>42</v>
      </c>
      <c r="B364" t="s">
        <v>1833</v>
      </c>
      <c r="C364" t="s">
        <v>351</v>
      </c>
      <c r="D364" t="s">
        <v>994</v>
      </c>
      <c r="E364" t="s">
        <v>1018</v>
      </c>
      <c r="F364">
        <v>91695</v>
      </c>
      <c r="G364" t="s">
        <v>1126</v>
      </c>
      <c r="H364" t="s">
        <v>1834</v>
      </c>
      <c r="I364" t="s">
        <v>1813</v>
      </c>
      <c r="J364" t="s">
        <v>1401</v>
      </c>
      <c r="K364" t="s">
        <v>1107</v>
      </c>
      <c r="L364" t="s">
        <v>1108</v>
      </c>
      <c r="M364" t="s">
        <v>1029</v>
      </c>
      <c r="N364" t="s">
        <v>1109</v>
      </c>
      <c r="O364" t="s">
        <v>994</v>
      </c>
      <c r="P364" t="s">
        <v>1111</v>
      </c>
      <c r="Q364" t="b">
        <v>1</v>
      </c>
      <c r="R364" t="b">
        <v>0</v>
      </c>
      <c r="S364" t="s">
        <v>1033</v>
      </c>
      <c r="T364" t="s">
        <v>994</v>
      </c>
      <c r="U364" t="s">
        <v>1034</v>
      </c>
      <c r="V364" t="s">
        <v>997</v>
      </c>
      <c r="W364" t="s">
        <v>1035</v>
      </c>
      <c r="X364" t="s">
        <v>1814</v>
      </c>
    </row>
    <row r="365" spans="1:24" x14ac:dyDescent="0.25">
      <c r="A365" t="s">
        <v>42</v>
      </c>
      <c r="B365" t="s">
        <v>1835</v>
      </c>
      <c r="C365" t="s">
        <v>351</v>
      </c>
      <c r="D365" t="s">
        <v>994</v>
      </c>
      <c r="E365" t="s">
        <v>1020</v>
      </c>
      <c r="F365">
        <v>93126</v>
      </c>
      <c r="G365" t="s">
        <v>1126</v>
      </c>
      <c r="H365" t="s">
        <v>1836</v>
      </c>
      <c r="I365" t="s">
        <v>1813</v>
      </c>
      <c r="J365" t="s">
        <v>1401</v>
      </c>
      <c r="K365" t="s">
        <v>1114</v>
      </c>
      <c r="L365" t="s">
        <v>1115</v>
      </c>
      <c r="M365" t="s">
        <v>1057</v>
      </c>
      <c r="N365" t="s">
        <v>1116</v>
      </c>
      <c r="O365" t="s">
        <v>994</v>
      </c>
      <c r="P365" t="s">
        <v>1117</v>
      </c>
      <c r="Q365" t="b">
        <v>1</v>
      </c>
      <c r="R365" t="b">
        <v>0</v>
      </c>
      <c r="S365" t="s">
        <v>1033</v>
      </c>
      <c r="T365" t="s">
        <v>994</v>
      </c>
      <c r="U365" t="s">
        <v>1034</v>
      </c>
      <c r="V365" t="s">
        <v>997</v>
      </c>
      <c r="W365" t="s">
        <v>1035</v>
      </c>
      <c r="X365" t="s">
        <v>1814</v>
      </c>
    </row>
    <row r="366" spans="1:24" x14ac:dyDescent="0.25">
      <c r="A366" t="s">
        <v>42</v>
      </c>
      <c r="B366" t="s">
        <v>1837</v>
      </c>
      <c r="C366" t="s">
        <v>351</v>
      </c>
      <c r="D366" t="s">
        <v>994</v>
      </c>
      <c r="E366" t="s">
        <v>1022</v>
      </c>
      <c r="F366">
        <v>96902</v>
      </c>
      <c r="G366" t="s">
        <v>1126</v>
      </c>
      <c r="H366" t="s">
        <v>1838</v>
      </c>
      <c r="I366" t="s">
        <v>1813</v>
      </c>
      <c r="J366" t="s">
        <v>1401</v>
      </c>
      <c r="K366" t="s">
        <v>1120</v>
      </c>
      <c r="L366" t="s">
        <v>1121</v>
      </c>
      <c r="M366" t="s">
        <v>1029</v>
      </c>
      <c r="N366" t="s">
        <v>1122</v>
      </c>
      <c r="O366" t="s">
        <v>994</v>
      </c>
      <c r="P366" t="s">
        <v>1124</v>
      </c>
      <c r="Q366" t="b">
        <v>1</v>
      </c>
      <c r="R366" t="b">
        <v>0</v>
      </c>
      <c r="S366" t="s">
        <v>1033</v>
      </c>
      <c r="T366" t="s">
        <v>994</v>
      </c>
      <c r="U366" t="s">
        <v>1034</v>
      </c>
      <c r="V366" t="s">
        <v>997</v>
      </c>
      <c r="W366" t="s">
        <v>1035</v>
      </c>
      <c r="X366" t="s">
        <v>1814</v>
      </c>
    </row>
    <row r="367" spans="1:24" x14ac:dyDescent="0.25">
      <c r="A367" t="s">
        <v>42</v>
      </c>
      <c r="B367" t="s">
        <v>1839</v>
      </c>
      <c r="C367" t="s">
        <v>352</v>
      </c>
      <c r="D367" t="s">
        <v>994</v>
      </c>
      <c r="E367" t="s">
        <v>992</v>
      </c>
      <c r="F367">
        <v>196625</v>
      </c>
      <c r="G367" t="s">
        <v>1024</v>
      </c>
      <c r="H367" t="s">
        <v>1840</v>
      </c>
      <c r="I367" t="s">
        <v>1841</v>
      </c>
      <c r="J367" t="s">
        <v>1401</v>
      </c>
      <c r="K367" t="s">
        <v>1027</v>
      </c>
      <c r="L367" t="s">
        <v>1028</v>
      </c>
      <c r="M367" t="s">
        <v>1029</v>
      </c>
      <c r="N367" t="s">
        <v>1030</v>
      </c>
      <c r="O367" t="s">
        <v>994</v>
      </c>
      <c r="P367" t="s">
        <v>1032</v>
      </c>
      <c r="Q367" t="b">
        <v>1</v>
      </c>
      <c r="R367" t="b">
        <v>0</v>
      </c>
      <c r="S367" t="s">
        <v>1033</v>
      </c>
      <c r="T367" t="s">
        <v>994</v>
      </c>
      <c r="U367" t="s">
        <v>1034</v>
      </c>
      <c r="V367" t="s">
        <v>997</v>
      </c>
      <c r="W367" t="s">
        <v>1035</v>
      </c>
      <c r="X367" t="s">
        <v>1842</v>
      </c>
    </row>
    <row r="368" spans="1:24" x14ac:dyDescent="0.25">
      <c r="A368" t="s">
        <v>42</v>
      </c>
      <c r="B368" t="s">
        <v>1843</v>
      </c>
      <c r="C368" t="s">
        <v>352</v>
      </c>
      <c r="D368" t="s">
        <v>994</v>
      </c>
      <c r="E368" t="s">
        <v>1000</v>
      </c>
      <c r="F368">
        <v>200884</v>
      </c>
      <c r="G368" t="s">
        <v>1024</v>
      </c>
      <c r="H368" t="s">
        <v>1844</v>
      </c>
      <c r="I368" t="s">
        <v>1841</v>
      </c>
      <c r="J368" t="s">
        <v>1401</v>
      </c>
      <c r="K368" t="s">
        <v>1039</v>
      </c>
      <c r="L368" t="s">
        <v>1040</v>
      </c>
      <c r="M368" t="s">
        <v>1029</v>
      </c>
      <c r="N368" t="s">
        <v>1041</v>
      </c>
      <c r="O368" t="s">
        <v>994</v>
      </c>
      <c r="P368" t="s">
        <v>1043</v>
      </c>
      <c r="Q368" t="b">
        <v>1</v>
      </c>
      <c r="R368" t="b">
        <v>0</v>
      </c>
      <c r="S368" t="s">
        <v>1033</v>
      </c>
      <c r="T368" t="s">
        <v>994</v>
      </c>
      <c r="U368" t="s">
        <v>1034</v>
      </c>
      <c r="V368" t="s">
        <v>997</v>
      </c>
      <c r="W368" t="s">
        <v>1035</v>
      </c>
      <c r="X368" t="s">
        <v>1842</v>
      </c>
    </row>
    <row r="369" spans="1:24" x14ac:dyDescent="0.25">
      <c r="A369" t="s">
        <v>42</v>
      </c>
      <c r="B369" t="s">
        <v>1845</v>
      </c>
      <c r="C369" t="s">
        <v>352</v>
      </c>
      <c r="D369" t="s">
        <v>994</v>
      </c>
      <c r="E369" t="s">
        <v>1002</v>
      </c>
      <c r="F369">
        <v>205647</v>
      </c>
      <c r="G369" t="s">
        <v>1024</v>
      </c>
      <c r="H369" t="s">
        <v>1846</v>
      </c>
      <c r="I369" t="s">
        <v>1841</v>
      </c>
      <c r="J369" t="s">
        <v>1401</v>
      </c>
      <c r="K369" t="s">
        <v>1046</v>
      </c>
      <c r="L369" t="s">
        <v>1047</v>
      </c>
      <c r="M369" t="s">
        <v>1029</v>
      </c>
      <c r="N369" t="s">
        <v>1048</v>
      </c>
      <c r="O369" t="s">
        <v>994</v>
      </c>
      <c r="P369" t="s">
        <v>1050</v>
      </c>
      <c r="Q369" t="b">
        <v>1</v>
      </c>
      <c r="R369" t="b">
        <v>0</v>
      </c>
      <c r="S369" t="s">
        <v>1033</v>
      </c>
      <c r="T369" t="s">
        <v>994</v>
      </c>
      <c r="U369" t="s">
        <v>1034</v>
      </c>
      <c r="V369" t="s">
        <v>997</v>
      </c>
      <c r="W369" t="s">
        <v>1035</v>
      </c>
      <c r="X369" t="s">
        <v>1842</v>
      </c>
    </row>
    <row r="370" spans="1:24" x14ac:dyDescent="0.25">
      <c r="A370" t="s">
        <v>42</v>
      </c>
      <c r="B370" t="s">
        <v>1847</v>
      </c>
      <c r="C370" t="s">
        <v>352</v>
      </c>
      <c r="D370" t="s">
        <v>994</v>
      </c>
      <c r="E370" t="s">
        <v>1004</v>
      </c>
      <c r="F370">
        <v>211247</v>
      </c>
      <c r="G370" t="s">
        <v>1024</v>
      </c>
      <c r="H370" t="s">
        <v>1848</v>
      </c>
      <c r="I370" t="s">
        <v>1841</v>
      </c>
      <c r="J370" t="s">
        <v>1401</v>
      </c>
      <c r="K370" t="s">
        <v>1055</v>
      </c>
      <c r="L370" t="s">
        <v>1056</v>
      </c>
      <c r="M370" t="s">
        <v>1057</v>
      </c>
      <c r="N370" t="s">
        <v>1058</v>
      </c>
      <c r="O370" t="s">
        <v>994</v>
      </c>
      <c r="P370" t="s">
        <v>1059</v>
      </c>
      <c r="Q370" t="b">
        <v>1</v>
      </c>
      <c r="R370" t="b">
        <v>0</v>
      </c>
      <c r="S370" t="s">
        <v>1033</v>
      </c>
      <c r="T370" t="s">
        <v>994</v>
      </c>
      <c r="U370" t="s">
        <v>1034</v>
      </c>
      <c r="V370" t="s">
        <v>997</v>
      </c>
      <c r="W370" t="s">
        <v>1035</v>
      </c>
      <c r="X370" t="s">
        <v>1842</v>
      </c>
    </row>
    <row r="371" spans="1:24" x14ac:dyDescent="0.25">
      <c r="A371" t="s">
        <v>42</v>
      </c>
      <c r="B371" t="s">
        <v>1849</v>
      </c>
      <c r="C371" t="s">
        <v>352</v>
      </c>
      <c r="D371" t="s">
        <v>994</v>
      </c>
      <c r="E371" t="s">
        <v>1006</v>
      </c>
      <c r="F371">
        <v>219770</v>
      </c>
      <c r="G371" t="s">
        <v>1024</v>
      </c>
      <c r="H371" t="s">
        <v>1850</v>
      </c>
      <c r="I371" t="s">
        <v>1841</v>
      </c>
      <c r="J371" t="s">
        <v>1401</v>
      </c>
      <c r="K371" t="s">
        <v>1065</v>
      </c>
      <c r="L371" t="s">
        <v>1066</v>
      </c>
      <c r="M371" t="s">
        <v>1029</v>
      </c>
      <c r="N371" t="s">
        <v>1067</v>
      </c>
      <c r="O371" t="s">
        <v>994</v>
      </c>
      <c r="P371" t="s">
        <v>1069</v>
      </c>
      <c r="Q371" t="b">
        <v>1</v>
      </c>
      <c r="R371" t="b">
        <v>0</v>
      </c>
      <c r="S371" t="s">
        <v>1033</v>
      </c>
      <c r="T371" t="s">
        <v>994</v>
      </c>
      <c r="U371" t="s">
        <v>1034</v>
      </c>
      <c r="V371" t="s">
        <v>997</v>
      </c>
      <c r="W371" t="s">
        <v>1035</v>
      </c>
      <c r="X371" t="s">
        <v>1842</v>
      </c>
    </row>
    <row r="372" spans="1:24" x14ac:dyDescent="0.25">
      <c r="A372" t="s">
        <v>42</v>
      </c>
      <c r="B372" t="s">
        <v>1851</v>
      </c>
      <c r="C372" t="s">
        <v>352</v>
      </c>
      <c r="D372" t="s">
        <v>994</v>
      </c>
      <c r="E372" t="s">
        <v>1008</v>
      </c>
      <c r="F372">
        <v>226033</v>
      </c>
      <c r="G372" t="s">
        <v>1024</v>
      </c>
      <c r="H372" t="s">
        <v>1852</v>
      </c>
      <c r="I372" t="s">
        <v>1841</v>
      </c>
      <c r="J372" t="s">
        <v>1401</v>
      </c>
      <c r="K372" t="s">
        <v>1072</v>
      </c>
      <c r="L372" t="s">
        <v>1073</v>
      </c>
      <c r="M372" t="s">
        <v>1029</v>
      </c>
      <c r="N372" t="s">
        <v>1074</v>
      </c>
      <c r="O372" t="s">
        <v>994</v>
      </c>
      <c r="P372" t="s">
        <v>1076</v>
      </c>
      <c r="Q372" t="b">
        <v>1</v>
      </c>
      <c r="R372" t="b">
        <v>0</v>
      </c>
      <c r="S372" t="s">
        <v>1033</v>
      </c>
      <c r="T372" t="s">
        <v>994</v>
      </c>
      <c r="U372" t="s">
        <v>1034</v>
      </c>
      <c r="V372" t="s">
        <v>997</v>
      </c>
      <c r="W372" t="s">
        <v>1035</v>
      </c>
      <c r="X372" t="s">
        <v>1842</v>
      </c>
    </row>
    <row r="373" spans="1:24" x14ac:dyDescent="0.25">
      <c r="A373" t="s">
        <v>42</v>
      </c>
      <c r="B373" t="s">
        <v>1853</v>
      </c>
      <c r="C373" t="s">
        <v>352</v>
      </c>
      <c r="D373" t="s">
        <v>994</v>
      </c>
      <c r="E373" t="s">
        <v>1010</v>
      </c>
      <c r="F373">
        <v>235317</v>
      </c>
      <c r="G373" t="s">
        <v>1024</v>
      </c>
      <c r="H373" t="s">
        <v>1854</v>
      </c>
      <c r="I373" t="s">
        <v>1841</v>
      </c>
      <c r="J373" t="s">
        <v>1401</v>
      </c>
      <c r="K373" t="s">
        <v>1079</v>
      </c>
      <c r="L373" t="s">
        <v>1080</v>
      </c>
      <c r="M373" t="s">
        <v>1029</v>
      </c>
      <c r="N373" t="s">
        <v>1081</v>
      </c>
      <c r="O373" t="s">
        <v>994</v>
      </c>
      <c r="P373" t="s">
        <v>1083</v>
      </c>
      <c r="Q373" t="b">
        <v>1</v>
      </c>
      <c r="R373" t="b">
        <v>0</v>
      </c>
      <c r="S373" t="s">
        <v>1033</v>
      </c>
      <c r="T373" t="s">
        <v>994</v>
      </c>
      <c r="U373" t="s">
        <v>1034</v>
      </c>
      <c r="V373" t="s">
        <v>997</v>
      </c>
      <c r="W373" t="s">
        <v>1035</v>
      </c>
      <c r="X373" t="s">
        <v>1842</v>
      </c>
    </row>
    <row r="374" spans="1:24" x14ac:dyDescent="0.25">
      <c r="A374" t="s">
        <v>42</v>
      </c>
      <c r="B374" t="s">
        <v>1855</v>
      </c>
      <c r="C374" t="s">
        <v>352</v>
      </c>
      <c r="D374" t="s">
        <v>994</v>
      </c>
      <c r="E374" t="s">
        <v>1012</v>
      </c>
      <c r="F374">
        <v>245084</v>
      </c>
      <c r="G374" t="s">
        <v>1024</v>
      </c>
      <c r="H374" t="s">
        <v>1856</v>
      </c>
      <c r="I374" t="s">
        <v>1841</v>
      </c>
      <c r="J374" t="s">
        <v>1401</v>
      </c>
      <c r="K374" t="s">
        <v>1086</v>
      </c>
      <c r="L374" t="s">
        <v>1087</v>
      </c>
      <c r="M374" t="s">
        <v>1057</v>
      </c>
      <c r="N374" t="s">
        <v>1088</v>
      </c>
      <c r="O374" t="s">
        <v>994</v>
      </c>
      <c r="P374" t="s">
        <v>1089</v>
      </c>
      <c r="Q374" t="b">
        <v>1</v>
      </c>
      <c r="R374" t="b">
        <v>0</v>
      </c>
      <c r="S374" t="s">
        <v>1033</v>
      </c>
      <c r="T374" t="s">
        <v>994</v>
      </c>
      <c r="U374" t="s">
        <v>1034</v>
      </c>
      <c r="V374" t="s">
        <v>997</v>
      </c>
      <c r="W374" t="s">
        <v>1035</v>
      </c>
      <c r="X374" t="s">
        <v>1842</v>
      </c>
    </row>
    <row r="375" spans="1:24" x14ac:dyDescent="0.25">
      <c r="A375" t="s">
        <v>42</v>
      </c>
      <c r="B375" t="s">
        <v>1857</v>
      </c>
      <c r="C375" t="s">
        <v>352</v>
      </c>
      <c r="D375" t="s">
        <v>994</v>
      </c>
      <c r="E375" t="s">
        <v>1014</v>
      </c>
      <c r="F375">
        <v>262628</v>
      </c>
      <c r="G375" t="s">
        <v>1024</v>
      </c>
      <c r="H375" t="s">
        <v>1858</v>
      </c>
      <c r="I375" t="s">
        <v>1841</v>
      </c>
      <c r="J375" t="s">
        <v>1401</v>
      </c>
      <c r="K375" t="s">
        <v>1092</v>
      </c>
      <c r="L375" t="s">
        <v>1093</v>
      </c>
      <c r="M375" t="s">
        <v>1029</v>
      </c>
      <c r="N375" t="s">
        <v>1094</v>
      </c>
      <c r="O375" t="s">
        <v>994</v>
      </c>
      <c r="P375" t="s">
        <v>1096</v>
      </c>
      <c r="Q375" t="b">
        <v>1</v>
      </c>
      <c r="R375" t="b">
        <v>0</v>
      </c>
      <c r="S375" t="s">
        <v>1033</v>
      </c>
      <c r="T375" t="s">
        <v>994</v>
      </c>
      <c r="U375" t="s">
        <v>1034</v>
      </c>
      <c r="V375" t="s">
        <v>997</v>
      </c>
      <c r="W375" t="s">
        <v>1035</v>
      </c>
      <c r="X375" t="s">
        <v>1842</v>
      </c>
    </row>
    <row r="376" spans="1:24" x14ac:dyDescent="0.25">
      <c r="A376" t="s">
        <v>42</v>
      </c>
      <c r="B376" t="s">
        <v>1859</v>
      </c>
      <c r="C376" t="s">
        <v>352</v>
      </c>
      <c r="D376" t="s">
        <v>994</v>
      </c>
      <c r="E376" t="s">
        <v>1016</v>
      </c>
      <c r="F376">
        <v>275760</v>
      </c>
      <c r="G376" t="s">
        <v>1024</v>
      </c>
      <c r="H376" t="s">
        <v>1860</v>
      </c>
      <c r="I376" t="s">
        <v>1841</v>
      </c>
      <c r="J376" t="s">
        <v>1401</v>
      </c>
      <c r="K376" t="s">
        <v>1100</v>
      </c>
      <c r="L376" t="s">
        <v>1101</v>
      </c>
      <c r="M376" t="s">
        <v>1029</v>
      </c>
      <c r="N376" t="s">
        <v>1102</v>
      </c>
      <c r="O376" t="s">
        <v>994</v>
      </c>
      <c r="P376" t="s">
        <v>1104</v>
      </c>
      <c r="Q376" t="b">
        <v>1</v>
      </c>
      <c r="R376" t="b">
        <v>0</v>
      </c>
      <c r="S376" t="s">
        <v>1033</v>
      </c>
      <c r="T376" t="s">
        <v>994</v>
      </c>
      <c r="U376" t="s">
        <v>1034</v>
      </c>
      <c r="V376" t="s">
        <v>997</v>
      </c>
      <c r="W376" t="s">
        <v>1035</v>
      </c>
      <c r="X376" t="s">
        <v>1842</v>
      </c>
    </row>
    <row r="377" spans="1:24" x14ac:dyDescent="0.25">
      <c r="A377" t="s">
        <v>42</v>
      </c>
      <c r="B377" t="s">
        <v>1861</v>
      </c>
      <c r="C377" t="s">
        <v>352</v>
      </c>
      <c r="D377" t="s">
        <v>994</v>
      </c>
      <c r="E377" t="s">
        <v>1018</v>
      </c>
      <c r="F377">
        <v>297226</v>
      </c>
      <c r="G377" t="s">
        <v>1024</v>
      </c>
      <c r="H377" t="s">
        <v>1862</v>
      </c>
      <c r="I377" t="s">
        <v>1841</v>
      </c>
      <c r="J377" t="s">
        <v>1401</v>
      </c>
      <c r="K377" t="s">
        <v>1107</v>
      </c>
      <c r="L377" t="s">
        <v>1108</v>
      </c>
      <c r="M377" t="s">
        <v>1029</v>
      </c>
      <c r="N377" t="s">
        <v>1109</v>
      </c>
      <c r="O377" t="s">
        <v>994</v>
      </c>
      <c r="P377" t="s">
        <v>1111</v>
      </c>
      <c r="Q377" t="b">
        <v>1</v>
      </c>
      <c r="R377" t="b">
        <v>0</v>
      </c>
      <c r="S377" t="s">
        <v>1033</v>
      </c>
      <c r="T377" t="s">
        <v>994</v>
      </c>
      <c r="U377" t="s">
        <v>1034</v>
      </c>
      <c r="V377" t="s">
        <v>997</v>
      </c>
      <c r="W377" t="s">
        <v>1035</v>
      </c>
      <c r="X377" t="s">
        <v>1842</v>
      </c>
    </row>
    <row r="378" spans="1:24" x14ac:dyDescent="0.25">
      <c r="A378" t="s">
        <v>42</v>
      </c>
      <c r="B378" t="s">
        <v>1863</v>
      </c>
      <c r="C378" t="s">
        <v>352</v>
      </c>
      <c r="D378" t="s">
        <v>994</v>
      </c>
      <c r="E378" t="s">
        <v>1020</v>
      </c>
      <c r="F378">
        <v>324055</v>
      </c>
      <c r="G378" t="s">
        <v>1024</v>
      </c>
      <c r="H378" t="s">
        <v>1864</v>
      </c>
      <c r="I378" t="s">
        <v>1841</v>
      </c>
      <c r="J378" t="s">
        <v>1401</v>
      </c>
      <c r="K378" t="s">
        <v>1114</v>
      </c>
      <c r="L378" t="s">
        <v>1115</v>
      </c>
      <c r="M378" t="s">
        <v>1057</v>
      </c>
      <c r="N378" t="s">
        <v>1116</v>
      </c>
      <c r="O378" t="s">
        <v>994</v>
      </c>
      <c r="P378" t="s">
        <v>1117</v>
      </c>
      <c r="Q378" t="b">
        <v>1</v>
      </c>
      <c r="R378" t="b">
        <v>0</v>
      </c>
      <c r="S378" t="s">
        <v>1033</v>
      </c>
      <c r="T378" t="s">
        <v>994</v>
      </c>
      <c r="U378" t="s">
        <v>1034</v>
      </c>
      <c r="V378" t="s">
        <v>997</v>
      </c>
      <c r="W378" t="s">
        <v>1035</v>
      </c>
      <c r="X378" t="s">
        <v>1842</v>
      </c>
    </row>
    <row r="379" spans="1:24" x14ac:dyDescent="0.25">
      <c r="A379" t="s">
        <v>42</v>
      </c>
      <c r="B379" t="s">
        <v>1865</v>
      </c>
      <c r="C379" t="s">
        <v>352</v>
      </c>
      <c r="D379" t="s">
        <v>994</v>
      </c>
      <c r="E379" t="s">
        <v>1022</v>
      </c>
      <c r="F379">
        <v>384024</v>
      </c>
      <c r="G379" t="s">
        <v>1024</v>
      </c>
      <c r="H379" t="s">
        <v>1866</v>
      </c>
      <c r="I379" t="s">
        <v>1841</v>
      </c>
      <c r="J379" t="s">
        <v>1401</v>
      </c>
      <c r="K379" t="s">
        <v>1120</v>
      </c>
      <c r="L379" t="s">
        <v>1121</v>
      </c>
      <c r="M379" t="s">
        <v>1029</v>
      </c>
      <c r="N379" t="s">
        <v>1122</v>
      </c>
      <c r="O379" t="s">
        <v>994</v>
      </c>
      <c r="P379" t="s">
        <v>1124</v>
      </c>
      <c r="Q379" t="b">
        <v>1</v>
      </c>
      <c r="R379" t="b">
        <v>0</v>
      </c>
      <c r="S379" t="s">
        <v>1033</v>
      </c>
      <c r="T379" t="s">
        <v>994</v>
      </c>
      <c r="U379" t="s">
        <v>1034</v>
      </c>
      <c r="V379" t="s">
        <v>997</v>
      </c>
      <c r="W379" t="s">
        <v>1035</v>
      </c>
      <c r="X379" t="s">
        <v>1842</v>
      </c>
    </row>
    <row r="380" spans="1:24" x14ac:dyDescent="0.25">
      <c r="A380" t="s">
        <v>42</v>
      </c>
      <c r="B380" t="s">
        <v>1867</v>
      </c>
      <c r="C380" t="s">
        <v>353</v>
      </c>
      <c r="D380" t="s">
        <v>994</v>
      </c>
      <c r="E380" t="s">
        <v>992</v>
      </c>
      <c r="F380">
        <v>0</v>
      </c>
      <c r="G380" t="s">
        <v>1126</v>
      </c>
      <c r="H380" t="s">
        <v>1868</v>
      </c>
      <c r="I380" t="s">
        <v>1869</v>
      </c>
      <c r="J380" t="s">
        <v>1401</v>
      </c>
      <c r="K380" t="s">
        <v>994</v>
      </c>
      <c r="L380" t="s">
        <v>994</v>
      </c>
      <c r="M380" t="s">
        <v>994</v>
      </c>
      <c r="N380" t="s">
        <v>994</v>
      </c>
      <c r="O380" t="s">
        <v>994</v>
      </c>
      <c r="P380" t="s">
        <v>994</v>
      </c>
      <c r="Q380" t="b">
        <v>1</v>
      </c>
      <c r="R380" t="b">
        <v>0</v>
      </c>
      <c r="S380" t="s">
        <v>1033</v>
      </c>
      <c r="T380" t="s">
        <v>994</v>
      </c>
      <c r="U380" t="s">
        <v>1034</v>
      </c>
      <c r="V380" t="s">
        <v>1062</v>
      </c>
      <c r="W380" t="s">
        <v>1187</v>
      </c>
      <c r="X380" t="s">
        <v>994</v>
      </c>
    </row>
    <row r="381" spans="1:24" x14ac:dyDescent="0.25">
      <c r="A381" t="s">
        <v>42</v>
      </c>
      <c r="B381" t="s">
        <v>1870</v>
      </c>
      <c r="C381" t="s">
        <v>353</v>
      </c>
      <c r="D381" t="s">
        <v>994</v>
      </c>
      <c r="E381" t="s">
        <v>1000</v>
      </c>
      <c r="F381">
        <v>0</v>
      </c>
      <c r="G381" t="s">
        <v>1126</v>
      </c>
      <c r="H381" t="s">
        <v>1868</v>
      </c>
      <c r="I381" t="s">
        <v>1869</v>
      </c>
      <c r="J381" t="s">
        <v>1401</v>
      </c>
      <c r="K381" t="s">
        <v>994</v>
      </c>
      <c r="L381" t="s">
        <v>994</v>
      </c>
      <c r="M381" t="s">
        <v>994</v>
      </c>
      <c r="N381" t="s">
        <v>994</v>
      </c>
      <c r="O381" t="s">
        <v>994</v>
      </c>
      <c r="P381" t="s">
        <v>994</v>
      </c>
      <c r="Q381" t="b">
        <v>1</v>
      </c>
      <c r="R381" t="b">
        <v>0</v>
      </c>
      <c r="S381" t="s">
        <v>1033</v>
      </c>
      <c r="T381" t="s">
        <v>994</v>
      </c>
      <c r="U381" t="s">
        <v>1034</v>
      </c>
      <c r="V381" t="s">
        <v>1062</v>
      </c>
      <c r="W381" t="s">
        <v>1187</v>
      </c>
      <c r="X381" t="s">
        <v>994</v>
      </c>
    </row>
    <row r="382" spans="1:24" x14ac:dyDescent="0.25">
      <c r="A382" t="s">
        <v>42</v>
      </c>
      <c r="B382" t="s">
        <v>1871</v>
      </c>
      <c r="C382" t="s">
        <v>353</v>
      </c>
      <c r="D382" t="s">
        <v>994</v>
      </c>
      <c r="E382" t="s">
        <v>1002</v>
      </c>
      <c r="F382">
        <v>0</v>
      </c>
      <c r="G382" t="s">
        <v>1126</v>
      </c>
      <c r="H382" t="s">
        <v>1868</v>
      </c>
      <c r="I382" t="s">
        <v>1869</v>
      </c>
      <c r="J382" t="s">
        <v>1401</v>
      </c>
      <c r="K382" t="s">
        <v>994</v>
      </c>
      <c r="L382" t="s">
        <v>994</v>
      </c>
      <c r="M382" t="s">
        <v>994</v>
      </c>
      <c r="N382" t="s">
        <v>994</v>
      </c>
      <c r="O382" t="s">
        <v>994</v>
      </c>
      <c r="P382" t="s">
        <v>994</v>
      </c>
      <c r="Q382" t="b">
        <v>1</v>
      </c>
      <c r="R382" t="b">
        <v>0</v>
      </c>
      <c r="S382" t="s">
        <v>1033</v>
      </c>
      <c r="T382" t="s">
        <v>994</v>
      </c>
      <c r="U382" t="s">
        <v>1034</v>
      </c>
      <c r="V382" t="s">
        <v>1062</v>
      </c>
      <c r="W382" t="s">
        <v>1187</v>
      </c>
      <c r="X382" t="s">
        <v>994</v>
      </c>
    </row>
    <row r="383" spans="1:24" x14ac:dyDescent="0.25">
      <c r="A383" t="s">
        <v>42</v>
      </c>
      <c r="B383" t="s">
        <v>1872</v>
      </c>
      <c r="C383" t="s">
        <v>353</v>
      </c>
      <c r="D383" t="s">
        <v>994</v>
      </c>
      <c r="E383" t="s">
        <v>1004</v>
      </c>
      <c r="F383">
        <v>0</v>
      </c>
      <c r="G383" t="s">
        <v>1126</v>
      </c>
      <c r="H383" t="s">
        <v>1868</v>
      </c>
      <c r="I383" t="s">
        <v>1869</v>
      </c>
      <c r="J383" t="s">
        <v>1401</v>
      </c>
      <c r="K383" t="s">
        <v>994</v>
      </c>
      <c r="L383" t="s">
        <v>994</v>
      </c>
      <c r="M383" t="s">
        <v>994</v>
      </c>
      <c r="N383" t="s">
        <v>994</v>
      </c>
      <c r="O383" t="s">
        <v>994</v>
      </c>
      <c r="P383" t="s">
        <v>994</v>
      </c>
      <c r="Q383" t="b">
        <v>1</v>
      </c>
      <c r="R383" t="b">
        <v>0</v>
      </c>
      <c r="S383" t="s">
        <v>1033</v>
      </c>
      <c r="T383" t="s">
        <v>994</v>
      </c>
      <c r="U383" t="s">
        <v>1034</v>
      </c>
      <c r="V383" t="s">
        <v>1062</v>
      </c>
      <c r="W383" t="s">
        <v>1187</v>
      </c>
      <c r="X383" t="s">
        <v>994</v>
      </c>
    </row>
    <row r="384" spans="1:24" x14ac:dyDescent="0.25">
      <c r="A384" t="s">
        <v>42</v>
      </c>
      <c r="B384" t="s">
        <v>1873</v>
      </c>
      <c r="C384" t="s">
        <v>353</v>
      </c>
      <c r="D384" t="s">
        <v>994</v>
      </c>
      <c r="E384" t="s">
        <v>1006</v>
      </c>
      <c r="F384">
        <v>0</v>
      </c>
      <c r="G384" t="s">
        <v>1126</v>
      </c>
      <c r="H384" t="s">
        <v>1868</v>
      </c>
      <c r="I384" t="s">
        <v>1869</v>
      </c>
      <c r="J384" t="s">
        <v>1401</v>
      </c>
      <c r="K384" t="s">
        <v>994</v>
      </c>
      <c r="L384" t="s">
        <v>994</v>
      </c>
      <c r="M384" t="s">
        <v>994</v>
      </c>
      <c r="N384" t="s">
        <v>994</v>
      </c>
      <c r="O384" t="s">
        <v>994</v>
      </c>
      <c r="P384" t="s">
        <v>994</v>
      </c>
      <c r="Q384" t="b">
        <v>1</v>
      </c>
      <c r="R384" t="b">
        <v>0</v>
      </c>
      <c r="S384" t="s">
        <v>1033</v>
      </c>
      <c r="T384" t="s">
        <v>994</v>
      </c>
      <c r="U384" t="s">
        <v>1034</v>
      </c>
      <c r="V384" t="s">
        <v>1062</v>
      </c>
      <c r="W384" t="s">
        <v>1187</v>
      </c>
      <c r="X384" t="s">
        <v>994</v>
      </c>
    </row>
    <row r="385" spans="1:24" x14ac:dyDescent="0.25">
      <c r="A385" t="s">
        <v>42</v>
      </c>
      <c r="B385" t="s">
        <v>1874</v>
      </c>
      <c r="C385" t="s">
        <v>353</v>
      </c>
      <c r="D385" t="s">
        <v>994</v>
      </c>
      <c r="E385" t="s">
        <v>1008</v>
      </c>
      <c r="F385">
        <v>0</v>
      </c>
      <c r="G385" t="s">
        <v>1126</v>
      </c>
      <c r="H385" t="s">
        <v>1868</v>
      </c>
      <c r="I385" t="s">
        <v>1869</v>
      </c>
      <c r="J385" t="s">
        <v>1401</v>
      </c>
      <c r="K385" t="s">
        <v>994</v>
      </c>
      <c r="L385" t="s">
        <v>994</v>
      </c>
      <c r="M385" t="s">
        <v>994</v>
      </c>
      <c r="N385" t="s">
        <v>994</v>
      </c>
      <c r="O385" t="s">
        <v>994</v>
      </c>
      <c r="P385" t="s">
        <v>994</v>
      </c>
      <c r="Q385" t="b">
        <v>1</v>
      </c>
      <c r="R385" t="b">
        <v>0</v>
      </c>
      <c r="S385" t="s">
        <v>1033</v>
      </c>
      <c r="T385" t="s">
        <v>994</v>
      </c>
      <c r="U385" t="s">
        <v>1034</v>
      </c>
      <c r="V385" t="s">
        <v>1062</v>
      </c>
      <c r="W385" t="s">
        <v>1187</v>
      </c>
      <c r="X385" t="s">
        <v>994</v>
      </c>
    </row>
    <row r="386" spans="1:24" x14ac:dyDescent="0.25">
      <c r="A386" t="s">
        <v>42</v>
      </c>
      <c r="B386" t="s">
        <v>1875</v>
      </c>
      <c r="C386" t="s">
        <v>353</v>
      </c>
      <c r="D386" t="s">
        <v>994</v>
      </c>
      <c r="E386" t="s">
        <v>1010</v>
      </c>
      <c r="F386">
        <v>0</v>
      </c>
      <c r="G386" t="s">
        <v>1126</v>
      </c>
      <c r="H386" t="s">
        <v>1868</v>
      </c>
      <c r="I386" t="s">
        <v>1869</v>
      </c>
      <c r="J386" t="s">
        <v>1401</v>
      </c>
      <c r="K386" t="s">
        <v>994</v>
      </c>
      <c r="L386" t="s">
        <v>994</v>
      </c>
      <c r="M386" t="s">
        <v>994</v>
      </c>
      <c r="N386" t="s">
        <v>994</v>
      </c>
      <c r="O386" t="s">
        <v>994</v>
      </c>
      <c r="P386" t="s">
        <v>994</v>
      </c>
      <c r="Q386" t="b">
        <v>1</v>
      </c>
      <c r="R386" t="b">
        <v>0</v>
      </c>
      <c r="S386" t="s">
        <v>1033</v>
      </c>
      <c r="T386" t="s">
        <v>994</v>
      </c>
      <c r="U386" t="s">
        <v>1034</v>
      </c>
      <c r="V386" t="s">
        <v>1062</v>
      </c>
      <c r="W386" t="s">
        <v>1187</v>
      </c>
      <c r="X386" t="s">
        <v>994</v>
      </c>
    </row>
    <row r="387" spans="1:24" x14ac:dyDescent="0.25">
      <c r="A387" t="s">
        <v>42</v>
      </c>
      <c r="B387" t="s">
        <v>1876</v>
      </c>
      <c r="C387" t="s">
        <v>353</v>
      </c>
      <c r="D387" t="s">
        <v>994</v>
      </c>
      <c r="E387" t="s">
        <v>1012</v>
      </c>
      <c r="F387">
        <v>0</v>
      </c>
      <c r="G387" t="s">
        <v>1126</v>
      </c>
      <c r="H387" t="s">
        <v>1868</v>
      </c>
      <c r="I387" t="s">
        <v>1869</v>
      </c>
      <c r="J387" t="s">
        <v>1401</v>
      </c>
      <c r="K387" t="s">
        <v>994</v>
      </c>
      <c r="L387" t="s">
        <v>994</v>
      </c>
      <c r="M387" t="s">
        <v>994</v>
      </c>
      <c r="N387" t="s">
        <v>994</v>
      </c>
      <c r="O387" t="s">
        <v>994</v>
      </c>
      <c r="P387" t="s">
        <v>994</v>
      </c>
      <c r="Q387" t="b">
        <v>1</v>
      </c>
      <c r="R387" t="b">
        <v>0</v>
      </c>
      <c r="S387" t="s">
        <v>1033</v>
      </c>
      <c r="T387" t="s">
        <v>994</v>
      </c>
      <c r="U387" t="s">
        <v>1034</v>
      </c>
      <c r="V387" t="s">
        <v>1062</v>
      </c>
      <c r="W387" t="s">
        <v>1187</v>
      </c>
      <c r="X387" t="s">
        <v>994</v>
      </c>
    </row>
    <row r="388" spans="1:24" x14ac:dyDescent="0.25">
      <c r="A388" t="s">
        <v>42</v>
      </c>
      <c r="B388" t="s">
        <v>1877</v>
      </c>
      <c r="C388" t="s">
        <v>353</v>
      </c>
      <c r="D388" t="s">
        <v>994</v>
      </c>
      <c r="E388" t="s">
        <v>1014</v>
      </c>
      <c r="F388">
        <v>0</v>
      </c>
      <c r="G388" t="s">
        <v>1126</v>
      </c>
      <c r="H388" t="s">
        <v>1868</v>
      </c>
      <c r="I388" t="s">
        <v>1869</v>
      </c>
      <c r="J388" t="s">
        <v>1401</v>
      </c>
      <c r="K388" t="s">
        <v>994</v>
      </c>
      <c r="L388" t="s">
        <v>994</v>
      </c>
      <c r="M388" t="s">
        <v>994</v>
      </c>
      <c r="N388" t="s">
        <v>994</v>
      </c>
      <c r="O388" t="s">
        <v>994</v>
      </c>
      <c r="P388" t="s">
        <v>994</v>
      </c>
      <c r="Q388" t="b">
        <v>1</v>
      </c>
      <c r="R388" t="b">
        <v>0</v>
      </c>
      <c r="S388" t="s">
        <v>1033</v>
      </c>
      <c r="T388" t="s">
        <v>994</v>
      </c>
      <c r="U388" t="s">
        <v>1034</v>
      </c>
      <c r="V388" t="s">
        <v>1062</v>
      </c>
      <c r="W388" t="s">
        <v>1187</v>
      </c>
      <c r="X388" t="s">
        <v>994</v>
      </c>
    </row>
    <row r="389" spans="1:24" x14ac:dyDescent="0.25">
      <c r="A389" t="s">
        <v>42</v>
      </c>
      <c r="B389" t="s">
        <v>1878</v>
      </c>
      <c r="C389" t="s">
        <v>353</v>
      </c>
      <c r="D389" t="s">
        <v>994</v>
      </c>
      <c r="E389" t="s">
        <v>1016</v>
      </c>
      <c r="F389">
        <v>0</v>
      </c>
      <c r="G389" t="s">
        <v>1126</v>
      </c>
      <c r="H389" t="s">
        <v>1868</v>
      </c>
      <c r="I389" t="s">
        <v>1869</v>
      </c>
      <c r="J389" t="s">
        <v>1401</v>
      </c>
      <c r="K389" t="s">
        <v>994</v>
      </c>
      <c r="L389" t="s">
        <v>994</v>
      </c>
      <c r="M389" t="s">
        <v>994</v>
      </c>
      <c r="N389" t="s">
        <v>994</v>
      </c>
      <c r="O389" t="s">
        <v>994</v>
      </c>
      <c r="P389" t="s">
        <v>994</v>
      </c>
      <c r="Q389" t="b">
        <v>1</v>
      </c>
      <c r="R389" t="b">
        <v>0</v>
      </c>
      <c r="S389" t="s">
        <v>1033</v>
      </c>
      <c r="T389" t="s">
        <v>994</v>
      </c>
      <c r="U389" t="s">
        <v>1034</v>
      </c>
      <c r="V389" t="s">
        <v>1062</v>
      </c>
      <c r="W389" t="s">
        <v>1187</v>
      </c>
      <c r="X389" t="s">
        <v>994</v>
      </c>
    </row>
    <row r="390" spans="1:24" x14ac:dyDescent="0.25">
      <c r="A390" t="s">
        <v>42</v>
      </c>
      <c r="B390" t="s">
        <v>1879</v>
      </c>
      <c r="C390" t="s">
        <v>353</v>
      </c>
      <c r="D390" t="s">
        <v>994</v>
      </c>
      <c r="E390" t="s">
        <v>1018</v>
      </c>
      <c r="F390">
        <v>0</v>
      </c>
      <c r="G390" t="s">
        <v>1126</v>
      </c>
      <c r="H390" t="s">
        <v>1868</v>
      </c>
      <c r="I390" t="s">
        <v>1869</v>
      </c>
      <c r="J390" t="s">
        <v>1401</v>
      </c>
      <c r="K390" t="s">
        <v>994</v>
      </c>
      <c r="L390" t="s">
        <v>994</v>
      </c>
      <c r="M390" t="s">
        <v>994</v>
      </c>
      <c r="N390" t="s">
        <v>994</v>
      </c>
      <c r="O390" t="s">
        <v>994</v>
      </c>
      <c r="P390" t="s">
        <v>994</v>
      </c>
      <c r="Q390" t="b">
        <v>1</v>
      </c>
      <c r="R390" t="b">
        <v>0</v>
      </c>
      <c r="S390" t="s">
        <v>1033</v>
      </c>
      <c r="T390" t="s">
        <v>994</v>
      </c>
      <c r="U390" t="s">
        <v>1034</v>
      </c>
      <c r="V390" t="s">
        <v>1062</v>
      </c>
      <c r="W390" t="s">
        <v>1187</v>
      </c>
      <c r="X390" t="s">
        <v>994</v>
      </c>
    </row>
    <row r="391" spans="1:24" x14ac:dyDescent="0.25">
      <c r="A391" t="s">
        <v>42</v>
      </c>
      <c r="B391" t="s">
        <v>1880</v>
      </c>
      <c r="C391" t="s">
        <v>353</v>
      </c>
      <c r="D391" t="s">
        <v>994</v>
      </c>
      <c r="E391" t="s">
        <v>1020</v>
      </c>
      <c r="F391">
        <v>0</v>
      </c>
      <c r="G391" t="s">
        <v>1126</v>
      </c>
      <c r="H391" t="s">
        <v>1868</v>
      </c>
      <c r="I391" t="s">
        <v>1869</v>
      </c>
      <c r="J391" t="s">
        <v>1401</v>
      </c>
      <c r="K391" t="s">
        <v>994</v>
      </c>
      <c r="L391" t="s">
        <v>994</v>
      </c>
      <c r="M391" t="s">
        <v>994</v>
      </c>
      <c r="N391" t="s">
        <v>994</v>
      </c>
      <c r="O391" t="s">
        <v>994</v>
      </c>
      <c r="P391" t="s">
        <v>994</v>
      </c>
      <c r="Q391" t="b">
        <v>1</v>
      </c>
      <c r="R391" t="b">
        <v>0</v>
      </c>
      <c r="S391" t="s">
        <v>1033</v>
      </c>
      <c r="T391" t="s">
        <v>994</v>
      </c>
      <c r="U391" t="s">
        <v>1034</v>
      </c>
      <c r="V391" t="s">
        <v>1062</v>
      </c>
      <c r="W391" t="s">
        <v>1187</v>
      </c>
      <c r="X391" t="s">
        <v>994</v>
      </c>
    </row>
    <row r="392" spans="1:24" x14ac:dyDescent="0.25">
      <c r="A392" t="s">
        <v>42</v>
      </c>
      <c r="B392" t="s">
        <v>1881</v>
      </c>
      <c r="C392" t="s">
        <v>353</v>
      </c>
      <c r="D392" t="s">
        <v>994</v>
      </c>
      <c r="E392" t="s">
        <v>1022</v>
      </c>
      <c r="F392">
        <v>0</v>
      </c>
      <c r="G392" t="s">
        <v>1126</v>
      </c>
      <c r="H392" t="s">
        <v>1868</v>
      </c>
      <c r="I392" t="s">
        <v>1869</v>
      </c>
      <c r="J392" t="s">
        <v>1401</v>
      </c>
      <c r="K392" t="s">
        <v>994</v>
      </c>
      <c r="L392" t="s">
        <v>994</v>
      </c>
      <c r="M392" t="s">
        <v>994</v>
      </c>
      <c r="N392" t="s">
        <v>994</v>
      </c>
      <c r="O392" t="s">
        <v>994</v>
      </c>
      <c r="P392" t="s">
        <v>994</v>
      </c>
      <c r="Q392" t="b">
        <v>1</v>
      </c>
      <c r="R392" t="b">
        <v>0</v>
      </c>
      <c r="S392" t="s">
        <v>1033</v>
      </c>
      <c r="T392" t="s">
        <v>994</v>
      </c>
      <c r="U392" t="s">
        <v>1034</v>
      </c>
      <c r="V392" t="s">
        <v>1062</v>
      </c>
      <c r="W392" t="s">
        <v>1187</v>
      </c>
      <c r="X392" t="s">
        <v>994</v>
      </c>
    </row>
    <row r="393" spans="1:24" x14ac:dyDescent="0.25">
      <c r="A393" t="s">
        <v>42</v>
      </c>
      <c r="B393" t="s">
        <v>1882</v>
      </c>
      <c r="C393" t="s">
        <v>354</v>
      </c>
      <c r="D393" t="s">
        <v>994</v>
      </c>
      <c r="E393" t="s">
        <v>992</v>
      </c>
      <c r="F393">
        <v>-6000</v>
      </c>
      <c r="G393" t="s">
        <v>1024</v>
      </c>
      <c r="H393" t="s">
        <v>1883</v>
      </c>
      <c r="I393" t="s">
        <v>1884</v>
      </c>
      <c r="J393" t="s">
        <v>1401</v>
      </c>
      <c r="K393" t="s">
        <v>1027</v>
      </c>
      <c r="L393" t="s">
        <v>1028</v>
      </c>
      <c r="M393" t="s">
        <v>1029</v>
      </c>
      <c r="N393" t="s">
        <v>1030</v>
      </c>
      <c r="O393" t="s">
        <v>994</v>
      </c>
      <c r="P393" t="s">
        <v>1032</v>
      </c>
      <c r="Q393" t="b">
        <v>1</v>
      </c>
      <c r="R393" t="b">
        <v>0</v>
      </c>
      <c r="S393" t="s">
        <v>1033</v>
      </c>
      <c r="T393" t="s">
        <v>994</v>
      </c>
      <c r="U393" t="s">
        <v>1034</v>
      </c>
      <c r="V393" t="s">
        <v>997</v>
      </c>
      <c r="W393" t="s">
        <v>1035</v>
      </c>
      <c r="X393" t="s">
        <v>1885</v>
      </c>
    </row>
    <row r="394" spans="1:24" x14ac:dyDescent="0.25">
      <c r="A394" t="s">
        <v>42</v>
      </c>
      <c r="B394" t="s">
        <v>1886</v>
      </c>
      <c r="C394" t="s">
        <v>354</v>
      </c>
      <c r="D394" t="s">
        <v>994</v>
      </c>
      <c r="E394" t="s">
        <v>1000</v>
      </c>
      <c r="F394">
        <v>-5991</v>
      </c>
      <c r="G394" t="s">
        <v>1024</v>
      </c>
      <c r="H394" t="s">
        <v>1887</v>
      </c>
      <c r="I394" t="s">
        <v>1884</v>
      </c>
      <c r="J394" t="s">
        <v>1401</v>
      </c>
      <c r="K394" t="s">
        <v>1039</v>
      </c>
      <c r="L394" t="s">
        <v>1040</v>
      </c>
      <c r="M394" t="s">
        <v>1029</v>
      </c>
      <c r="N394" t="s">
        <v>1041</v>
      </c>
      <c r="O394" t="s">
        <v>994</v>
      </c>
      <c r="P394" t="s">
        <v>1043</v>
      </c>
      <c r="Q394" t="b">
        <v>1</v>
      </c>
      <c r="R394" t="b">
        <v>0</v>
      </c>
      <c r="S394" t="s">
        <v>1033</v>
      </c>
      <c r="T394" t="s">
        <v>994</v>
      </c>
      <c r="U394" t="s">
        <v>1034</v>
      </c>
      <c r="V394" t="s">
        <v>997</v>
      </c>
      <c r="W394" t="s">
        <v>1035</v>
      </c>
      <c r="X394" t="s">
        <v>1885</v>
      </c>
    </row>
    <row r="395" spans="1:24" x14ac:dyDescent="0.25">
      <c r="A395" t="s">
        <v>42</v>
      </c>
      <c r="B395" t="s">
        <v>1888</v>
      </c>
      <c r="C395" t="s">
        <v>354</v>
      </c>
      <c r="D395" t="s">
        <v>994</v>
      </c>
      <c r="E395" t="s">
        <v>1002</v>
      </c>
      <c r="F395">
        <v>-7036</v>
      </c>
      <c r="G395" t="s">
        <v>1024</v>
      </c>
      <c r="H395" t="s">
        <v>1889</v>
      </c>
      <c r="I395" t="s">
        <v>1884</v>
      </c>
      <c r="J395" t="s">
        <v>1401</v>
      </c>
      <c r="K395" t="s">
        <v>1046</v>
      </c>
      <c r="L395" t="s">
        <v>1047</v>
      </c>
      <c r="M395" t="s">
        <v>1029</v>
      </c>
      <c r="N395" t="s">
        <v>1048</v>
      </c>
      <c r="O395" t="s">
        <v>994</v>
      </c>
      <c r="P395" t="s">
        <v>1050</v>
      </c>
      <c r="Q395" t="b">
        <v>1</v>
      </c>
      <c r="R395" t="b">
        <v>0</v>
      </c>
      <c r="S395" t="s">
        <v>1033</v>
      </c>
      <c r="T395" t="s">
        <v>994</v>
      </c>
      <c r="U395" t="s">
        <v>1034</v>
      </c>
      <c r="V395" t="s">
        <v>997</v>
      </c>
      <c r="W395" t="s">
        <v>1035</v>
      </c>
      <c r="X395" t="s">
        <v>1885</v>
      </c>
    </row>
    <row r="396" spans="1:24" x14ac:dyDescent="0.25">
      <c r="A396" t="s">
        <v>42</v>
      </c>
      <c r="B396" t="s">
        <v>1890</v>
      </c>
      <c r="C396" t="s">
        <v>354</v>
      </c>
      <c r="D396" t="s">
        <v>994</v>
      </c>
      <c r="E396" t="s">
        <v>1004</v>
      </c>
      <c r="F396">
        <v>-4402</v>
      </c>
      <c r="G396" t="s">
        <v>1024</v>
      </c>
      <c r="H396" t="s">
        <v>1891</v>
      </c>
      <c r="I396" t="s">
        <v>1884</v>
      </c>
      <c r="J396" t="s">
        <v>1401</v>
      </c>
      <c r="K396" t="s">
        <v>1055</v>
      </c>
      <c r="L396" t="s">
        <v>1056</v>
      </c>
      <c r="M396" t="s">
        <v>1057</v>
      </c>
      <c r="N396" t="s">
        <v>1058</v>
      </c>
      <c r="O396" t="s">
        <v>994</v>
      </c>
      <c r="P396" t="s">
        <v>1059</v>
      </c>
      <c r="Q396" t="b">
        <v>1</v>
      </c>
      <c r="R396" t="b">
        <v>0</v>
      </c>
      <c r="S396" t="s">
        <v>1033</v>
      </c>
      <c r="T396" t="s">
        <v>994</v>
      </c>
      <c r="U396" t="s">
        <v>1034</v>
      </c>
      <c r="V396" t="s">
        <v>997</v>
      </c>
      <c r="W396" t="s">
        <v>1035</v>
      </c>
      <c r="X396" t="s">
        <v>1885</v>
      </c>
    </row>
    <row r="397" spans="1:24" x14ac:dyDescent="0.25">
      <c r="A397" t="s">
        <v>42</v>
      </c>
      <c r="B397" t="s">
        <v>1892</v>
      </c>
      <c r="C397" t="s">
        <v>354</v>
      </c>
      <c r="D397" t="s">
        <v>994</v>
      </c>
      <c r="E397" t="s">
        <v>1006</v>
      </c>
      <c r="F397">
        <v>-4839</v>
      </c>
      <c r="G397" t="s">
        <v>1024</v>
      </c>
      <c r="H397" t="s">
        <v>1893</v>
      </c>
      <c r="I397" t="s">
        <v>1884</v>
      </c>
      <c r="J397" t="s">
        <v>1401</v>
      </c>
      <c r="K397" t="s">
        <v>1065</v>
      </c>
      <c r="L397" t="s">
        <v>1066</v>
      </c>
      <c r="M397" t="s">
        <v>1029</v>
      </c>
      <c r="N397" t="s">
        <v>1067</v>
      </c>
      <c r="O397" t="s">
        <v>994</v>
      </c>
      <c r="P397" t="s">
        <v>1069</v>
      </c>
      <c r="Q397" t="b">
        <v>1</v>
      </c>
      <c r="R397" t="b">
        <v>0</v>
      </c>
      <c r="S397" t="s">
        <v>1033</v>
      </c>
      <c r="T397" t="s">
        <v>994</v>
      </c>
      <c r="U397" t="s">
        <v>1034</v>
      </c>
      <c r="V397" t="s">
        <v>997</v>
      </c>
      <c r="W397" t="s">
        <v>1035</v>
      </c>
      <c r="X397" t="s">
        <v>1885</v>
      </c>
    </row>
    <row r="398" spans="1:24" x14ac:dyDescent="0.25">
      <c r="A398" t="s">
        <v>42</v>
      </c>
      <c r="B398" t="s">
        <v>1894</v>
      </c>
      <c r="C398" t="s">
        <v>354</v>
      </c>
      <c r="D398" t="s">
        <v>994</v>
      </c>
      <c r="E398" t="s">
        <v>1008</v>
      </c>
      <c r="F398">
        <v>-5012</v>
      </c>
      <c r="G398" t="s">
        <v>1024</v>
      </c>
      <c r="H398" t="s">
        <v>1895</v>
      </c>
      <c r="I398" t="s">
        <v>1884</v>
      </c>
      <c r="J398" t="s">
        <v>1401</v>
      </c>
      <c r="K398" t="s">
        <v>1072</v>
      </c>
      <c r="L398" t="s">
        <v>1073</v>
      </c>
      <c r="M398" t="s">
        <v>1029</v>
      </c>
      <c r="N398" t="s">
        <v>1074</v>
      </c>
      <c r="O398" t="s">
        <v>994</v>
      </c>
      <c r="P398" t="s">
        <v>1076</v>
      </c>
      <c r="Q398" t="b">
        <v>1</v>
      </c>
      <c r="R398" t="b">
        <v>0</v>
      </c>
      <c r="S398" t="s">
        <v>1033</v>
      </c>
      <c r="T398" t="s">
        <v>994</v>
      </c>
      <c r="U398" t="s">
        <v>1034</v>
      </c>
      <c r="V398" t="s">
        <v>997</v>
      </c>
      <c r="W398" t="s">
        <v>1035</v>
      </c>
      <c r="X398" t="s">
        <v>1885</v>
      </c>
    </row>
    <row r="399" spans="1:24" x14ac:dyDescent="0.25">
      <c r="A399" t="s">
        <v>42</v>
      </c>
      <c r="B399" t="s">
        <v>1896</v>
      </c>
      <c r="C399" t="s">
        <v>354</v>
      </c>
      <c r="D399" t="s">
        <v>994</v>
      </c>
      <c r="E399" t="s">
        <v>1010</v>
      </c>
      <c r="F399">
        <v>-3228</v>
      </c>
      <c r="G399" t="s">
        <v>1024</v>
      </c>
      <c r="H399" t="s">
        <v>1897</v>
      </c>
      <c r="I399" t="s">
        <v>1884</v>
      </c>
      <c r="J399" t="s">
        <v>1401</v>
      </c>
      <c r="K399" t="s">
        <v>1079</v>
      </c>
      <c r="L399" t="s">
        <v>1080</v>
      </c>
      <c r="M399" t="s">
        <v>1029</v>
      </c>
      <c r="N399" t="s">
        <v>1081</v>
      </c>
      <c r="O399" t="s">
        <v>994</v>
      </c>
      <c r="P399" t="s">
        <v>1083</v>
      </c>
      <c r="Q399" t="b">
        <v>1</v>
      </c>
      <c r="R399" t="b">
        <v>0</v>
      </c>
      <c r="S399" t="s">
        <v>1033</v>
      </c>
      <c r="T399" t="s">
        <v>994</v>
      </c>
      <c r="U399" t="s">
        <v>1034</v>
      </c>
      <c r="V399" t="s">
        <v>997</v>
      </c>
      <c r="W399" t="s">
        <v>1035</v>
      </c>
      <c r="X399" t="s">
        <v>1885</v>
      </c>
    </row>
    <row r="400" spans="1:24" x14ac:dyDescent="0.25">
      <c r="A400" t="s">
        <v>42</v>
      </c>
      <c r="B400" t="s">
        <v>1898</v>
      </c>
      <c r="C400" t="s">
        <v>354</v>
      </c>
      <c r="D400" t="s">
        <v>994</v>
      </c>
      <c r="E400" t="s">
        <v>1012</v>
      </c>
      <c r="F400">
        <v>-4800</v>
      </c>
      <c r="G400" t="s">
        <v>1024</v>
      </c>
      <c r="H400" t="s">
        <v>1899</v>
      </c>
      <c r="I400" t="s">
        <v>1884</v>
      </c>
      <c r="J400" t="s">
        <v>1401</v>
      </c>
      <c r="K400" t="s">
        <v>1086</v>
      </c>
      <c r="L400" t="s">
        <v>1087</v>
      </c>
      <c r="M400" t="s">
        <v>1057</v>
      </c>
      <c r="N400" t="s">
        <v>1088</v>
      </c>
      <c r="O400" t="s">
        <v>994</v>
      </c>
      <c r="P400" t="s">
        <v>1089</v>
      </c>
      <c r="Q400" t="b">
        <v>1</v>
      </c>
      <c r="R400" t="b">
        <v>0</v>
      </c>
      <c r="S400" t="s">
        <v>1033</v>
      </c>
      <c r="T400" t="s">
        <v>994</v>
      </c>
      <c r="U400" t="s">
        <v>1034</v>
      </c>
      <c r="V400" t="s">
        <v>997</v>
      </c>
      <c r="W400" t="s">
        <v>1035</v>
      </c>
      <c r="X400" t="s">
        <v>1885</v>
      </c>
    </row>
    <row r="401" spans="1:24" x14ac:dyDescent="0.25">
      <c r="A401" t="s">
        <v>42</v>
      </c>
      <c r="B401" t="s">
        <v>1900</v>
      </c>
      <c r="C401" t="s">
        <v>354</v>
      </c>
      <c r="D401" t="s">
        <v>994</v>
      </c>
      <c r="E401" t="s">
        <v>1014</v>
      </c>
      <c r="F401">
        <v>-4086</v>
      </c>
      <c r="G401" t="s">
        <v>1024</v>
      </c>
      <c r="H401" t="s">
        <v>1901</v>
      </c>
      <c r="I401" t="s">
        <v>1884</v>
      </c>
      <c r="J401" t="s">
        <v>1401</v>
      </c>
      <c r="K401" t="s">
        <v>1092</v>
      </c>
      <c r="L401" t="s">
        <v>1093</v>
      </c>
      <c r="M401" t="s">
        <v>1029</v>
      </c>
      <c r="N401" t="s">
        <v>1094</v>
      </c>
      <c r="O401" t="s">
        <v>994</v>
      </c>
      <c r="P401" t="s">
        <v>1096</v>
      </c>
      <c r="Q401" t="b">
        <v>1</v>
      </c>
      <c r="R401" t="b">
        <v>0</v>
      </c>
      <c r="S401" t="s">
        <v>1033</v>
      </c>
      <c r="T401" t="s">
        <v>994</v>
      </c>
      <c r="U401" t="s">
        <v>1034</v>
      </c>
      <c r="V401" t="s">
        <v>997</v>
      </c>
      <c r="W401" t="s">
        <v>1035</v>
      </c>
      <c r="X401" t="s">
        <v>1885</v>
      </c>
    </row>
    <row r="402" spans="1:24" x14ac:dyDescent="0.25">
      <c r="A402" t="s">
        <v>42</v>
      </c>
      <c r="B402" t="s">
        <v>1902</v>
      </c>
      <c r="C402" t="s">
        <v>354</v>
      </c>
      <c r="D402" t="s">
        <v>994</v>
      </c>
      <c r="E402" t="s">
        <v>1016</v>
      </c>
      <c r="F402">
        <v>-2127</v>
      </c>
      <c r="G402" t="s">
        <v>1024</v>
      </c>
      <c r="H402" t="s">
        <v>1903</v>
      </c>
      <c r="I402" t="s">
        <v>1884</v>
      </c>
      <c r="J402" t="s">
        <v>1401</v>
      </c>
      <c r="K402" t="s">
        <v>1100</v>
      </c>
      <c r="L402" t="s">
        <v>1101</v>
      </c>
      <c r="M402" t="s">
        <v>1029</v>
      </c>
      <c r="N402" t="s">
        <v>1102</v>
      </c>
      <c r="O402" t="s">
        <v>994</v>
      </c>
      <c r="P402" t="s">
        <v>1104</v>
      </c>
      <c r="Q402" t="b">
        <v>1</v>
      </c>
      <c r="R402" t="b">
        <v>0</v>
      </c>
      <c r="S402" t="s">
        <v>1033</v>
      </c>
      <c r="T402" t="s">
        <v>994</v>
      </c>
      <c r="U402" t="s">
        <v>1034</v>
      </c>
      <c r="V402" t="s">
        <v>997</v>
      </c>
      <c r="W402" t="s">
        <v>1035</v>
      </c>
      <c r="X402" t="s">
        <v>1885</v>
      </c>
    </row>
    <row r="403" spans="1:24" x14ac:dyDescent="0.25">
      <c r="A403" t="s">
        <v>42</v>
      </c>
      <c r="B403" t="s">
        <v>1904</v>
      </c>
      <c r="C403" t="s">
        <v>354</v>
      </c>
      <c r="D403" t="s">
        <v>994</v>
      </c>
      <c r="E403" t="s">
        <v>1018</v>
      </c>
      <c r="F403">
        <v>-2054</v>
      </c>
      <c r="G403" t="s">
        <v>1024</v>
      </c>
      <c r="H403" t="s">
        <v>1905</v>
      </c>
      <c r="I403" t="s">
        <v>1884</v>
      </c>
      <c r="J403" t="s">
        <v>1401</v>
      </c>
      <c r="K403" t="s">
        <v>1107</v>
      </c>
      <c r="L403" t="s">
        <v>1108</v>
      </c>
      <c r="M403" t="s">
        <v>1029</v>
      </c>
      <c r="N403" t="s">
        <v>1109</v>
      </c>
      <c r="O403" t="s">
        <v>994</v>
      </c>
      <c r="P403" t="s">
        <v>1111</v>
      </c>
      <c r="Q403" t="b">
        <v>1</v>
      </c>
      <c r="R403" t="b">
        <v>0</v>
      </c>
      <c r="S403" t="s">
        <v>1033</v>
      </c>
      <c r="T403" t="s">
        <v>994</v>
      </c>
      <c r="U403" t="s">
        <v>1034</v>
      </c>
      <c r="V403" t="s">
        <v>997</v>
      </c>
      <c r="W403" t="s">
        <v>1035</v>
      </c>
      <c r="X403" t="s">
        <v>1885</v>
      </c>
    </row>
    <row r="404" spans="1:24" x14ac:dyDescent="0.25">
      <c r="A404" t="s">
        <v>42</v>
      </c>
      <c r="B404" t="s">
        <v>1906</v>
      </c>
      <c r="C404" t="s">
        <v>354</v>
      </c>
      <c r="D404" t="s">
        <v>994</v>
      </c>
      <c r="E404" t="s">
        <v>1020</v>
      </c>
      <c r="F404">
        <v>-1916</v>
      </c>
      <c r="G404" t="s">
        <v>1024</v>
      </c>
      <c r="H404" t="s">
        <v>1907</v>
      </c>
      <c r="I404" t="s">
        <v>1884</v>
      </c>
      <c r="J404" t="s">
        <v>1401</v>
      </c>
      <c r="K404" t="s">
        <v>1114</v>
      </c>
      <c r="L404" t="s">
        <v>1115</v>
      </c>
      <c r="M404" t="s">
        <v>1057</v>
      </c>
      <c r="N404" t="s">
        <v>1116</v>
      </c>
      <c r="O404" t="s">
        <v>994</v>
      </c>
      <c r="P404" t="s">
        <v>1117</v>
      </c>
      <c r="Q404" t="b">
        <v>1</v>
      </c>
      <c r="R404" t="b">
        <v>0</v>
      </c>
      <c r="S404" t="s">
        <v>1033</v>
      </c>
      <c r="T404" t="s">
        <v>994</v>
      </c>
      <c r="U404" t="s">
        <v>1034</v>
      </c>
      <c r="V404" t="s">
        <v>997</v>
      </c>
      <c r="W404" t="s">
        <v>1035</v>
      </c>
      <c r="X404" t="s">
        <v>1885</v>
      </c>
    </row>
    <row r="405" spans="1:24" x14ac:dyDescent="0.25">
      <c r="A405" t="s">
        <v>42</v>
      </c>
      <c r="B405" t="s">
        <v>1908</v>
      </c>
      <c r="C405" t="s">
        <v>354</v>
      </c>
      <c r="E405" t="s">
        <v>1022</v>
      </c>
      <c r="F405">
        <v>-2180</v>
      </c>
      <c r="G405" t="s">
        <v>1052</v>
      </c>
      <c r="H405" t="s">
        <v>1909</v>
      </c>
      <c r="I405" t="s">
        <v>1884</v>
      </c>
      <c r="J405" t="s">
        <v>1401</v>
      </c>
      <c r="K405" t="s">
        <v>1120</v>
      </c>
      <c r="L405" t="s">
        <v>1121</v>
      </c>
      <c r="M405" t="s">
        <v>1029</v>
      </c>
      <c r="N405" t="s">
        <v>1122</v>
      </c>
      <c r="O405" t="s">
        <v>994</v>
      </c>
      <c r="P405" t="s">
        <v>1124</v>
      </c>
      <c r="Q405" t="b">
        <v>1</v>
      </c>
      <c r="R405" t="b">
        <v>0</v>
      </c>
      <c r="S405" t="s">
        <v>1097</v>
      </c>
      <c r="T405" t="s">
        <v>994</v>
      </c>
      <c r="U405" t="s">
        <v>1061</v>
      </c>
      <c r="V405" t="s">
        <v>997</v>
      </c>
      <c r="W405" t="s">
        <v>1035</v>
      </c>
      <c r="X405" t="s">
        <v>1885</v>
      </c>
    </row>
    <row r="406" spans="1:24" x14ac:dyDescent="0.25">
      <c r="A406" t="s">
        <v>42</v>
      </c>
      <c r="B406" t="s">
        <v>1910</v>
      </c>
      <c r="C406" t="s">
        <v>384</v>
      </c>
      <c r="D406" t="s">
        <v>381</v>
      </c>
      <c r="E406" t="s">
        <v>992</v>
      </c>
      <c r="F406">
        <v>126</v>
      </c>
      <c r="G406" t="s">
        <v>1024</v>
      </c>
      <c r="H406" t="s">
        <v>1911</v>
      </c>
      <c r="I406" t="s">
        <v>1912</v>
      </c>
      <c r="J406" t="s">
        <v>995</v>
      </c>
      <c r="K406" t="s">
        <v>1027</v>
      </c>
      <c r="L406" t="s">
        <v>1913</v>
      </c>
      <c r="M406" t="s">
        <v>1029</v>
      </c>
      <c r="N406" t="s">
        <v>1030</v>
      </c>
      <c r="O406" t="s">
        <v>1031</v>
      </c>
      <c r="P406" t="s">
        <v>1032</v>
      </c>
      <c r="Q406" t="b">
        <v>1</v>
      </c>
      <c r="R406" t="b">
        <v>0</v>
      </c>
      <c r="S406" t="s">
        <v>1033</v>
      </c>
      <c r="T406" t="s">
        <v>994</v>
      </c>
      <c r="U406" t="s">
        <v>1034</v>
      </c>
      <c r="V406" t="s">
        <v>1062</v>
      </c>
      <c r="W406" t="s">
        <v>1035</v>
      </c>
      <c r="X406" t="s">
        <v>994</v>
      </c>
    </row>
    <row r="407" spans="1:24" x14ac:dyDescent="0.25">
      <c r="A407" t="s">
        <v>42</v>
      </c>
      <c r="B407" t="s">
        <v>1914</v>
      </c>
      <c r="C407" t="s">
        <v>405</v>
      </c>
      <c r="D407" t="s">
        <v>403</v>
      </c>
      <c r="E407" t="s">
        <v>992</v>
      </c>
      <c r="F407">
        <v>5284</v>
      </c>
      <c r="G407" t="s">
        <v>1428</v>
      </c>
      <c r="H407" t="s">
        <v>1915</v>
      </c>
      <c r="I407" t="s">
        <v>1916</v>
      </c>
      <c r="J407" t="s">
        <v>1917</v>
      </c>
      <c r="K407" t="s">
        <v>1027</v>
      </c>
      <c r="L407" t="s">
        <v>1028</v>
      </c>
      <c r="M407" t="s">
        <v>1029</v>
      </c>
      <c r="N407" t="s">
        <v>1030</v>
      </c>
      <c r="O407" t="s">
        <v>1031</v>
      </c>
      <c r="P407" t="s">
        <v>1032</v>
      </c>
      <c r="Q407" t="b">
        <v>1</v>
      </c>
      <c r="R407" t="b">
        <v>0</v>
      </c>
      <c r="S407" t="s">
        <v>996</v>
      </c>
      <c r="T407" t="s">
        <v>1918</v>
      </c>
      <c r="U407" t="s">
        <v>1432</v>
      </c>
      <c r="V407" t="s">
        <v>1433</v>
      </c>
      <c r="W407" t="s">
        <v>1919</v>
      </c>
      <c r="X407" t="s">
        <v>1920</v>
      </c>
    </row>
    <row r="408" spans="1:24" x14ac:dyDescent="0.25">
      <c r="A408" t="s">
        <v>42</v>
      </c>
      <c r="B408" t="s">
        <v>1921</v>
      </c>
      <c r="C408" t="s">
        <v>405</v>
      </c>
      <c r="D408" t="s">
        <v>403</v>
      </c>
      <c r="E408" t="s">
        <v>1000</v>
      </c>
      <c r="F408">
        <v>5774</v>
      </c>
      <c r="G408" t="s">
        <v>1428</v>
      </c>
      <c r="H408" t="s">
        <v>1922</v>
      </c>
      <c r="I408" t="s">
        <v>1923</v>
      </c>
      <c r="J408" t="s">
        <v>1917</v>
      </c>
      <c r="K408" t="s">
        <v>1039</v>
      </c>
      <c r="L408" t="s">
        <v>1040</v>
      </c>
      <c r="M408" t="s">
        <v>1029</v>
      </c>
      <c r="N408" t="s">
        <v>1041</v>
      </c>
      <c r="O408" t="s">
        <v>1031</v>
      </c>
      <c r="P408" t="s">
        <v>1043</v>
      </c>
      <c r="Q408" t="b">
        <v>0</v>
      </c>
      <c r="R408" t="b">
        <v>1</v>
      </c>
      <c r="S408" t="s">
        <v>1591</v>
      </c>
      <c r="T408" t="s">
        <v>1918</v>
      </c>
      <c r="U408" t="s">
        <v>1432</v>
      </c>
      <c r="V408" t="s">
        <v>1433</v>
      </c>
      <c r="W408" t="s">
        <v>1919</v>
      </c>
      <c r="X408" t="s">
        <v>994</v>
      </c>
    </row>
    <row r="409" spans="1:24" x14ac:dyDescent="0.25">
      <c r="A409" t="s">
        <v>42</v>
      </c>
      <c r="B409" t="s">
        <v>1924</v>
      </c>
      <c r="C409" t="s">
        <v>405</v>
      </c>
      <c r="D409" t="s">
        <v>403</v>
      </c>
      <c r="E409" t="s">
        <v>1002</v>
      </c>
      <c r="F409">
        <v>5743</v>
      </c>
      <c r="G409" t="s">
        <v>1428</v>
      </c>
      <c r="H409" t="s">
        <v>1925</v>
      </c>
      <c r="I409" t="s">
        <v>1926</v>
      </c>
      <c r="J409" t="s">
        <v>1917</v>
      </c>
      <c r="K409" t="s">
        <v>1046</v>
      </c>
      <c r="L409" t="s">
        <v>1047</v>
      </c>
      <c r="M409" t="s">
        <v>1029</v>
      </c>
      <c r="N409" t="s">
        <v>1048</v>
      </c>
      <c r="O409" t="s">
        <v>1031</v>
      </c>
      <c r="P409" t="s">
        <v>1050</v>
      </c>
      <c r="Q409" t="b">
        <v>0</v>
      </c>
      <c r="R409" t="b">
        <v>1</v>
      </c>
      <c r="S409" t="s">
        <v>1591</v>
      </c>
      <c r="T409" t="s">
        <v>1918</v>
      </c>
      <c r="U409" t="s">
        <v>1432</v>
      </c>
      <c r="V409" t="s">
        <v>1433</v>
      </c>
      <c r="W409" t="s">
        <v>1919</v>
      </c>
      <c r="X409" t="s">
        <v>994</v>
      </c>
    </row>
    <row r="410" spans="1:24" x14ac:dyDescent="0.25">
      <c r="A410" t="s">
        <v>42</v>
      </c>
      <c r="B410" t="s">
        <v>1927</v>
      </c>
      <c r="C410" t="s">
        <v>405</v>
      </c>
      <c r="D410" t="s">
        <v>403</v>
      </c>
      <c r="E410" t="s">
        <v>1004</v>
      </c>
      <c r="F410">
        <v>5659</v>
      </c>
      <c r="G410" t="s">
        <v>1428</v>
      </c>
      <c r="H410" t="s">
        <v>1928</v>
      </c>
      <c r="I410" t="s">
        <v>1929</v>
      </c>
      <c r="J410" t="s">
        <v>1917</v>
      </c>
      <c r="K410" t="s">
        <v>1055</v>
      </c>
      <c r="L410" t="s">
        <v>1056</v>
      </c>
      <c r="M410" t="s">
        <v>1057</v>
      </c>
      <c r="N410" t="s">
        <v>1058</v>
      </c>
      <c r="O410" t="s">
        <v>1031</v>
      </c>
      <c r="P410" t="s">
        <v>1059</v>
      </c>
      <c r="Q410" t="b">
        <v>1</v>
      </c>
      <c r="R410" t="b">
        <v>0</v>
      </c>
      <c r="S410" t="s">
        <v>996</v>
      </c>
      <c r="T410" t="s">
        <v>1918</v>
      </c>
      <c r="U410" t="s">
        <v>1432</v>
      </c>
      <c r="V410" t="s">
        <v>1433</v>
      </c>
      <c r="W410" t="s">
        <v>1919</v>
      </c>
      <c r="X410" t="s">
        <v>994</v>
      </c>
    </row>
    <row r="411" spans="1:24" x14ac:dyDescent="0.25">
      <c r="A411" t="s">
        <v>42</v>
      </c>
      <c r="B411" t="s">
        <v>1930</v>
      </c>
      <c r="C411" t="s">
        <v>405</v>
      </c>
      <c r="D411" t="s">
        <v>403</v>
      </c>
      <c r="E411" t="s">
        <v>1006</v>
      </c>
      <c r="F411">
        <v>5264</v>
      </c>
      <c r="G411" t="s">
        <v>1428</v>
      </c>
      <c r="H411" t="s">
        <v>1931</v>
      </c>
      <c r="I411" t="s">
        <v>1916</v>
      </c>
      <c r="J411" t="s">
        <v>1917</v>
      </c>
      <c r="K411" t="s">
        <v>1065</v>
      </c>
      <c r="L411" t="s">
        <v>1066</v>
      </c>
      <c r="M411" t="s">
        <v>1029</v>
      </c>
      <c r="N411" t="s">
        <v>1067</v>
      </c>
      <c r="O411" t="s">
        <v>1068</v>
      </c>
      <c r="P411" t="s">
        <v>1069</v>
      </c>
      <c r="Q411" t="b">
        <v>1</v>
      </c>
      <c r="R411" t="b">
        <v>0</v>
      </c>
      <c r="S411" t="s">
        <v>996</v>
      </c>
      <c r="T411" t="s">
        <v>1918</v>
      </c>
      <c r="U411" t="s">
        <v>1432</v>
      </c>
      <c r="V411" t="s">
        <v>1433</v>
      </c>
      <c r="W411" t="s">
        <v>1919</v>
      </c>
      <c r="X411" t="s">
        <v>1920</v>
      </c>
    </row>
    <row r="412" spans="1:24" x14ac:dyDescent="0.25">
      <c r="A412" t="s">
        <v>42</v>
      </c>
      <c r="B412" t="s">
        <v>1932</v>
      </c>
      <c r="C412" t="s">
        <v>405</v>
      </c>
      <c r="D412" t="s">
        <v>403</v>
      </c>
      <c r="E412" t="s">
        <v>1008</v>
      </c>
      <c r="F412">
        <v>5865</v>
      </c>
      <c r="G412" t="s">
        <v>1428</v>
      </c>
      <c r="H412" t="s">
        <v>1933</v>
      </c>
      <c r="I412" t="s">
        <v>1923</v>
      </c>
      <c r="J412" t="s">
        <v>1917</v>
      </c>
      <c r="K412" t="s">
        <v>1072</v>
      </c>
      <c r="L412" t="s">
        <v>1073</v>
      </c>
      <c r="M412" t="s">
        <v>1029</v>
      </c>
      <c r="N412" t="s">
        <v>1074</v>
      </c>
      <c r="O412" t="s">
        <v>1068</v>
      </c>
      <c r="P412" t="s">
        <v>1076</v>
      </c>
      <c r="Q412" t="b">
        <v>0</v>
      </c>
      <c r="R412" t="b">
        <v>1</v>
      </c>
      <c r="S412" t="s">
        <v>1591</v>
      </c>
      <c r="T412" t="s">
        <v>1918</v>
      </c>
      <c r="U412" t="s">
        <v>1432</v>
      </c>
      <c r="V412" t="s">
        <v>1433</v>
      </c>
      <c r="W412" t="s">
        <v>1919</v>
      </c>
      <c r="X412" t="s">
        <v>994</v>
      </c>
    </row>
    <row r="413" spans="1:24" x14ac:dyDescent="0.25">
      <c r="A413" t="s">
        <v>42</v>
      </c>
      <c r="B413" t="s">
        <v>1934</v>
      </c>
      <c r="C413" t="s">
        <v>405</v>
      </c>
      <c r="D413" t="s">
        <v>403</v>
      </c>
      <c r="E413" t="s">
        <v>1010</v>
      </c>
      <c r="F413">
        <v>5846</v>
      </c>
      <c r="G413" t="s">
        <v>1428</v>
      </c>
      <c r="H413" t="s">
        <v>1935</v>
      </c>
      <c r="I413" t="s">
        <v>1926</v>
      </c>
      <c r="J413" t="s">
        <v>1917</v>
      </c>
      <c r="K413" t="s">
        <v>1079</v>
      </c>
      <c r="L413" t="s">
        <v>1080</v>
      </c>
      <c r="M413" t="s">
        <v>1029</v>
      </c>
      <c r="N413" t="s">
        <v>1081</v>
      </c>
      <c r="O413" t="s">
        <v>1068</v>
      </c>
      <c r="P413" t="s">
        <v>1083</v>
      </c>
      <c r="Q413" t="b">
        <v>1</v>
      </c>
      <c r="R413" t="b">
        <v>0</v>
      </c>
      <c r="S413" t="s">
        <v>996</v>
      </c>
      <c r="T413" t="s">
        <v>1918</v>
      </c>
      <c r="U413" t="s">
        <v>1432</v>
      </c>
      <c r="V413" t="s">
        <v>1433</v>
      </c>
      <c r="W413" t="s">
        <v>1919</v>
      </c>
      <c r="X413" t="s">
        <v>994</v>
      </c>
    </row>
    <row r="414" spans="1:24" x14ac:dyDescent="0.25">
      <c r="A414" t="s">
        <v>42</v>
      </c>
      <c r="B414" t="s">
        <v>1936</v>
      </c>
      <c r="C414" t="s">
        <v>405</v>
      </c>
      <c r="D414" t="s">
        <v>403</v>
      </c>
      <c r="E414" t="s">
        <v>1012</v>
      </c>
      <c r="F414">
        <v>5810</v>
      </c>
      <c r="G414" t="s">
        <v>1428</v>
      </c>
      <c r="H414" t="s">
        <v>1937</v>
      </c>
      <c r="I414" t="s">
        <v>1929</v>
      </c>
      <c r="J414" t="s">
        <v>1917</v>
      </c>
      <c r="K414" t="s">
        <v>1086</v>
      </c>
      <c r="L414" t="s">
        <v>1087</v>
      </c>
      <c r="M414" t="s">
        <v>1057</v>
      </c>
      <c r="N414" t="s">
        <v>1088</v>
      </c>
      <c r="O414" t="s">
        <v>1068</v>
      </c>
      <c r="P414" t="s">
        <v>1089</v>
      </c>
      <c r="Q414" t="b">
        <v>0</v>
      </c>
      <c r="R414" t="b">
        <v>1</v>
      </c>
      <c r="S414" t="s">
        <v>1591</v>
      </c>
      <c r="T414" t="s">
        <v>1918</v>
      </c>
      <c r="U414" t="s">
        <v>1432</v>
      </c>
      <c r="V414" t="s">
        <v>1433</v>
      </c>
      <c r="W414" t="s">
        <v>1919</v>
      </c>
      <c r="X414" t="s">
        <v>994</v>
      </c>
    </row>
    <row r="415" spans="1:24" x14ac:dyDescent="0.25">
      <c r="A415" t="s">
        <v>42</v>
      </c>
      <c r="B415" t="s">
        <v>1938</v>
      </c>
      <c r="C415" t="s">
        <v>405</v>
      </c>
      <c r="D415" t="s">
        <v>403</v>
      </c>
      <c r="E415" t="s">
        <v>1014</v>
      </c>
      <c r="F415">
        <v>5516</v>
      </c>
      <c r="G415" t="s">
        <v>1428</v>
      </c>
      <c r="H415" t="s">
        <v>1939</v>
      </c>
      <c r="I415" t="s">
        <v>1916</v>
      </c>
      <c r="J415" t="s">
        <v>1917</v>
      </c>
      <c r="K415" t="s">
        <v>1092</v>
      </c>
      <c r="L415" t="s">
        <v>1093</v>
      </c>
      <c r="M415" t="s">
        <v>1029</v>
      </c>
      <c r="N415" t="s">
        <v>1094</v>
      </c>
      <c r="O415" t="s">
        <v>1095</v>
      </c>
      <c r="P415" t="s">
        <v>1096</v>
      </c>
      <c r="Q415" t="b">
        <v>1</v>
      </c>
      <c r="R415" t="b">
        <v>0</v>
      </c>
      <c r="S415" t="s">
        <v>996</v>
      </c>
      <c r="T415" t="s">
        <v>1918</v>
      </c>
      <c r="U415" t="s">
        <v>1432</v>
      </c>
      <c r="V415" t="s">
        <v>1433</v>
      </c>
      <c r="W415" t="s">
        <v>1919</v>
      </c>
      <c r="X415" t="s">
        <v>1920</v>
      </c>
    </row>
    <row r="416" spans="1:24" x14ac:dyDescent="0.25">
      <c r="A416" t="s">
        <v>42</v>
      </c>
      <c r="B416" t="s">
        <v>1940</v>
      </c>
      <c r="C416" t="s">
        <v>405</v>
      </c>
      <c r="D416" t="s">
        <v>403</v>
      </c>
      <c r="E416" t="s">
        <v>1016</v>
      </c>
      <c r="F416">
        <v>5998</v>
      </c>
      <c r="G416" t="s">
        <v>1428</v>
      </c>
      <c r="H416" t="s">
        <v>1941</v>
      </c>
      <c r="I416" t="s">
        <v>1923</v>
      </c>
      <c r="J416" t="s">
        <v>1917</v>
      </c>
      <c r="K416" t="s">
        <v>1100</v>
      </c>
      <c r="L416" t="s">
        <v>1101</v>
      </c>
      <c r="M416" t="s">
        <v>1029</v>
      </c>
      <c r="N416" t="s">
        <v>1102</v>
      </c>
      <c r="O416" t="s">
        <v>1095</v>
      </c>
      <c r="P416" t="s">
        <v>1104</v>
      </c>
      <c r="Q416" t="b">
        <v>1</v>
      </c>
      <c r="R416" t="b">
        <v>0</v>
      </c>
      <c r="S416" t="s">
        <v>996</v>
      </c>
      <c r="T416" t="s">
        <v>1918</v>
      </c>
      <c r="U416" t="s">
        <v>1432</v>
      </c>
      <c r="V416" t="s">
        <v>1433</v>
      </c>
      <c r="W416" t="s">
        <v>1919</v>
      </c>
      <c r="X416" t="s">
        <v>994</v>
      </c>
    </row>
    <row r="417" spans="1:24" x14ac:dyDescent="0.25">
      <c r="A417" t="s">
        <v>42</v>
      </c>
      <c r="B417" t="s">
        <v>1942</v>
      </c>
      <c r="C417" t="s">
        <v>405</v>
      </c>
      <c r="D417" t="s">
        <v>403</v>
      </c>
      <c r="E417" t="s">
        <v>1018</v>
      </c>
      <c r="F417">
        <v>6368</v>
      </c>
      <c r="G417" t="s">
        <v>1428</v>
      </c>
      <c r="H417" t="s">
        <v>1943</v>
      </c>
      <c r="I417" t="s">
        <v>1926</v>
      </c>
      <c r="J417" t="s">
        <v>1917</v>
      </c>
      <c r="K417" t="s">
        <v>1107</v>
      </c>
      <c r="L417" t="s">
        <v>1108</v>
      </c>
      <c r="M417" t="s">
        <v>1029</v>
      </c>
      <c r="N417" t="s">
        <v>1109</v>
      </c>
      <c r="O417" t="s">
        <v>1095</v>
      </c>
      <c r="P417" t="s">
        <v>1111</v>
      </c>
      <c r="Q417" t="b">
        <v>1</v>
      </c>
      <c r="R417" t="b">
        <v>0</v>
      </c>
      <c r="S417" t="s">
        <v>996</v>
      </c>
      <c r="T417" t="s">
        <v>1918</v>
      </c>
      <c r="U417" t="s">
        <v>1432</v>
      </c>
      <c r="V417" t="s">
        <v>1433</v>
      </c>
      <c r="W417" t="s">
        <v>1919</v>
      </c>
      <c r="X417" t="s">
        <v>994</v>
      </c>
    </row>
    <row r="418" spans="1:24" x14ac:dyDescent="0.25">
      <c r="A418" t="s">
        <v>42</v>
      </c>
      <c r="B418" t="s">
        <v>1944</v>
      </c>
      <c r="C418" t="s">
        <v>405</v>
      </c>
      <c r="D418" t="s">
        <v>403</v>
      </c>
      <c r="E418" t="s">
        <v>1020</v>
      </c>
      <c r="F418">
        <v>7071</v>
      </c>
      <c r="G418" t="s">
        <v>1428</v>
      </c>
      <c r="H418" t="s">
        <v>1945</v>
      </c>
      <c r="I418" t="s">
        <v>1929</v>
      </c>
      <c r="J418" t="s">
        <v>1917</v>
      </c>
      <c r="K418" t="s">
        <v>1114</v>
      </c>
      <c r="L418" t="s">
        <v>1115</v>
      </c>
      <c r="M418" t="s">
        <v>1057</v>
      </c>
      <c r="N418" t="s">
        <v>1116</v>
      </c>
      <c r="O418" t="s">
        <v>1095</v>
      </c>
      <c r="P418" t="s">
        <v>1117</v>
      </c>
      <c r="Q418" t="b">
        <v>0</v>
      </c>
      <c r="R418" t="b">
        <v>1</v>
      </c>
      <c r="S418" t="s">
        <v>1591</v>
      </c>
      <c r="T418" t="s">
        <v>1918</v>
      </c>
      <c r="U418" t="s">
        <v>1432</v>
      </c>
      <c r="V418" t="s">
        <v>1433</v>
      </c>
      <c r="W418" t="s">
        <v>1919</v>
      </c>
      <c r="X418" t="s">
        <v>994</v>
      </c>
    </row>
    <row r="419" spans="1:24" x14ac:dyDescent="0.25">
      <c r="A419" t="s">
        <v>42</v>
      </c>
      <c r="B419" t="s">
        <v>1946</v>
      </c>
      <c r="C419" t="s">
        <v>405</v>
      </c>
      <c r="D419" t="s">
        <v>403</v>
      </c>
      <c r="E419" t="s">
        <v>1022</v>
      </c>
      <c r="F419">
        <v>6751</v>
      </c>
      <c r="G419" t="s">
        <v>1428</v>
      </c>
      <c r="H419" t="s">
        <v>1947</v>
      </c>
      <c r="I419" t="s">
        <v>1916</v>
      </c>
      <c r="J419" t="s">
        <v>1917</v>
      </c>
      <c r="K419" t="s">
        <v>1120</v>
      </c>
      <c r="L419" t="s">
        <v>1121</v>
      </c>
      <c r="M419" t="s">
        <v>1029</v>
      </c>
      <c r="N419" t="s">
        <v>1122</v>
      </c>
      <c r="O419" t="s">
        <v>1123</v>
      </c>
      <c r="P419" t="s">
        <v>1124</v>
      </c>
      <c r="Q419" t="b">
        <v>1</v>
      </c>
      <c r="R419" t="b">
        <v>0</v>
      </c>
      <c r="S419" t="s">
        <v>996</v>
      </c>
      <c r="T419" t="s">
        <v>1918</v>
      </c>
      <c r="U419" t="s">
        <v>1432</v>
      </c>
      <c r="V419" t="s">
        <v>1433</v>
      </c>
      <c r="W419" t="s">
        <v>1919</v>
      </c>
      <c r="X419" t="s">
        <v>1920</v>
      </c>
    </row>
    <row r="420" spans="1:24" x14ac:dyDescent="0.25">
      <c r="A420" t="s">
        <v>42</v>
      </c>
      <c r="B420" t="s">
        <v>1948</v>
      </c>
      <c r="C420" t="s">
        <v>403</v>
      </c>
      <c r="D420" t="s">
        <v>352</v>
      </c>
      <c r="E420" t="s">
        <v>992</v>
      </c>
      <c r="F420">
        <v>0</v>
      </c>
      <c r="G420" t="s">
        <v>984</v>
      </c>
      <c r="H420" t="s">
        <v>994</v>
      </c>
      <c r="I420" t="s">
        <v>994</v>
      </c>
      <c r="J420" t="s">
        <v>1917</v>
      </c>
      <c r="K420" t="s">
        <v>994</v>
      </c>
      <c r="L420" t="s">
        <v>994</v>
      </c>
      <c r="M420" t="s">
        <v>994</v>
      </c>
      <c r="N420" t="s">
        <v>994</v>
      </c>
      <c r="O420" t="s">
        <v>994</v>
      </c>
      <c r="P420" t="s">
        <v>994</v>
      </c>
      <c r="Q420" t="b">
        <v>0</v>
      </c>
      <c r="R420" t="b">
        <v>1</v>
      </c>
      <c r="S420" t="s">
        <v>1591</v>
      </c>
      <c r="T420" t="s">
        <v>1949</v>
      </c>
      <c r="U420" t="s">
        <v>996</v>
      </c>
      <c r="V420" t="s">
        <v>1433</v>
      </c>
      <c r="W420" t="s">
        <v>1950</v>
      </c>
      <c r="X420" t="s">
        <v>994</v>
      </c>
    </row>
    <row r="421" spans="1:24" x14ac:dyDescent="0.25">
      <c r="A421" t="s">
        <v>42</v>
      </c>
      <c r="B421" t="s">
        <v>1951</v>
      </c>
      <c r="C421" t="s">
        <v>403</v>
      </c>
      <c r="D421" t="s">
        <v>352</v>
      </c>
      <c r="E421" t="s">
        <v>1000</v>
      </c>
      <c r="F421">
        <v>5405</v>
      </c>
      <c r="G421" t="s">
        <v>984</v>
      </c>
      <c r="H421" t="s">
        <v>994</v>
      </c>
      <c r="I421" t="s">
        <v>994</v>
      </c>
      <c r="J421" t="s">
        <v>1917</v>
      </c>
      <c r="K421" t="s">
        <v>994</v>
      </c>
      <c r="L421" t="s">
        <v>994</v>
      </c>
      <c r="M421" t="s">
        <v>994</v>
      </c>
      <c r="N421" t="s">
        <v>994</v>
      </c>
      <c r="O421" t="s">
        <v>994</v>
      </c>
      <c r="P421" t="s">
        <v>994</v>
      </c>
      <c r="Q421" t="b">
        <v>0</v>
      </c>
      <c r="R421" t="b">
        <v>1</v>
      </c>
      <c r="S421" t="s">
        <v>1591</v>
      </c>
      <c r="T421" t="s">
        <v>1949</v>
      </c>
      <c r="U421" t="s">
        <v>996</v>
      </c>
      <c r="V421" t="s">
        <v>1433</v>
      </c>
      <c r="W421" t="s">
        <v>1950</v>
      </c>
      <c r="X421" t="s">
        <v>994</v>
      </c>
    </row>
    <row r="422" spans="1:24" x14ac:dyDescent="0.25">
      <c r="A422" t="s">
        <v>42</v>
      </c>
      <c r="B422" t="s">
        <v>1952</v>
      </c>
      <c r="C422" t="s">
        <v>403</v>
      </c>
      <c r="D422" t="s">
        <v>352</v>
      </c>
      <c r="E422" t="s">
        <v>1002</v>
      </c>
      <c r="F422">
        <v>5517</v>
      </c>
      <c r="G422" t="s">
        <v>984</v>
      </c>
      <c r="H422" t="s">
        <v>994</v>
      </c>
      <c r="I422" t="s">
        <v>994</v>
      </c>
      <c r="J422" t="s">
        <v>1917</v>
      </c>
      <c r="K422" t="s">
        <v>994</v>
      </c>
      <c r="L422" t="s">
        <v>994</v>
      </c>
      <c r="M422" t="s">
        <v>994</v>
      </c>
      <c r="N422" t="s">
        <v>994</v>
      </c>
      <c r="O422" t="s">
        <v>994</v>
      </c>
      <c r="P422" t="s">
        <v>994</v>
      </c>
      <c r="Q422" t="b">
        <v>0</v>
      </c>
      <c r="R422" t="b">
        <v>1</v>
      </c>
      <c r="S422" t="s">
        <v>1591</v>
      </c>
      <c r="T422" t="s">
        <v>1949</v>
      </c>
      <c r="U422" t="s">
        <v>996</v>
      </c>
      <c r="V422" t="s">
        <v>1433</v>
      </c>
      <c r="W422" t="s">
        <v>1950</v>
      </c>
      <c r="X422" t="s">
        <v>994</v>
      </c>
    </row>
    <row r="423" spans="1:24" x14ac:dyDescent="0.25">
      <c r="A423" t="s">
        <v>42</v>
      </c>
      <c r="B423" t="s">
        <v>1953</v>
      </c>
      <c r="C423" t="s">
        <v>403</v>
      </c>
      <c r="D423" t="s">
        <v>352</v>
      </c>
      <c r="E423" t="s">
        <v>1004</v>
      </c>
      <c r="F423">
        <v>5156</v>
      </c>
      <c r="G423" t="s">
        <v>984</v>
      </c>
      <c r="H423" t="s">
        <v>994</v>
      </c>
      <c r="I423" t="s">
        <v>994</v>
      </c>
      <c r="J423" t="s">
        <v>1917</v>
      </c>
      <c r="K423" t="s">
        <v>994</v>
      </c>
      <c r="L423" t="s">
        <v>994</v>
      </c>
      <c r="M423" t="s">
        <v>994</v>
      </c>
      <c r="N423" t="s">
        <v>994</v>
      </c>
      <c r="O423" t="s">
        <v>994</v>
      </c>
      <c r="P423" t="s">
        <v>994</v>
      </c>
      <c r="Q423" t="b">
        <v>0</v>
      </c>
      <c r="R423" t="b">
        <v>1</v>
      </c>
      <c r="S423" t="s">
        <v>1591</v>
      </c>
      <c r="T423" t="s">
        <v>1949</v>
      </c>
      <c r="U423" t="s">
        <v>996</v>
      </c>
      <c r="V423" t="s">
        <v>1433</v>
      </c>
      <c r="W423" t="s">
        <v>1950</v>
      </c>
      <c r="X423" t="s">
        <v>994</v>
      </c>
    </row>
    <row r="424" spans="1:24" x14ac:dyDescent="0.25">
      <c r="A424" t="s">
        <v>42</v>
      </c>
      <c r="B424" t="s">
        <v>1954</v>
      </c>
      <c r="C424" t="s">
        <v>403</v>
      </c>
      <c r="D424" t="s">
        <v>352</v>
      </c>
      <c r="E424" t="s">
        <v>1006</v>
      </c>
      <c r="F424">
        <v>3452</v>
      </c>
      <c r="G424" t="s">
        <v>984</v>
      </c>
      <c r="H424" t="s">
        <v>994</v>
      </c>
      <c r="I424" t="s">
        <v>994</v>
      </c>
      <c r="J424" t="s">
        <v>1917</v>
      </c>
      <c r="K424" t="s">
        <v>994</v>
      </c>
      <c r="L424" t="s">
        <v>994</v>
      </c>
      <c r="M424" t="s">
        <v>994</v>
      </c>
      <c r="N424" t="s">
        <v>994</v>
      </c>
      <c r="O424" t="s">
        <v>994</v>
      </c>
      <c r="P424" t="s">
        <v>994</v>
      </c>
      <c r="Q424" t="b">
        <v>0</v>
      </c>
      <c r="R424" t="b">
        <v>1</v>
      </c>
      <c r="S424" t="s">
        <v>1591</v>
      </c>
      <c r="T424" t="s">
        <v>1949</v>
      </c>
      <c r="U424" t="s">
        <v>996</v>
      </c>
      <c r="V424" t="s">
        <v>1433</v>
      </c>
      <c r="W424" t="s">
        <v>1950</v>
      </c>
      <c r="X424" t="s">
        <v>994</v>
      </c>
    </row>
    <row r="425" spans="1:24" x14ac:dyDescent="0.25">
      <c r="A425" t="s">
        <v>42</v>
      </c>
      <c r="B425" t="s">
        <v>1955</v>
      </c>
      <c r="C425" t="s">
        <v>403</v>
      </c>
      <c r="D425" t="s">
        <v>352</v>
      </c>
      <c r="E425" t="s">
        <v>1008</v>
      </c>
      <c r="F425">
        <v>3095</v>
      </c>
      <c r="G425" t="s">
        <v>984</v>
      </c>
      <c r="H425" t="s">
        <v>994</v>
      </c>
      <c r="I425" t="s">
        <v>994</v>
      </c>
      <c r="J425" t="s">
        <v>1917</v>
      </c>
      <c r="K425" t="s">
        <v>994</v>
      </c>
      <c r="L425" t="s">
        <v>994</v>
      </c>
      <c r="M425" t="s">
        <v>994</v>
      </c>
      <c r="N425" t="s">
        <v>994</v>
      </c>
      <c r="O425" t="s">
        <v>994</v>
      </c>
      <c r="P425" t="s">
        <v>994</v>
      </c>
      <c r="Q425" t="b">
        <v>0</v>
      </c>
      <c r="R425" t="b">
        <v>1</v>
      </c>
      <c r="S425" t="s">
        <v>1591</v>
      </c>
      <c r="T425" t="s">
        <v>1949</v>
      </c>
      <c r="U425" t="s">
        <v>996</v>
      </c>
      <c r="V425" t="s">
        <v>1433</v>
      </c>
      <c r="W425" t="s">
        <v>1950</v>
      </c>
      <c r="X425" t="s">
        <v>994</v>
      </c>
    </row>
    <row r="426" spans="1:24" x14ac:dyDescent="0.25">
      <c r="A426" t="s">
        <v>42</v>
      </c>
      <c r="B426" t="s">
        <v>1956</v>
      </c>
      <c r="C426" t="s">
        <v>403</v>
      </c>
      <c r="D426" t="s">
        <v>352</v>
      </c>
      <c r="E426" t="s">
        <v>1010</v>
      </c>
      <c r="F426">
        <v>2439</v>
      </c>
      <c r="G426" t="s">
        <v>984</v>
      </c>
      <c r="H426" t="s">
        <v>994</v>
      </c>
      <c r="I426" t="s">
        <v>994</v>
      </c>
      <c r="J426" t="s">
        <v>1917</v>
      </c>
      <c r="K426" t="s">
        <v>994</v>
      </c>
      <c r="L426" t="s">
        <v>994</v>
      </c>
      <c r="M426" t="s">
        <v>994</v>
      </c>
      <c r="N426" t="s">
        <v>994</v>
      </c>
      <c r="O426" t="s">
        <v>994</v>
      </c>
      <c r="P426" t="s">
        <v>994</v>
      </c>
      <c r="Q426" t="b">
        <v>0</v>
      </c>
      <c r="R426" t="b">
        <v>1</v>
      </c>
      <c r="S426" t="s">
        <v>1591</v>
      </c>
      <c r="T426" t="s">
        <v>1949</v>
      </c>
      <c r="U426" t="s">
        <v>996</v>
      </c>
      <c r="V426" t="s">
        <v>1433</v>
      </c>
      <c r="W426" t="s">
        <v>1950</v>
      </c>
      <c r="X426" t="s">
        <v>994</v>
      </c>
    </row>
    <row r="427" spans="1:24" x14ac:dyDescent="0.25">
      <c r="A427" t="s">
        <v>42</v>
      </c>
      <c r="B427" t="s">
        <v>1957</v>
      </c>
      <c r="C427" t="s">
        <v>403</v>
      </c>
      <c r="D427" t="s">
        <v>352</v>
      </c>
      <c r="E427" t="s">
        <v>1012</v>
      </c>
      <c r="F427">
        <v>2238</v>
      </c>
      <c r="G427" t="s">
        <v>984</v>
      </c>
      <c r="H427" t="s">
        <v>994</v>
      </c>
      <c r="I427" t="s">
        <v>994</v>
      </c>
      <c r="J427" t="s">
        <v>1917</v>
      </c>
      <c r="K427" t="s">
        <v>994</v>
      </c>
      <c r="L427" t="s">
        <v>994</v>
      </c>
      <c r="M427" t="s">
        <v>994</v>
      </c>
      <c r="N427" t="s">
        <v>994</v>
      </c>
      <c r="O427" t="s">
        <v>994</v>
      </c>
      <c r="P427" t="s">
        <v>994</v>
      </c>
      <c r="Q427" t="b">
        <v>0</v>
      </c>
      <c r="R427" t="b">
        <v>1</v>
      </c>
      <c r="S427" t="s">
        <v>1591</v>
      </c>
      <c r="T427" t="s">
        <v>1949</v>
      </c>
      <c r="U427" t="s">
        <v>996</v>
      </c>
      <c r="V427" t="s">
        <v>1433</v>
      </c>
      <c r="W427" t="s">
        <v>1950</v>
      </c>
      <c r="X427" t="s">
        <v>994</v>
      </c>
    </row>
    <row r="428" spans="1:24" x14ac:dyDescent="0.25">
      <c r="A428" t="s">
        <v>42</v>
      </c>
      <c r="B428" t="s">
        <v>1958</v>
      </c>
      <c r="C428" t="s">
        <v>403</v>
      </c>
      <c r="D428" t="s">
        <v>352</v>
      </c>
      <c r="E428" t="s">
        <v>1014</v>
      </c>
      <c r="F428">
        <v>1727</v>
      </c>
      <c r="G428" t="s">
        <v>984</v>
      </c>
      <c r="H428" t="s">
        <v>994</v>
      </c>
      <c r="I428" t="s">
        <v>994</v>
      </c>
      <c r="J428" t="s">
        <v>1917</v>
      </c>
      <c r="K428" t="s">
        <v>994</v>
      </c>
      <c r="L428" t="s">
        <v>994</v>
      </c>
      <c r="M428" t="s">
        <v>994</v>
      </c>
      <c r="N428" t="s">
        <v>994</v>
      </c>
      <c r="O428" t="s">
        <v>994</v>
      </c>
      <c r="P428" t="s">
        <v>994</v>
      </c>
      <c r="Q428" t="b">
        <v>0</v>
      </c>
      <c r="R428" t="b">
        <v>1</v>
      </c>
      <c r="S428" t="s">
        <v>1591</v>
      </c>
      <c r="T428" t="s">
        <v>1949</v>
      </c>
      <c r="U428" t="s">
        <v>996</v>
      </c>
      <c r="V428" t="s">
        <v>1433</v>
      </c>
      <c r="W428" t="s">
        <v>1950</v>
      </c>
      <c r="X428" t="s">
        <v>994</v>
      </c>
    </row>
    <row r="429" spans="1:24" x14ac:dyDescent="0.25">
      <c r="A429" t="s">
        <v>42</v>
      </c>
      <c r="B429" t="s">
        <v>1959</v>
      </c>
      <c r="C429" t="s">
        <v>403</v>
      </c>
      <c r="D429" t="s">
        <v>352</v>
      </c>
      <c r="E429" t="s">
        <v>1016</v>
      </c>
      <c r="F429">
        <v>1722</v>
      </c>
      <c r="G429" t="s">
        <v>984</v>
      </c>
      <c r="H429" t="s">
        <v>994</v>
      </c>
      <c r="I429" t="s">
        <v>994</v>
      </c>
      <c r="J429" t="s">
        <v>1917</v>
      </c>
      <c r="K429" t="s">
        <v>994</v>
      </c>
      <c r="L429" t="s">
        <v>994</v>
      </c>
      <c r="M429" t="s">
        <v>994</v>
      </c>
      <c r="N429" t="s">
        <v>994</v>
      </c>
      <c r="O429" t="s">
        <v>994</v>
      </c>
      <c r="P429" t="s">
        <v>994</v>
      </c>
      <c r="Q429" t="b">
        <v>0</v>
      </c>
      <c r="R429" t="b">
        <v>1</v>
      </c>
      <c r="S429" t="s">
        <v>1591</v>
      </c>
      <c r="T429" t="s">
        <v>1949</v>
      </c>
      <c r="U429" t="s">
        <v>996</v>
      </c>
      <c r="V429" t="s">
        <v>1433</v>
      </c>
      <c r="W429" t="s">
        <v>1950</v>
      </c>
      <c r="X429" t="s">
        <v>994</v>
      </c>
    </row>
    <row r="430" spans="1:24" x14ac:dyDescent="0.25">
      <c r="A430" t="s">
        <v>42</v>
      </c>
      <c r="B430" t="s">
        <v>1960</v>
      </c>
      <c r="C430" t="s">
        <v>403</v>
      </c>
      <c r="D430" t="s">
        <v>352</v>
      </c>
      <c r="E430" t="s">
        <v>1018</v>
      </c>
      <c r="F430">
        <v>4134</v>
      </c>
      <c r="G430" t="s">
        <v>984</v>
      </c>
      <c r="H430" t="s">
        <v>994</v>
      </c>
      <c r="I430" t="s">
        <v>994</v>
      </c>
      <c r="J430" t="s">
        <v>1917</v>
      </c>
      <c r="K430" t="s">
        <v>994</v>
      </c>
      <c r="L430" t="s">
        <v>994</v>
      </c>
      <c r="M430" t="s">
        <v>994</v>
      </c>
      <c r="N430" t="s">
        <v>994</v>
      </c>
      <c r="O430" t="s">
        <v>994</v>
      </c>
      <c r="P430" t="s">
        <v>994</v>
      </c>
      <c r="Q430" t="b">
        <v>0</v>
      </c>
      <c r="R430" t="b">
        <v>1</v>
      </c>
      <c r="S430" t="s">
        <v>1591</v>
      </c>
      <c r="T430" t="s">
        <v>1949</v>
      </c>
      <c r="U430" t="s">
        <v>996</v>
      </c>
      <c r="V430" t="s">
        <v>1433</v>
      </c>
      <c r="W430" t="s">
        <v>1950</v>
      </c>
      <c r="X430" t="s">
        <v>994</v>
      </c>
    </row>
    <row r="431" spans="1:24" x14ac:dyDescent="0.25">
      <c r="A431" t="s">
        <v>42</v>
      </c>
      <c r="B431" t="s">
        <v>1961</v>
      </c>
      <c r="C431" t="s">
        <v>403</v>
      </c>
      <c r="D431" t="s">
        <v>352</v>
      </c>
      <c r="E431" t="s">
        <v>1020</v>
      </c>
      <c r="F431">
        <v>3942</v>
      </c>
      <c r="G431" t="s">
        <v>984</v>
      </c>
      <c r="H431" t="s">
        <v>994</v>
      </c>
      <c r="I431" t="s">
        <v>994</v>
      </c>
      <c r="J431" t="s">
        <v>1917</v>
      </c>
      <c r="K431" t="s">
        <v>994</v>
      </c>
      <c r="L431" t="s">
        <v>994</v>
      </c>
      <c r="M431" t="s">
        <v>994</v>
      </c>
      <c r="N431" t="s">
        <v>994</v>
      </c>
      <c r="O431" t="s">
        <v>994</v>
      </c>
      <c r="P431" t="s">
        <v>994</v>
      </c>
      <c r="Q431" t="b">
        <v>0</v>
      </c>
      <c r="R431" t="b">
        <v>1</v>
      </c>
      <c r="S431" t="s">
        <v>1591</v>
      </c>
      <c r="T431" t="s">
        <v>1949</v>
      </c>
      <c r="U431" t="s">
        <v>996</v>
      </c>
      <c r="V431" t="s">
        <v>1433</v>
      </c>
      <c r="W431" t="s">
        <v>1950</v>
      </c>
      <c r="X431" t="s">
        <v>994</v>
      </c>
    </row>
    <row r="432" spans="1:24" x14ac:dyDescent="0.25">
      <c r="A432" t="s">
        <v>42</v>
      </c>
      <c r="B432" t="s">
        <v>1962</v>
      </c>
      <c r="C432" t="s">
        <v>403</v>
      </c>
      <c r="D432" t="s">
        <v>352</v>
      </c>
      <c r="E432" t="s">
        <v>1022</v>
      </c>
      <c r="F432">
        <v>1117</v>
      </c>
      <c r="G432" t="s">
        <v>984</v>
      </c>
      <c r="H432" t="s">
        <v>994</v>
      </c>
      <c r="I432" t="s">
        <v>994</v>
      </c>
      <c r="J432" t="s">
        <v>1917</v>
      </c>
      <c r="K432" t="s">
        <v>994</v>
      </c>
      <c r="L432" t="s">
        <v>994</v>
      </c>
      <c r="M432" t="s">
        <v>994</v>
      </c>
      <c r="N432" t="s">
        <v>994</v>
      </c>
      <c r="O432" t="s">
        <v>994</v>
      </c>
      <c r="P432" t="s">
        <v>994</v>
      </c>
      <c r="Q432" t="b">
        <v>0</v>
      </c>
      <c r="R432" t="b">
        <v>1</v>
      </c>
      <c r="S432" t="s">
        <v>1591</v>
      </c>
      <c r="T432" t="s">
        <v>1949</v>
      </c>
      <c r="U432" t="s">
        <v>996</v>
      </c>
      <c r="V432" t="s">
        <v>1433</v>
      </c>
      <c r="W432" t="s">
        <v>1950</v>
      </c>
      <c r="X432" t="s">
        <v>994</v>
      </c>
    </row>
    <row r="433" spans="1:24" x14ac:dyDescent="0.25">
      <c r="A433" t="s">
        <v>42</v>
      </c>
      <c r="B433" t="s">
        <v>1963</v>
      </c>
      <c r="C433" t="s">
        <v>408</v>
      </c>
      <c r="D433" t="s">
        <v>352</v>
      </c>
      <c r="E433" t="s">
        <v>1002</v>
      </c>
      <c r="F433">
        <v>0</v>
      </c>
      <c r="G433" t="s">
        <v>1126</v>
      </c>
      <c r="H433" t="s">
        <v>1964</v>
      </c>
      <c r="I433" t="s">
        <v>1965</v>
      </c>
      <c r="J433" t="s">
        <v>1917</v>
      </c>
      <c r="K433" t="s">
        <v>1079</v>
      </c>
      <c r="L433" t="s">
        <v>1080</v>
      </c>
      <c r="M433" t="s">
        <v>1029</v>
      </c>
      <c r="N433" t="s">
        <v>1081</v>
      </c>
      <c r="O433" t="s">
        <v>1031</v>
      </c>
      <c r="P433" t="s">
        <v>1050</v>
      </c>
      <c r="Q433" t="b">
        <v>1</v>
      </c>
      <c r="R433" t="b">
        <v>0</v>
      </c>
      <c r="S433" t="s">
        <v>1033</v>
      </c>
      <c r="T433" t="s">
        <v>994</v>
      </c>
      <c r="U433" t="s">
        <v>1966</v>
      </c>
      <c r="V433" t="s">
        <v>1062</v>
      </c>
      <c r="W433" t="s">
        <v>1035</v>
      </c>
      <c r="X433" t="s">
        <v>994</v>
      </c>
    </row>
    <row r="434" spans="1:24" x14ac:dyDescent="0.25">
      <c r="A434" t="s">
        <v>42</v>
      </c>
      <c r="B434" t="s">
        <v>1967</v>
      </c>
      <c r="C434" t="s">
        <v>408</v>
      </c>
      <c r="D434" t="s">
        <v>352</v>
      </c>
      <c r="E434" t="s">
        <v>1004</v>
      </c>
      <c r="F434">
        <v>0</v>
      </c>
      <c r="G434" t="s">
        <v>1126</v>
      </c>
      <c r="H434" t="s">
        <v>1964</v>
      </c>
      <c r="I434" t="s">
        <v>1968</v>
      </c>
      <c r="J434" t="s">
        <v>1917</v>
      </c>
      <c r="K434" t="s">
        <v>1114</v>
      </c>
      <c r="L434" t="s">
        <v>1115</v>
      </c>
      <c r="M434" t="s">
        <v>1057</v>
      </c>
      <c r="N434" t="s">
        <v>1116</v>
      </c>
      <c r="O434" t="s">
        <v>1031</v>
      </c>
      <c r="P434" t="s">
        <v>1059</v>
      </c>
      <c r="Q434" t="b">
        <v>1</v>
      </c>
      <c r="R434" t="b">
        <v>0</v>
      </c>
      <c r="S434" t="s">
        <v>1033</v>
      </c>
      <c r="T434" t="s">
        <v>994</v>
      </c>
      <c r="U434" t="s">
        <v>1966</v>
      </c>
      <c r="V434" t="s">
        <v>1062</v>
      </c>
      <c r="W434" t="s">
        <v>1035</v>
      </c>
      <c r="X434" t="s">
        <v>994</v>
      </c>
    </row>
    <row r="435" spans="1:24" x14ac:dyDescent="0.25">
      <c r="A435" t="s">
        <v>42</v>
      </c>
      <c r="B435" t="s">
        <v>1969</v>
      </c>
      <c r="C435" t="s">
        <v>408</v>
      </c>
      <c r="D435" t="s">
        <v>352</v>
      </c>
      <c r="E435" t="s">
        <v>1006</v>
      </c>
      <c r="F435">
        <v>0</v>
      </c>
      <c r="G435" t="s">
        <v>1024</v>
      </c>
      <c r="H435" t="s">
        <v>1964</v>
      </c>
      <c r="I435" t="s">
        <v>1970</v>
      </c>
      <c r="J435" t="s">
        <v>1917</v>
      </c>
      <c r="K435" t="s">
        <v>1092</v>
      </c>
      <c r="L435" t="s">
        <v>1093</v>
      </c>
      <c r="M435" t="s">
        <v>1029</v>
      </c>
      <c r="N435" t="s">
        <v>1094</v>
      </c>
      <c r="O435" t="s">
        <v>1068</v>
      </c>
      <c r="P435" t="s">
        <v>1069</v>
      </c>
      <c r="Q435" t="b">
        <v>1</v>
      </c>
      <c r="R435" t="b">
        <v>0</v>
      </c>
      <c r="S435" t="s">
        <v>1033</v>
      </c>
      <c r="T435" t="s">
        <v>994</v>
      </c>
      <c r="U435" t="s">
        <v>1966</v>
      </c>
      <c r="V435" t="s">
        <v>997</v>
      </c>
      <c r="W435" t="s">
        <v>1035</v>
      </c>
      <c r="X435" t="s">
        <v>994</v>
      </c>
    </row>
    <row r="436" spans="1:24" x14ac:dyDescent="0.25">
      <c r="A436" t="s">
        <v>42</v>
      </c>
      <c r="B436" t="s">
        <v>1971</v>
      </c>
      <c r="C436" t="s">
        <v>408</v>
      </c>
      <c r="D436" t="s">
        <v>352</v>
      </c>
      <c r="E436" t="s">
        <v>1008</v>
      </c>
      <c r="F436">
        <v>-2466</v>
      </c>
      <c r="G436" t="s">
        <v>1126</v>
      </c>
      <c r="H436" t="s">
        <v>1972</v>
      </c>
      <c r="I436" t="s">
        <v>1973</v>
      </c>
      <c r="J436" t="s">
        <v>1917</v>
      </c>
      <c r="K436" t="s">
        <v>1072</v>
      </c>
      <c r="L436" t="s">
        <v>1073</v>
      </c>
      <c r="M436" t="s">
        <v>1029</v>
      </c>
      <c r="N436" t="s">
        <v>1074</v>
      </c>
      <c r="O436" t="s">
        <v>1068</v>
      </c>
      <c r="P436" t="s">
        <v>1076</v>
      </c>
      <c r="Q436" t="b">
        <v>1</v>
      </c>
      <c r="R436" t="b">
        <v>0</v>
      </c>
      <c r="S436" t="s">
        <v>1033</v>
      </c>
      <c r="T436" t="s">
        <v>994</v>
      </c>
      <c r="U436" t="s">
        <v>1966</v>
      </c>
      <c r="V436" t="s">
        <v>1062</v>
      </c>
      <c r="W436" t="s">
        <v>1035</v>
      </c>
      <c r="X436" t="s">
        <v>994</v>
      </c>
    </row>
    <row r="437" spans="1:24" x14ac:dyDescent="0.25">
      <c r="A437" t="s">
        <v>42</v>
      </c>
      <c r="B437" t="s">
        <v>1974</v>
      </c>
      <c r="C437" t="s">
        <v>408</v>
      </c>
      <c r="D437" t="s">
        <v>352</v>
      </c>
      <c r="E437" t="s">
        <v>1010</v>
      </c>
      <c r="F437">
        <v>-2455</v>
      </c>
      <c r="G437" t="s">
        <v>1126</v>
      </c>
      <c r="H437" t="s">
        <v>1975</v>
      </c>
      <c r="I437" t="s">
        <v>1965</v>
      </c>
      <c r="J437" t="s">
        <v>1917</v>
      </c>
      <c r="K437" t="s">
        <v>1079</v>
      </c>
      <c r="L437" t="s">
        <v>1080</v>
      </c>
      <c r="M437" t="s">
        <v>1029</v>
      </c>
      <c r="N437" t="s">
        <v>1081</v>
      </c>
      <c r="O437" t="s">
        <v>1068</v>
      </c>
      <c r="P437" t="s">
        <v>1083</v>
      </c>
      <c r="Q437" t="b">
        <v>1</v>
      </c>
      <c r="R437" t="b">
        <v>0</v>
      </c>
      <c r="S437" t="s">
        <v>1033</v>
      </c>
      <c r="T437" t="s">
        <v>994</v>
      </c>
      <c r="U437" t="s">
        <v>1966</v>
      </c>
      <c r="V437" t="s">
        <v>1062</v>
      </c>
      <c r="W437" t="s">
        <v>1035</v>
      </c>
      <c r="X437" t="s">
        <v>994</v>
      </c>
    </row>
    <row r="438" spans="1:24" x14ac:dyDescent="0.25">
      <c r="A438" t="s">
        <v>42</v>
      </c>
      <c r="B438" t="s">
        <v>1976</v>
      </c>
      <c r="C438" t="s">
        <v>408</v>
      </c>
      <c r="D438" t="s">
        <v>352</v>
      </c>
      <c r="E438" t="s">
        <v>1012</v>
      </c>
      <c r="F438">
        <v>-2442</v>
      </c>
      <c r="G438" t="s">
        <v>1126</v>
      </c>
      <c r="H438" t="s">
        <v>1977</v>
      </c>
      <c r="I438" t="s">
        <v>1968</v>
      </c>
      <c r="J438" t="s">
        <v>1917</v>
      </c>
      <c r="K438" t="s">
        <v>1086</v>
      </c>
      <c r="L438" t="s">
        <v>1087</v>
      </c>
      <c r="M438" t="s">
        <v>1057</v>
      </c>
      <c r="N438" t="s">
        <v>1088</v>
      </c>
      <c r="O438" t="s">
        <v>1068</v>
      </c>
      <c r="P438" t="s">
        <v>1089</v>
      </c>
      <c r="Q438" t="b">
        <v>1</v>
      </c>
      <c r="R438" t="b">
        <v>0</v>
      </c>
      <c r="S438" t="s">
        <v>1033</v>
      </c>
      <c r="T438" t="s">
        <v>994</v>
      </c>
      <c r="U438" t="s">
        <v>1966</v>
      </c>
      <c r="V438" t="s">
        <v>1062</v>
      </c>
      <c r="W438" t="s">
        <v>1035</v>
      </c>
      <c r="X438" t="s">
        <v>994</v>
      </c>
    </row>
    <row r="439" spans="1:24" x14ac:dyDescent="0.25">
      <c r="A439" t="s">
        <v>42</v>
      </c>
      <c r="B439" t="s">
        <v>1978</v>
      </c>
      <c r="C439" t="s">
        <v>408</v>
      </c>
      <c r="D439" t="s">
        <v>352</v>
      </c>
      <c r="E439" t="s">
        <v>1014</v>
      </c>
      <c r="F439">
        <v>-2434</v>
      </c>
      <c r="G439" t="s">
        <v>1024</v>
      </c>
      <c r="H439" t="s">
        <v>1979</v>
      </c>
      <c r="I439" t="s">
        <v>1970</v>
      </c>
      <c r="J439" t="s">
        <v>1917</v>
      </c>
      <c r="K439" t="s">
        <v>1092</v>
      </c>
      <c r="L439" t="s">
        <v>1093</v>
      </c>
      <c r="M439" t="s">
        <v>1029</v>
      </c>
      <c r="N439" t="s">
        <v>1094</v>
      </c>
      <c r="O439" t="s">
        <v>1095</v>
      </c>
      <c r="P439" t="s">
        <v>1096</v>
      </c>
      <c r="Q439" t="b">
        <v>1</v>
      </c>
      <c r="R439" t="b">
        <v>0</v>
      </c>
      <c r="S439" t="s">
        <v>1033</v>
      </c>
      <c r="T439" t="s">
        <v>994</v>
      </c>
      <c r="U439" t="s">
        <v>1966</v>
      </c>
      <c r="V439" t="s">
        <v>997</v>
      </c>
      <c r="W439" t="s">
        <v>1035</v>
      </c>
      <c r="X439" t="s">
        <v>1980</v>
      </c>
    </row>
    <row r="440" spans="1:24" x14ac:dyDescent="0.25">
      <c r="A440" t="s">
        <v>42</v>
      </c>
      <c r="B440" t="s">
        <v>1981</v>
      </c>
      <c r="C440" t="s">
        <v>408</v>
      </c>
      <c r="D440" t="s">
        <v>352</v>
      </c>
      <c r="E440" t="s">
        <v>1016</v>
      </c>
      <c r="F440">
        <v>-2543</v>
      </c>
      <c r="G440" t="s">
        <v>1126</v>
      </c>
      <c r="H440" t="s">
        <v>1982</v>
      </c>
      <c r="I440" t="s">
        <v>1973</v>
      </c>
      <c r="J440" t="s">
        <v>1917</v>
      </c>
      <c r="K440" t="s">
        <v>1100</v>
      </c>
      <c r="L440" t="s">
        <v>1101</v>
      </c>
      <c r="M440" t="s">
        <v>1029</v>
      </c>
      <c r="N440" t="s">
        <v>1102</v>
      </c>
      <c r="O440" t="s">
        <v>1095</v>
      </c>
      <c r="P440" t="s">
        <v>1104</v>
      </c>
      <c r="Q440" t="b">
        <v>1</v>
      </c>
      <c r="R440" t="b">
        <v>0</v>
      </c>
      <c r="S440" t="s">
        <v>1033</v>
      </c>
      <c r="T440" t="s">
        <v>994</v>
      </c>
      <c r="U440" t="s">
        <v>1966</v>
      </c>
      <c r="V440" t="s">
        <v>1062</v>
      </c>
      <c r="W440" t="s">
        <v>1035</v>
      </c>
      <c r="X440" t="s">
        <v>994</v>
      </c>
    </row>
    <row r="441" spans="1:24" x14ac:dyDescent="0.25">
      <c r="A441" t="s">
        <v>42</v>
      </c>
      <c r="B441" t="s">
        <v>1983</v>
      </c>
      <c r="C441" t="s">
        <v>408</v>
      </c>
      <c r="D441" t="s">
        <v>352</v>
      </c>
      <c r="E441" t="s">
        <v>1018</v>
      </c>
      <c r="F441">
        <v>-2536</v>
      </c>
      <c r="G441" t="s">
        <v>1126</v>
      </c>
      <c r="H441" t="s">
        <v>1984</v>
      </c>
      <c r="I441" t="s">
        <v>1965</v>
      </c>
      <c r="J441" t="s">
        <v>1917</v>
      </c>
      <c r="K441" t="s">
        <v>1107</v>
      </c>
      <c r="L441" t="s">
        <v>1108</v>
      </c>
      <c r="M441" t="s">
        <v>1029</v>
      </c>
      <c r="N441" t="s">
        <v>1109</v>
      </c>
      <c r="O441" t="s">
        <v>1095</v>
      </c>
      <c r="P441" t="s">
        <v>1111</v>
      </c>
      <c r="Q441" t="b">
        <v>1</v>
      </c>
      <c r="R441" t="b">
        <v>0</v>
      </c>
      <c r="S441" t="s">
        <v>1033</v>
      </c>
      <c r="T441" t="s">
        <v>994</v>
      </c>
      <c r="U441" t="s">
        <v>1966</v>
      </c>
      <c r="V441" t="s">
        <v>1062</v>
      </c>
      <c r="W441" t="s">
        <v>1035</v>
      </c>
      <c r="X441" t="s">
        <v>994</v>
      </c>
    </row>
    <row r="442" spans="1:24" x14ac:dyDescent="0.25">
      <c r="A442" t="s">
        <v>42</v>
      </c>
      <c r="B442" t="s">
        <v>1985</v>
      </c>
      <c r="C442" t="s">
        <v>408</v>
      </c>
      <c r="D442" t="s">
        <v>352</v>
      </c>
      <c r="E442" t="s">
        <v>1020</v>
      </c>
      <c r="F442">
        <v>-2536</v>
      </c>
      <c r="G442" t="s">
        <v>1126</v>
      </c>
      <c r="H442" t="s">
        <v>1984</v>
      </c>
      <c r="I442" t="s">
        <v>1968</v>
      </c>
      <c r="J442" t="s">
        <v>1917</v>
      </c>
      <c r="K442" t="s">
        <v>1114</v>
      </c>
      <c r="L442" t="s">
        <v>1115</v>
      </c>
      <c r="M442" t="s">
        <v>1057</v>
      </c>
      <c r="N442" t="s">
        <v>1116</v>
      </c>
      <c r="O442" t="s">
        <v>1095</v>
      </c>
      <c r="P442" t="s">
        <v>1117</v>
      </c>
      <c r="Q442" t="b">
        <v>1</v>
      </c>
      <c r="R442" t="b">
        <v>0</v>
      </c>
      <c r="S442" t="s">
        <v>1033</v>
      </c>
      <c r="T442" t="s">
        <v>994</v>
      </c>
      <c r="U442" t="s">
        <v>1966</v>
      </c>
      <c r="V442" t="s">
        <v>1062</v>
      </c>
      <c r="W442" t="s">
        <v>1035</v>
      </c>
      <c r="X442" t="s">
        <v>994</v>
      </c>
    </row>
    <row r="443" spans="1:24" x14ac:dyDescent="0.25">
      <c r="A443" t="s">
        <v>42</v>
      </c>
      <c r="B443" t="s">
        <v>1986</v>
      </c>
      <c r="C443" t="s">
        <v>408</v>
      </c>
      <c r="D443" t="s">
        <v>352</v>
      </c>
      <c r="E443" t="s">
        <v>1022</v>
      </c>
      <c r="F443">
        <v>-2542</v>
      </c>
      <c r="G443" t="s">
        <v>1024</v>
      </c>
      <c r="H443" t="s">
        <v>1987</v>
      </c>
      <c r="I443" t="s">
        <v>1970</v>
      </c>
      <c r="J443" t="s">
        <v>1917</v>
      </c>
      <c r="K443" t="s">
        <v>1120</v>
      </c>
      <c r="L443" t="s">
        <v>1121</v>
      </c>
      <c r="M443" t="s">
        <v>1029</v>
      </c>
      <c r="N443" t="s">
        <v>1122</v>
      </c>
      <c r="O443" t="s">
        <v>1123</v>
      </c>
      <c r="P443" t="s">
        <v>1124</v>
      </c>
      <c r="Q443" t="b">
        <v>1</v>
      </c>
      <c r="R443" t="b">
        <v>0</v>
      </c>
      <c r="S443" t="s">
        <v>1033</v>
      </c>
      <c r="T443" t="s">
        <v>994</v>
      </c>
      <c r="U443" t="s">
        <v>1966</v>
      </c>
      <c r="V443" t="s">
        <v>997</v>
      </c>
      <c r="W443" t="s">
        <v>1035</v>
      </c>
      <c r="X443" t="s">
        <v>1980</v>
      </c>
    </row>
    <row r="444" spans="1:24" x14ac:dyDescent="0.25">
      <c r="A444" t="s">
        <v>42</v>
      </c>
      <c r="B444" t="s">
        <v>1988</v>
      </c>
      <c r="C444" t="s">
        <v>403</v>
      </c>
      <c r="D444" t="s">
        <v>410</v>
      </c>
      <c r="E444" t="s">
        <v>992</v>
      </c>
      <c r="F444">
        <v>0</v>
      </c>
      <c r="G444" t="s">
        <v>984</v>
      </c>
      <c r="H444" t="s">
        <v>994</v>
      </c>
      <c r="I444" t="s">
        <v>994</v>
      </c>
      <c r="J444" t="s">
        <v>1917</v>
      </c>
      <c r="K444" t="s">
        <v>994</v>
      </c>
      <c r="L444" t="s">
        <v>994</v>
      </c>
      <c r="M444" t="s">
        <v>994</v>
      </c>
      <c r="N444" t="s">
        <v>994</v>
      </c>
      <c r="O444" t="s">
        <v>994</v>
      </c>
      <c r="P444" t="s">
        <v>994</v>
      </c>
      <c r="Q444" t="b">
        <v>0</v>
      </c>
      <c r="R444" t="b">
        <v>1</v>
      </c>
      <c r="S444" t="s">
        <v>1591</v>
      </c>
      <c r="T444" t="s">
        <v>1949</v>
      </c>
      <c r="U444" t="s">
        <v>996</v>
      </c>
      <c r="V444" t="s">
        <v>1433</v>
      </c>
      <c r="W444" t="s">
        <v>1950</v>
      </c>
      <c r="X444" t="s">
        <v>994</v>
      </c>
    </row>
    <row r="445" spans="1:24" x14ac:dyDescent="0.25">
      <c r="A445" t="s">
        <v>42</v>
      </c>
      <c r="B445" t="s">
        <v>1989</v>
      </c>
      <c r="C445" t="s">
        <v>403</v>
      </c>
      <c r="D445" t="s">
        <v>410</v>
      </c>
      <c r="E445" t="s">
        <v>1000</v>
      </c>
      <c r="F445">
        <v>-71</v>
      </c>
      <c r="G445" t="s">
        <v>984</v>
      </c>
      <c r="H445" t="s">
        <v>994</v>
      </c>
      <c r="I445" t="s">
        <v>994</v>
      </c>
      <c r="J445" t="s">
        <v>1917</v>
      </c>
      <c r="K445" t="s">
        <v>994</v>
      </c>
      <c r="L445" t="s">
        <v>994</v>
      </c>
      <c r="M445" t="s">
        <v>994</v>
      </c>
      <c r="N445" t="s">
        <v>994</v>
      </c>
      <c r="O445" t="s">
        <v>994</v>
      </c>
      <c r="P445" t="s">
        <v>994</v>
      </c>
      <c r="Q445" t="b">
        <v>0</v>
      </c>
      <c r="R445" t="b">
        <v>1</v>
      </c>
      <c r="S445" t="s">
        <v>1591</v>
      </c>
      <c r="T445" t="s">
        <v>1949</v>
      </c>
      <c r="U445" t="s">
        <v>996</v>
      </c>
      <c r="V445" t="s">
        <v>1433</v>
      </c>
      <c r="W445" t="s">
        <v>1950</v>
      </c>
      <c r="X445" t="s">
        <v>994</v>
      </c>
    </row>
    <row r="446" spans="1:24" x14ac:dyDescent="0.25">
      <c r="A446" t="s">
        <v>42</v>
      </c>
      <c r="B446" t="s">
        <v>1990</v>
      </c>
      <c r="C446" t="s">
        <v>403</v>
      </c>
      <c r="D446" t="s">
        <v>410</v>
      </c>
      <c r="E446" t="s">
        <v>1002</v>
      </c>
      <c r="F446">
        <v>-142</v>
      </c>
      <c r="G446" t="s">
        <v>984</v>
      </c>
      <c r="H446" t="s">
        <v>994</v>
      </c>
      <c r="I446" t="s">
        <v>994</v>
      </c>
      <c r="J446" t="s">
        <v>1917</v>
      </c>
      <c r="K446" t="s">
        <v>994</v>
      </c>
      <c r="L446" t="s">
        <v>994</v>
      </c>
      <c r="M446" t="s">
        <v>994</v>
      </c>
      <c r="N446" t="s">
        <v>994</v>
      </c>
      <c r="O446" t="s">
        <v>994</v>
      </c>
      <c r="P446" t="s">
        <v>994</v>
      </c>
      <c r="Q446" t="b">
        <v>0</v>
      </c>
      <c r="R446" t="b">
        <v>1</v>
      </c>
      <c r="S446" t="s">
        <v>1591</v>
      </c>
      <c r="T446" t="s">
        <v>1949</v>
      </c>
      <c r="U446" t="s">
        <v>996</v>
      </c>
      <c r="V446" t="s">
        <v>1433</v>
      </c>
      <c r="W446" t="s">
        <v>1950</v>
      </c>
      <c r="X446" t="s">
        <v>994</v>
      </c>
    </row>
    <row r="447" spans="1:24" x14ac:dyDescent="0.25">
      <c r="A447" t="s">
        <v>42</v>
      </c>
      <c r="B447" t="s">
        <v>1991</v>
      </c>
      <c r="C447" t="s">
        <v>403</v>
      </c>
      <c r="D447" t="s">
        <v>410</v>
      </c>
      <c r="E447" t="s">
        <v>1004</v>
      </c>
      <c r="F447">
        <v>-165</v>
      </c>
      <c r="G447" t="s">
        <v>984</v>
      </c>
      <c r="H447" t="s">
        <v>994</v>
      </c>
      <c r="I447" t="s">
        <v>994</v>
      </c>
      <c r="J447" t="s">
        <v>1917</v>
      </c>
      <c r="K447" t="s">
        <v>994</v>
      </c>
      <c r="L447" t="s">
        <v>994</v>
      </c>
      <c r="M447" t="s">
        <v>994</v>
      </c>
      <c r="N447" t="s">
        <v>994</v>
      </c>
      <c r="O447" t="s">
        <v>994</v>
      </c>
      <c r="P447" t="s">
        <v>994</v>
      </c>
      <c r="Q447" t="b">
        <v>0</v>
      </c>
      <c r="R447" t="b">
        <v>1</v>
      </c>
      <c r="S447" t="s">
        <v>1591</v>
      </c>
      <c r="T447" t="s">
        <v>1949</v>
      </c>
      <c r="U447" t="s">
        <v>996</v>
      </c>
      <c r="V447" t="s">
        <v>1433</v>
      </c>
      <c r="W447" t="s">
        <v>1950</v>
      </c>
      <c r="X447" t="s">
        <v>994</v>
      </c>
    </row>
    <row r="448" spans="1:24" x14ac:dyDescent="0.25">
      <c r="A448" t="s">
        <v>42</v>
      </c>
      <c r="B448" t="s">
        <v>1992</v>
      </c>
      <c r="C448" t="s">
        <v>403</v>
      </c>
      <c r="D448" t="s">
        <v>410</v>
      </c>
      <c r="E448" t="s">
        <v>1006</v>
      </c>
      <c r="F448">
        <v>-209</v>
      </c>
      <c r="G448" t="s">
        <v>984</v>
      </c>
      <c r="H448" t="s">
        <v>994</v>
      </c>
      <c r="I448" t="s">
        <v>994</v>
      </c>
      <c r="J448" t="s">
        <v>1917</v>
      </c>
      <c r="K448" t="s">
        <v>994</v>
      </c>
      <c r="L448" t="s">
        <v>994</v>
      </c>
      <c r="M448" t="s">
        <v>994</v>
      </c>
      <c r="N448" t="s">
        <v>994</v>
      </c>
      <c r="O448" t="s">
        <v>994</v>
      </c>
      <c r="P448" t="s">
        <v>994</v>
      </c>
      <c r="Q448" t="b">
        <v>0</v>
      </c>
      <c r="R448" t="b">
        <v>1</v>
      </c>
      <c r="S448" t="s">
        <v>1591</v>
      </c>
      <c r="T448" t="s">
        <v>1949</v>
      </c>
      <c r="U448" t="s">
        <v>996</v>
      </c>
      <c r="V448" t="s">
        <v>1433</v>
      </c>
      <c r="W448" t="s">
        <v>1950</v>
      </c>
      <c r="X448" t="s">
        <v>994</v>
      </c>
    </row>
    <row r="449" spans="1:24" x14ac:dyDescent="0.25">
      <c r="A449" t="s">
        <v>42</v>
      </c>
      <c r="B449" t="s">
        <v>1993</v>
      </c>
      <c r="C449" t="s">
        <v>403</v>
      </c>
      <c r="D449" t="s">
        <v>410</v>
      </c>
      <c r="E449" t="s">
        <v>1008</v>
      </c>
      <c r="F449">
        <v>-256</v>
      </c>
      <c r="G449" t="s">
        <v>984</v>
      </c>
      <c r="H449" t="s">
        <v>994</v>
      </c>
      <c r="I449" t="s">
        <v>994</v>
      </c>
      <c r="J449" t="s">
        <v>1917</v>
      </c>
      <c r="K449" t="s">
        <v>994</v>
      </c>
      <c r="L449" t="s">
        <v>994</v>
      </c>
      <c r="M449" t="s">
        <v>994</v>
      </c>
      <c r="N449" t="s">
        <v>994</v>
      </c>
      <c r="O449" t="s">
        <v>994</v>
      </c>
      <c r="P449" t="s">
        <v>994</v>
      </c>
      <c r="Q449" t="b">
        <v>0</v>
      </c>
      <c r="R449" t="b">
        <v>1</v>
      </c>
      <c r="S449" t="s">
        <v>1591</v>
      </c>
      <c r="T449" t="s">
        <v>1949</v>
      </c>
      <c r="U449" t="s">
        <v>996</v>
      </c>
      <c r="V449" t="s">
        <v>1433</v>
      </c>
      <c r="W449" t="s">
        <v>1950</v>
      </c>
      <c r="X449" t="s">
        <v>994</v>
      </c>
    </row>
    <row r="450" spans="1:24" x14ac:dyDescent="0.25">
      <c r="A450" t="s">
        <v>42</v>
      </c>
      <c r="B450" t="s">
        <v>1994</v>
      </c>
      <c r="C450" t="s">
        <v>403</v>
      </c>
      <c r="D450" t="s">
        <v>410</v>
      </c>
      <c r="E450" t="s">
        <v>1010</v>
      </c>
      <c r="F450">
        <v>-187</v>
      </c>
      <c r="G450" t="s">
        <v>984</v>
      </c>
      <c r="H450" t="s">
        <v>994</v>
      </c>
      <c r="I450" t="s">
        <v>994</v>
      </c>
      <c r="J450" t="s">
        <v>1917</v>
      </c>
      <c r="K450" t="s">
        <v>994</v>
      </c>
      <c r="L450" t="s">
        <v>994</v>
      </c>
      <c r="M450" t="s">
        <v>994</v>
      </c>
      <c r="N450" t="s">
        <v>994</v>
      </c>
      <c r="O450" t="s">
        <v>994</v>
      </c>
      <c r="P450" t="s">
        <v>994</v>
      </c>
      <c r="Q450" t="b">
        <v>0</v>
      </c>
      <c r="R450" t="b">
        <v>1</v>
      </c>
      <c r="S450" t="s">
        <v>1591</v>
      </c>
      <c r="T450" t="s">
        <v>1949</v>
      </c>
      <c r="U450" t="s">
        <v>996</v>
      </c>
      <c r="V450" t="s">
        <v>1433</v>
      </c>
      <c r="W450" t="s">
        <v>1950</v>
      </c>
      <c r="X450" t="s">
        <v>994</v>
      </c>
    </row>
    <row r="451" spans="1:24" x14ac:dyDescent="0.25">
      <c r="A451" t="s">
        <v>42</v>
      </c>
      <c r="B451" t="s">
        <v>1995</v>
      </c>
      <c r="C451" t="s">
        <v>403</v>
      </c>
      <c r="D451" t="s">
        <v>410</v>
      </c>
      <c r="E451" t="s">
        <v>1012</v>
      </c>
      <c r="F451">
        <v>-164</v>
      </c>
      <c r="G451" t="s">
        <v>984</v>
      </c>
      <c r="H451" t="s">
        <v>994</v>
      </c>
      <c r="I451" t="s">
        <v>994</v>
      </c>
      <c r="J451" t="s">
        <v>1917</v>
      </c>
      <c r="K451" t="s">
        <v>994</v>
      </c>
      <c r="L451" t="s">
        <v>994</v>
      </c>
      <c r="M451" t="s">
        <v>994</v>
      </c>
      <c r="N451" t="s">
        <v>994</v>
      </c>
      <c r="O451" t="s">
        <v>994</v>
      </c>
      <c r="P451" t="s">
        <v>994</v>
      </c>
      <c r="Q451" t="b">
        <v>0</v>
      </c>
      <c r="R451" t="b">
        <v>1</v>
      </c>
      <c r="S451" t="s">
        <v>1591</v>
      </c>
      <c r="T451" t="s">
        <v>1949</v>
      </c>
      <c r="U451" t="s">
        <v>996</v>
      </c>
      <c r="V451" t="s">
        <v>1433</v>
      </c>
      <c r="W451" t="s">
        <v>1950</v>
      </c>
      <c r="X451" t="s">
        <v>994</v>
      </c>
    </row>
    <row r="452" spans="1:24" x14ac:dyDescent="0.25">
      <c r="A452" t="s">
        <v>42</v>
      </c>
      <c r="B452" t="s">
        <v>1996</v>
      </c>
      <c r="C452" t="s">
        <v>403</v>
      </c>
      <c r="D452" t="s">
        <v>410</v>
      </c>
      <c r="E452" t="s">
        <v>1014</v>
      </c>
      <c r="F452">
        <v>-136</v>
      </c>
      <c r="G452" t="s">
        <v>984</v>
      </c>
      <c r="H452" t="s">
        <v>994</v>
      </c>
      <c r="I452" t="s">
        <v>994</v>
      </c>
      <c r="J452" t="s">
        <v>1917</v>
      </c>
      <c r="K452" t="s">
        <v>994</v>
      </c>
      <c r="L452" t="s">
        <v>994</v>
      </c>
      <c r="M452" t="s">
        <v>994</v>
      </c>
      <c r="N452" t="s">
        <v>994</v>
      </c>
      <c r="O452" t="s">
        <v>994</v>
      </c>
      <c r="P452" t="s">
        <v>994</v>
      </c>
      <c r="Q452" t="b">
        <v>0</v>
      </c>
      <c r="R452" t="b">
        <v>1</v>
      </c>
      <c r="S452" t="s">
        <v>1591</v>
      </c>
      <c r="T452" t="s">
        <v>1949</v>
      </c>
      <c r="U452" t="s">
        <v>996</v>
      </c>
      <c r="V452" t="s">
        <v>1433</v>
      </c>
      <c r="W452" t="s">
        <v>1950</v>
      </c>
      <c r="X452" t="s">
        <v>994</v>
      </c>
    </row>
    <row r="453" spans="1:24" x14ac:dyDescent="0.25">
      <c r="A453" t="s">
        <v>42</v>
      </c>
      <c r="B453" t="s">
        <v>1997</v>
      </c>
      <c r="C453" t="s">
        <v>403</v>
      </c>
      <c r="D453" t="s">
        <v>410</v>
      </c>
      <c r="E453" t="s">
        <v>1016</v>
      </c>
      <c r="F453">
        <v>-393</v>
      </c>
      <c r="G453" t="s">
        <v>984</v>
      </c>
      <c r="H453" t="s">
        <v>994</v>
      </c>
      <c r="I453" t="s">
        <v>994</v>
      </c>
      <c r="J453" t="s">
        <v>1917</v>
      </c>
      <c r="K453" t="s">
        <v>994</v>
      </c>
      <c r="L453" t="s">
        <v>994</v>
      </c>
      <c r="M453" t="s">
        <v>994</v>
      </c>
      <c r="N453" t="s">
        <v>994</v>
      </c>
      <c r="O453" t="s">
        <v>994</v>
      </c>
      <c r="P453" t="s">
        <v>994</v>
      </c>
      <c r="Q453" t="b">
        <v>0</v>
      </c>
      <c r="R453" t="b">
        <v>1</v>
      </c>
      <c r="S453" t="s">
        <v>1591</v>
      </c>
      <c r="T453" t="s">
        <v>1949</v>
      </c>
      <c r="U453" t="s">
        <v>996</v>
      </c>
      <c r="V453" t="s">
        <v>1433</v>
      </c>
      <c r="W453" t="s">
        <v>1950</v>
      </c>
      <c r="X453" t="s">
        <v>994</v>
      </c>
    </row>
    <row r="454" spans="1:24" x14ac:dyDescent="0.25">
      <c r="A454" t="s">
        <v>42</v>
      </c>
      <c r="B454" t="s">
        <v>1998</v>
      </c>
      <c r="C454" t="s">
        <v>403</v>
      </c>
      <c r="D454" t="s">
        <v>410</v>
      </c>
      <c r="E454" t="s">
        <v>1018</v>
      </c>
      <c r="F454">
        <v>-285</v>
      </c>
      <c r="G454" t="s">
        <v>984</v>
      </c>
      <c r="H454" t="s">
        <v>994</v>
      </c>
      <c r="I454" t="s">
        <v>994</v>
      </c>
      <c r="J454" t="s">
        <v>1917</v>
      </c>
      <c r="K454" t="s">
        <v>994</v>
      </c>
      <c r="L454" t="s">
        <v>994</v>
      </c>
      <c r="M454" t="s">
        <v>994</v>
      </c>
      <c r="N454" t="s">
        <v>994</v>
      </c>
      <c r="O454" t="s">
        <v>994</v>
      </c>
      <c r="P454" t="s">
        <v>994</v>
      </c>
      <c r="Q454" t="b">
        <v>0</v>
      </c>
      <c r="R454" t="b">
        <v>1</v>
      </c>
      <c r="S454" t="s">
        <v>1591</v>
      </c>
      <c r="T454" t="s">
        <v>1949</v>
      </c>
      <c r="U454" t="s">
        <v>996</v>
      </c>
      <c r="V454" t="s">
        <v>1433</v>
      </c>
      <c r="W454" t="s">
        <v>1950</v>
      </c>
      <c r="X454" t="s">
        <v>994</v>
      </c>
    </row>
    <row r="455" spans="1:24" x14ac:dyDescent="0.25">
      <c r="A455" t="s">
        <v>42</v>
      </c>
      <c r="B455" t="s">
        <v>1999</v>
      </c>
      <c r="C455" t="s">
        <v>403</v>
      </c>
      <c r="D455" t="s">
        <v>410</v>
      </c>
      <c r="E455" t="s">
        <v>1020</v>
      </c>
      <c r="F455">
        <v>-245</v>
      </c>
      <c r="G455" t="s">
        <v>984</v>
      </c>
      <c r="H455" t="s">
        <v>994</v>
      </c>
      <c r="I455" t="s">
        <v>994</v>
      </c>
      <c r="J455" t="s">
        <v>1917</v>
      </c>
      <c r="K455" t="s">
        <v>994</v>
      </c>
      <c r="L455" t="s">
        <v>994</v>
      </c>
      <c r="M455" t="s">
        <v>994</v>
      </c>
      <c r="N455" t="s">
        <v>994</v>
      </c>
      <c r="O455" t="s">
        <v>994</v>
      </c>
      <c r="P455" t="s">
        <v>994</v>
      </c>
      <c r="Q455" t="b">
        <v>0</v>
      </c>
      <c r="R455" t="b">
        <v>1</v>
      </c>
      <c r="S455" t="s">
        <v>1591</v>
      </c>
      <c r="T455" t="s">
        <v>1949</v>
      </c>
      <c r="U455" t="s">
        <v>996</v>
      </c>
      <c r="V455" t="s">
        <v>1433</v>
      </c>
      <c r="W455" t="s">
        <v>1950</v>
      </c>
      <c r="X455" t="s">
        <v>994</v>
      </c>
    </row>
    <row r="456" spans="1:24" x14ac:dyDescent="0.25">
      <c r="A456" t="s">
        <v>42</v>
      </c>
      <c r="B456" t="s">
        <v>2000</v>
      </c>
      <c r="C456" t="s">
        <v>403</v>
      </c>
      <c r="D456" t="s">
        <v>410</v>
      </c>
      <c r="E456" t="s">
        <v>1022</v>
      </c>
      <c r="F456">
        <v>-136</v>
      </c>
      <c r="G456" t="s">
        <v>984</v>
      </c>
      <c r="H456" t="s">
        <v>994</v>
      </c>
      <c r="I456" t="s">
        <v>994</v>
      </c>
      <c r="J456" t="s">
        <v>1917</v>
      </c>
      <c r="K456" t="s">
        <v>994</v>
      </c>
      <c r="L456" t="s">
        <v>994</v>
      </c>
      <c r="M456" t="s">
        <v>994</v>
      </c>
      <c r="N456" t="s">
        <v>994</v>
      </c>
      <c r="O456" t="s">
        <v>994</v>
      </c>
      <c r="P456" t="s">
        <v>994</v>
      </c>
      <c r="Q456" t="b">
        <v>0</v>
      </c>
      <c r="R456" t="b">
        <v>1</v>
      </c>
      <c r="S456" t="s">
        <v>1591</v>
      </c>
      <c r="T456" t="s">
        <v>1949</v>
      </c>
      <c r="U456" t="s">
        <v>996</v>
      </c>
      <c r="V456" t="s">
        <v>1433</v>
      </c>
      <c r="W456" t="s">
        <v>1950</v>
      </c>
      <c r="X456" t="s">
        <v>994</v>
      </c>
    </row>
    <row r="457" spans="1:24" x14ac:dyDescent="0.25">
      <c r="A457" t="s">
        <v>42</v>
      </c>
      <c r="B457" t="s">
        <v>2001</v>
      </c>
      <c r="C457" t="s">
        <v>403</v>
      </c>
      <c r="D457" t="s">
        <v>434</v>
      </c>
      <c r="E457" t="s">
        <v>992</v>
      </c>
      <c r="F457">
        <v>0</v>
      </c>
      <c r="G457" t="s">
        <v>984</v>
      </c>
      <c r="H457" t="s">
        <v>994</v>
      </c>
      <c r="I457" t="s">
        <v>994</v>
      </c>
      <c r="J457" t="s">
        <v>1917</v>
      </c>
      <c r="K457" t="s">
        <v>994</v>
      </c>
      <c r="L457" t="s">
        <v>994</v>
      </c>
      <c r="M457" t="s">
        <v>994</v>
      </c>
      <c r="N457" t="s">
        <v>994</v>
      </c>
      <c r="O457" t="s">
        <v>994</v>
      </c>
      <c r="P457" t="s">
        <v>994</v>
      </c>
      <c r="Q457" t="b">
        <v>0</v>
      </c>
      <c r="R457" t="b">
        <v>1</v>
      </c>
      <c r="S457" t="s">
        <v>1591</v>
      </c>
      <c r="T457" t="s">
        <v>1949</v>
      </c>
      <c r="U457" t="s">
        <v>996</v>
      </c>
      <c r="V457" t="s">
        <v>1433</v>
      </c>
      <c r="W457" t="s">
        <v>1950</v>
      </c>
      <c r="X457" t="s">
        <v>994</v>
      </c>
    </row>
    <row r="458" spans="1:24" x14ac:dyDescent="0.25">
      <c r="A458" t="s">
        <v>42</v>
      </c>
      <c r="B458" t="s">
        <v>2002</v>
      </c>
      <c r="C458" t="s">
        <v>403</v>
      </c>
      <c r="D458" t="s">
        <v>434</v>
      </c>
      <c r="E458" t="s">
        <v>1000</v>
      </c>
      <c r="F458">
        <v>0</v>
      </c>
      <c r="G458" t="s">
        <v>984</v>
      </c>
      <c r="H458" t="s">
        <v>994</v>
      </c>
      <c r="I458" t="s">
        <v>994</v>
      </c>
      <c r="J458" t="s">
        <v>1917</v>
      </c>
      <c r="K458" t="s">
        <v>994</v>
      </c>
      <c r="L458" t="s">
        <v>994</v>
      </c>
      <c r="M458" t="s">
        <v>994</v>
      </c>
      <c r="N458" t="s">
        <v>994</v>
      </c>
      <c r="O458" t="s">
        <v>994</v>
      </c>
      <c r="P458" t="s">
        <v>994</v>
      </c>
      <c r="Q458" t="b">
        <v>0</v>
      </c>
      <c r="R458" t="b">
        <v>1</v>
      </c>
      <c r="S458" t="s">
        <v>1591</v>
      </c>
      <c r="T458" t="s">
        <v>1949</v>
      </c>
      <c r="U458" t="s">
        <v>996</v>
      </c>
      <c r="V458" t="s">
        <v>1433</v>
      </c>
      <c r="W458" t="s">
        <v>1950</v>
      </c>
      <c r="X458" t="s">
        <v>994</v>
      </c>
    </row>
    <row r="459" spans="1:24" x14ac:dyDescent="0.25">
      <c r="A459" t="s">
        <v>42</v>
      </c>
      <c r="B459" t="s">
        <v>2003</v>
      </c>
      <c r="C459" t="s">
        <v>403</v>
      </c>
      <c r="D459" t="s">
        <v>434</v>
      </c>
      <c r="E459" t="s">
        <v>1002</v>
      </c>
      <c r="F459">
        <v>0</v>
      </c>
      <c r="G459" t="s">
        <v>984</v>
      </c>
      <c r="H459" t="s">
        <v>994</v>
      </c>
      <c r="I459" t="s">
        <v>994</v>
      </c>
      <c r="J459" t="s">
        <v>1917</v>
      </c>
      <c r="K459" t="s">
        <v>994</v>
      </c>
      <c r="L459" t="s">
        <v>994</v>
      </c>
      <c r="M459" t="s">
        <v>994</v>
      </c>
      <c r="N459" t="s">
        <v>994</v>
      </c>
      <c r="O459" t="s">
        <v>994</v>
      </c>
      <c r="P459" t="s">
        <v>994</v>
      </c>
      <c r="Q459" t="b">
        <v>0</v>
      </c>
      <c r="R459" t="b">
        <v>1</v>
      </c>
      <c r="S459" t="s">
        <v>1591</v>
      </c>
      <c r="T459" t="s">
        <v>1949</v>
      </c>
      <c r="U459" t="s">
        <v>996</v>
      </c>
      <c r="V459" t="s">
        <v>1433</v>
      </c>
      <c r="W459" t="s">
        <v>1950</v>
      </c>
      <c r="X459" t="s">
        <v>994</v>
      </c>
    </row>
    <row r="460" spans="1:24" x14ac:dyDescent="0.25">
      <c r="A460" t="s">
        <v>42</v>
      </c>
      <c r="B460" t="s">
        <v>2004</v>
      </c>
      <c r="C460" t="s">
        <v>403</v>
      </c>
      <c r="D460" t="s">
        <v>434</v>
      </c>
      <c r="E460" t="s">
        <v>1004</v>
      </c>
      <c r="F460">
        <v>0</v>
      </c>
      <c r="G460" t="s">
        <v>984</v>
      </c>
      <c r="H460" t="s">
        <v>994</v>
      </c>
      <c r="I460" t="s">
        <v>994</v>
      </c>
      <c r="J460" t="s">
        <v>1917</v>
      </c>
      <c r="K460" t="s">
        <v>994</v>
      </c>
      <c r="L460" t="s">
        <v>994</v>
      </c>
      <c r="M460" t="s">
        <v>994</v>
      </c>
      <c r="N460" t="s">
        <v>994</v>
      </c>
      <c r="O460" t="s">
        <v>994</v>
      </c>
      <c r="P460" t="s">
        <v>994</v>
      </c>
      <c r="Q460" t="b">
        <v>0</v>
      </c>
      <c r="R460" t="b">
        <v>1</v>
      </c>
      <c r="S460" t="s">
        <v>1591</v>
      </c>
      <c r="T460" t="s">
        <v>1949</v>
      </c>
      <c r="U460" t="s">
        <v>996</v>
      </c>
      <c r="V460" t="s">
        <v>1433</v>
      </c>
      <c r="W460" t="s">
        <v>1950</v>
      </c>
      <c r="X460" t="s">
        <v>994</v>
      </c>
    </row>
    <row r="461" spans="1:24" x14ac:dyDescent="0.25">
      <c r="A461" t="s">
        <v>42</v>
      </c>
      <c r="B461" t="s">
        <v>2005</v>
      </c>
      <c r="C461" t="s">
        <v>403</v>
      </c>
      <c r="D461" t="s">
        <v>434</v>
      </c>
      <c r="E461" t="s">
        <v>1006</v>
      </c>
      <c r="F461">
        <v>0</v>
      </c>
      <c r="G461" t="s">
        <v>984</v>
      </c>
      <c r="H461" t="s">
        <v>994</v>
      </c>
      <c r="I461" t="s">
        <v>994</v>
      </c>
      <c r="J461" t="s">
        <v>1917</v>
      </c>
      <c r="K461" t="s">
        <v>994</v>
      </c>
      <c r="L461" t="s">
        <v>994</v>
      </c>
      <c r="M461" t="s">
        <v>994</v>
      </c>
      <c r="N461" t="s">
        <v>994</v>
      </c>
      <c r="O461" t="s">
        <v>994</v>
      </c>
      <c r="P461" t="s">
        <v>994</v>
      </c>
      <c r="Q461" t="b">
        <v>0</v>
      </c>
      <c r="R461" t="b">
        <v>1</v>
      </c>
      <c r="S461" t="s">
        <v>1591</v>
      </c>
      <c r="T461" t="s">
        <v>1949</v>
      </c>
      <c r="U461" t="s">
        <v>996</v>
      </c>
      <c r="V461" t="s">
        <v>1433</v>
      </c>
      <c r="W461" t="s">
        <v>1950</v>
      </c>
      <c r="X461" t="s">
        <v>994</v>
      </c>
    </row>
    <row r="462" spans="1:24" x14ac:dyDescent="0.25">
      <c r="A462" t="s">
        <v>42</v>
      </c>
      <c r="B462" t="s">
        <v>2006</v>
      </c>
      <c r="C462" t="s">
        <v>403</v>
      </c>
      <c r="D462" t="s">
        <v>434</v>
      </c>
      <c r="E462" t="s">
        <v>1008</v>
      </c>
      <c r="F462">
        <v>0</v>
      </c>
      <c r="G462" t="s">
        <v>984</v>
      </c>
      <c r="H462" t="s">
        <v>994</v>
      </c>
      <c r="I462" t="s">
        <v>994</v>
      </c>
      <c r="J462" t="s">
        <v>1917</v>
      </c>
      <c r="K462" t="s">
        <v>994</v>
      </c>
      <c r="L462" t="s">
        <v>994</v>
      </c>
      <c r="M462" t="s">
        <v>994</v>
      </c>
      <c r="N462" t="s">
        <v>994</v>
      </c>
      <c r="O462" t="s">
        <v>994</v>
      </c>
      <c r="P462" t="s">
        <v>994</v>
      </c>
      <c r="Q462" t="b">
        <v>0</v>
      </c>
      <c r="R462" t="b">
        <v>1</v>
      </c>
      <c r="S462" t="s">
        <v>1591</v>
      </c>
      <c r="T462" t="s">
        <v>1949</v>
      </c>
      <c r="U462" t="s">
        <v>996</v>
      </c>
      <c r="V462" t="s">
        <v>1433</v>
      </c>
      <c r="W462" t="s">
        <v>1950</v>
      </c>
      <c r="X462" t="s">
        <v>994</v>
      </c>
    </row>
    <row r="463" spans="1:24" x14ac:dyDescent="0.25">
      <c r="A463" t="s">
        <v>42</v>
      </c>
      <c r="B463" t="s">
        <v>2007</v>
      </c>
      <c r="C463" t="s">
        <v>403</v>
      </c>
      <c r="D463" t="s">
        <v>434</v>
      </c>
      <c r="E463" t="s">
        <v>1010</v>
      </c>
      <c r="F463">
        <v>0</v>
      </c>
      <c r="G463" t="s">
        <v>984</v>
      </c>
      <c r="H463" t="s">
        <v>994</v>
      </c>
      <c r="I463" t="s">
        <v>994</v>
      </c>
      <c r="J463" t="s">
        <v>1917</v>
      </c>
      <c r="K463" t="s">
        <v>994</v>
      </c>
      <c r="L463" t="s">
        <v>994</v>
      </c>
      <c r="M463" t="s">
        <v>994</v>
      </c>
      <c r="N463" t="s">
        <v>994</v>
      </c>
      <c r="O463" t="s">
        <v>994</v>
      </c>
      <c r="P463" t="s">
        <v>994</v>
      </c>
      <c r="Q463" t="b">
        <v>0</v>
      </c>
      <c r="R463" t="b">
        <v>1</v>
      </c>
      <c r="S463" t="s">
        <v>1591</v>
      </c>
      <c r="T463" t="s">
        <v>1949</v>
      </c>
      <c r="U463" t="s">
        <v>996</v>
      </c>
      <c r="V463" t="s">
        <v>1433</v>
      </c>
      <c r="W463" t="s">
        <v>1950</v>
      </c>
      <c r="X463" t="s">
        <v>994</v>
      </c>
    </row>
    <row r="464" spans="1:24" x14ac:dyDescent="0.25">
      <c r="A464" t="s">
        <v>42</v>
      </c>
      <c r="B464" t="s">
        <v>2008</v>
      </c>
      <c r="C464" t="s">
        <v>403</v>
      </c>
      <c r="D464" t="s">
        <v>434</v>
      </c>
      <c r="E464" t="s">
        <v>1012</v>
      </c>
      <c r="F464">
        <v>0</v>
      </c>
      <c r="G464" t="s">
        <v>984</v>
      </c>
      <c r="H464" t="s">
        <v>994</v>
      </c>
      <c r="I464" t="s">
        <v>994</v>
      </c>
      <c r="J464" t="s">
        <v>1917</v>
      </c>
      <c r="K464" t="s">
        <v>994</v>
      </c>
      <c r="L464" t="s">
        <v>994</v>
      </c>
      <c r="M464" t="s">
        <v>994</v>
      </c>
      <c r="N464" t="s">
        <v>994</v>
      </c>
      <c r="O464" t="s">
        <v>994</v>
      </c>
      <c r="P464" t="s">
        <v>994</v>
      </c>
      <c r="Q464" t="b">
        <v>0</v>
      </c>
      <c r="R464" t="b">
        <v>1</v>
      </c>
      <c r="S464" t="s">
        <v>1591</v>
      </c>
      <c r="T464" t="s">
        <v>1949</v>
      </c>
      <c r="U464" t="s">
        <v>996</v>
      </c>
      <c r="V464" t="s">
        <v>1433</v>
      </c>
      <c r="W464" t="s">
        <v>1950</v>
      </c>
      <c r="X464" t="s">
        <v>994</v>
      </c>
    </row>
    <row r="465" spans="1:24" x14ac:dyDescent="0.25">
      <c r="A465" t="s">
        <v>42</v>
      </c>
      <c r="B465" t="s">
        <v>2009</v>
      </c>
      <c r="C465" t="s">
        <v>403</v>
      </c>
      <c r="D465" t="s">
        <v>434</v>
      </c>
      <c r="E465" t="s">
        <v>1014</v>
      </c>
      <c r="F465">
        <v>0</v>
      </c>
      <c r="G465" t="s">
        <v>984</v>
      </c>
      <c r="H465" t="s">
        <v>994</v>
      </c>
      <c r="I465" t="s">
        <v>994</v>
      </c>
      <c r="J465" t="s">
        <v>1917</v>
      </c>
      <c r="K465" t="s">
        <v>994</v>
      </c>
      <c r="L465" t="s">
        <v>994</v>
      </c>
      <c r="M465" t="s">
        <v>994</v>
      </c>
      <c r="N465" t="s">
        <v>994</v>
      </c>
      <c r="O465" t="s">
        <v>994</v>
      </c>
      <c r="P465" t="s">
        <v>994</v>
      </c>
      <c r="Q465" t="b">
        <v>0</v>
      </c>
      <c r="R465" t="b">
        <v>1</v>
      </c>
      <c r="S465" t="s">
        <v>1591</v>
      </c>
      <c r="T465" t="s">
        <v>1949</v>
      </c>
      <c r="U465" t="s">
        <v>996</v>
      </c>
      <c r="V465" t="s">
        <v>1433</v>
      </c>
      <c r="W465" t="s">
        <v>1950</v>
      </c>
      <c r="X465" t="s">
        <v>994</v>
      </c>
    </row>
    <row r="466" spans="1:24" x14ac:dyDescent="0.25">
      <c r="A466" t="s">
        <v>42</v>
      </c>
      <c r="B466" t="s">
        <v>2010</v>
      </c>
      <c r="C466" t="s">
        <v>403</v>
      </c>
      <c r="D466" t="s">
        <v>434</v>
      </c>
      <c r="E466" t="s">
        <v>1016</v>
      </c>
      <c r="F466">
        <v>0</v>
      </c>
      <c r="G466" t="s">
        <v>984</v>
      </c>
      <c r="H466" t="s">
        <v>994</v>
      </c>
      <c r="I466" t="s">
        <v>994</v>
      </c>
      <c r="J466" t="s">
        <v>1917</v>
      </c>
      <c r="K466" t="s">
        <v>994</v>
      </c>
      <c r="L466" t="s">
        <v>994</v>
      </c>
      <c r="M466" t="s">
        <v>994</v>
      </c>
      <c r="N466" t="s">
        <v>994</v>
      </c>
      <c r="O466" t="s">
        <v>994</v>
      </c>
      <c r="P466" t="s">
        <v>994</v>
      </c>
      <c r="Q466" t="b">
        <v>0</v>
      </c>
      <c r="R466" t="b">
        <v>1</v>
      </c>
      <c r="S466" t="s">
        <v>1591</v>
      </c>
      <c r="T466" t="s">
        <v>1949</v>
      </c>
      <c r="U466" t="s">
        <v>996</v>
      </c>
      <c r="V466" t="s">
        <v>1433</v>
      </c>
      <c r="W466" t="s">
        <v>1950</v>
      </c>
      <c r="X466" t="s">
        <v>994</v>
      </c>
    </row>
    <row r="467" spans="1:24" x14ac:dyDescent="0.25">
      <c r="A467" t="s">
        <v>42</v>
      </c>
      <c r="B467" t="s">
        <v>2011</v>
      </c>
      <c r="C467" t="s">
        <v>403</v>
      </c>
      <c r="D467" t="s">
        <v>434</v>
      </c>
      <c r="E467" t="s">
        <v>1018</v>
      </c>
      <c r="F467">
        <v>0</v>
      </c>
      <c r="G467" t="s">
        <v>984</v>
      </c>
      <c r="H467" t="s">
        <v>994</v>
      </c>
      <c r="I467" t="s">
        <v>994</v>
      </c>
      <c r="J467" t="s">
        <v>1917</v>
      </c>
      <c r="K467" t="s">
        <v>994</v>
      </c>
      <c r="L467" t="s">
        <v>994</v>
      </c>
      <c r="M467" t="s">
        <v>994</v>
      </c>
      <c r="N467" t="s">
        <v>994</v>
      </c>
      <c r="O467" t="s">
        <v>994</v>
      </c>
      <c r="P467" t="s">
        <v>994</v>
      </c>
      <c r="Q467" t="b">
        <v>0</v>
      </c>
      <c r="R467" t="b">
        <v>1</v>
      </c>
      <c r="S467" t="s">
        <v>1591</v>
      </c>
      <c r="T467" t="s">
        <v>1949</v>
      </c>
      <c r="U467" t="s">
        <v>996</v>
      </c>
      <c r="V467" t="s">
        <v>1433</v>
      </c>
      <c r="W467" t="s">
        <v>1950</v>
      </c>
      <c r="X467" t="s">
        <v>994</v>
      </c>
    </row>
    <row r="468" spans="1:24" x14ac:dyDescent="0.25">
      <c r="A468" t="s">
        <v>42</v>
      </c>
      <c r="B468" t="s">
        <v>2012</v>
      </c>
      <c r="C468" t="s">
        <v>403</v>
      </c>
      <c r="D468" t="s">
        <v>434</v>
      </c>
      <c r="E468" t="s">
        <v>1020</v>
      </c>
      <c r="F468">
        <v>0</v>
      </c>
      <c r="G468" t="s">
        <v>984</v>
      </c>
      <c r="H468" t="s">
        <v>994</v>
      </c>
      <c r="I468" t="s">
        <v>994</v>
      </c>
      <c r="J468" t="s">
        <v>1917</v>
      </c>
      <c r="K468" t="s">
        <v>994</v>
      </c>
      <c r="L468" t="s">
        <v>994</v>
      </c>
      <c r="M468" t="s">
        <v>994</v>
      </c>
      <c r="N468" t="s">
        <v>994</v>
      </c>
      <c r="O468" t="s">
        <v>994</v>
      </c>
      <c r="P468" t="s">
        <v>994</v>
      </c>
      <c r="Q468" t="b">
        <v>0</v>
      </c>
      <c r="R468" t="b">
        <v>1</v>
      </c>
      <c r="S468" t="s">
        <v>1591</v>
      </c>
      <c r="T468" t="s">
        <v>1949</v>
      </c>
      <c r="U468" t="s">
        <v>996</v>
      </c>
      <c r="V468" t="s">
        <v>1433</v>
      </c>
      <c r="W468" t="s">
        <v>1950</v>
      </c>
      <c r="X468" t="s">
        <v>994</v>
      </c>
    </row>
    <row r="469" spans="1:24" x14ac:dyDescent="0.25">
      <c r="A469" t="s">
        <v>42</v>
      </c>
      <c r="B469" t="s">
        <v>2013</v>
      </c>
      <c r="C469" t="s">
        <v>403</v>
      </c>
      <c r="D469" t="s">
        <v>434</v>
      </c>
      <c r="E469" t="s">
        <v>1022</v>
      </c>
      <c r="F469">
        <v>0</v>
      </c>
      <c r="G469" t="s">
        <v>984</v>
      </c>
      <c r="H469" t="s">
        <v>994</v>
      </c>
      <c r="I469" t="s">
        <v>994</v>
      </c>
      <c r="J469" t="s">
        <v>1917</v>
      </c>
      <c r="K469" t="s">
        <v>994</v>
      </c>
      <c r="L469" t="s">
        <v>994</v>
      </c>
      <c r="M469" t="s">
        <v>994</v>
      </c>
      <c r="N469" t="s">
        <v>994</v>
      </c>
      <c r="O469" t="s">
        <v>994</v>
      </c>
      <c r="P469" t="s">
        <v>994</v>
      </c>
      <c r="Q469" t="b">
        <v>0</v>
      </c>
      <c r="R469" t="b">
        <v>1</v>
      </c>
      <c r="S469" t="s">
        <v>1591</v>
      </c>
      <c r="T469" t="s">
        <v>1949</v>
      </c>
      <c r="U469" t="s">
        <v>996</v>
      </c>
      <c r="V469" t="s">
        <v>1433</v>
      </c>
      <c r="W469" t="s">
        <v>1950</v>
      </c>
      <c r="X469" t="s">
        <v>994</v>
      </c>
    </row>
    <row r="470" spans="1:24" x14ac:dyDescent="0.25">
      <c r="A470" t="s">
        <v>42</v>
      </c>
      <c r="B470" t="s">
        <v>2014</v>
      </c>
      <c r="C470" t="s">
        <v>403</v>
      </c>
      <c r="D470" t="s">
        <v>436</v>
      </c>
      <c r="E470" t="s">
        <v>992</v>
      </c>
      <c r="F470">
        <v>0</v>
      </c>
      <c r="G470" t="s">
        <v>984</v>
      </c>
      <c r="H470" t="s">
        <v>994</v>
      </c>
      <c r="I470" t="s">
        <v>994</v>
      </c>
      <c r="J470" t="s">
        <v>1917</v>
      </c>
      <c r="K470" t="s">
        <v>994</v>
      </c>
      <c r="L470" t="s">
        <v>994</v>
      </c>
      <c r="M470" t="s">
        <v>994</v>
      </c>
      <c r="N470" t="s">
        <v>994</v>
      </c>
      <c r="O470" t="s">
        <v>994</v>
      </c>
      <c r="P470" t="s">
        <v>994</v>
      </c>
      <c r="Q470" t="b">
        <v>0</v>
      </c>
      <c r="R470" t="b">
        <v>1</v>
      </c>
      <c r="S470" t="s">
        <v>1591</v>
      </c>
      <c r="T470" t="s">
        <v>1949</v>
      </c>
      <c r="U470" t="s">
        <v>996</v>
      </c>
      <c r="V470" t="s">
        <v>1433</v>
      </c>
      <c r="W470" t="s">
        <v>1950</v>
      </c>
      <c r="X470" t="s">
        <v>994</v>
      </c>
    </row>
    <row r="471" spans="1:24" x14ac:dyDescent="0.25">
      <c r="A471" t="s">
        <v>42</v>
      </c>
      <c r="B471" t="s">
        <v>2015</v>
      </c>
      <c r="C471" t="s">
        <v>403</v>
      </c>
      <c r="D471" t="s">
        <v>436</v>
      </c>
      <c r="E471" t="s">
        <v>1000</v>
      </c>
      <c r="F471">
        <v>15844</v>
      </c>
      <c r="G471" t="s">
        <v>984</v>
      </c>
      <c r="H471" t="s">
        <v>994</v>
      </c>
      <c r="I471" t="s">
        <v>994</v>
      </c>
      <c r="J471" t="s">
        <v>1917</v>
      </c>
      <c r="K471" t="s">
        <v>994</v>
      </c>
      <c r="L471" t="s">
        <v>994</v>
      </c>
      <c r="M471" t="s">
        <v>994</v>
      </c>
      <c r="N471" t="s">
        <v>994</v>
      </c>
      <c r="O471" t="s">
        <v>994</v>
      </c>
      <c r="P471" t="s">
        <v>994</v>
      </c>
      <c r="Q471" t="b">
        <v>0</v>
      </c>
      <c r="R471" t="b">
        <v>1</v>
      </c>
      <c r="S471" t="s">
        <v>1591</v>
      </c>
      <c r="T471" t="s">
        <v>1949</v>
      </c>
      <c r="U471" t="s">
        <v>996</v>
      </c>
      <c r="V471" t="s">
        <v>1433</v>
      </c>
      <c r="W471" t="s">
        <v>1950</v>
      </c>
      <c r="X471" t="s">
        <v>994</v>
      </c>
    </row>
    <row r="472" spans="1:24" x14ac:dyDescent="0.25">
      <c r="A472" t="s">
        <v>42</v>
      </c>
      <c r="B472" t="s">
        <v>2016</v>
      </c>
      <c r="C472" t="s">
        <v>403</v>
      </c>
      <c r="D472" t="s">
        <v>436</v>
      </c>
      <c r="E472" t="s">
        <v>1002</v>
      </c>
      <c r="F472">
        <v>15831</v>
      </c>
      <c r="G472" t="s">
        <v>984</v>
      </c>
      <c r="H472" t="s">
        <v>994</v>
      </c>
      <c r="I472" t="s">
        <v>994</v>
      </c>
      <c r="J472" t="s">
        <v>1917</v>
      </c>
      <c r="K472" t="s">
        <v>994</v>
      </c>
      <c r="L472" t="s">
        <v>994</v>
      </c>
      <c r="M472" t="s">
        <v>994</v>
      </c>
      <c r="N472" t="s">
        <v>994</v>
      </c>
      <c r="O472" t="s">
        <v>994</v>
      </c>
      <c r="P472" t="s">
        <v>994</v>
      </c>
      <c r="Q472" t="b">
        <v>0</v>
      </c>
      <c r="R472" t="b">
        <v>1</v>
      </c>
      <c r="S472" t="s">
        <v>1591</v>
      </c>
      <c r="T472" t="s">
        <v>1949</v>
      </c>
      <c r="U472" t="s">
        <v>996</v>
      </c>
      <c r="V472" t="s">
        <v>1433</v>
      </c>
      <c r="W472" t="s">
        <v>1950</v>
      </c>
      <c r="X472" t="s">
        <v>994</v>
      </c>
    </row>
    <row r="473" spans="1:24" x14ac:dyDescent="0.25">
      <c r="A473" t="s">
        <v>42</v>
      </c>
      <c r="B473" t="s">
        <v>2017</v>
      </c>
      <c r="C473" t="s">
        <v>403</v>
      </c>
      <c r="D473" t="s">
        <v>436</v>
      </c>
      <c r="E473" t="s">
        <v>1004</v>
      </c>
      <c r="F473">
        <v>15577</v>
      </c>
      <c r="G473" t="s">
        <v>984</v>
      </c>
      <c r="H473" t="s">
        <v>994</v>
      </c>
      <c r="I473" t="s">
        <v>994</v>
      </c>
      <c r="J473" t="s">
        <v>1917</v>
      </c>
      <c r="K473" t="s">
        <v>994</v>
      </c>
      <c r="L473" t="s">
        <v>994</v>
      </c>
      <c r="M473" t="s">
        <v>994</v>
      </c>
      <c r="N473" t="s">
        <v>994</v>
      </c>
      <c r="O473" t="s">
        <v>994</v>
      </c>
      <c r="P473" t="s">
        <v>994</v>
      </c>
      <c r="Q473" t="b">
        <v>0</v>
      </c>
      <c r="R473" t="b">
        <v>1</v>
      </c>
      <c r="S473" t="s">
        <v>1591</v>
      </c>
      <c r="T473" t="s">
        <v>1949</v>
      </c>
      <c r="U473" t="s">
        <v>996</v>
      </c>
      <c r="V473" t="s">
        <v>1433</v>
      </c>
      <c r="W473" t="s">
        <v>1950</v>
      </c>
      <c r="X473" t="s">
        <v>994</v>
      </c>
    </row>
    <row r="474" spans="1:24" x14ac:dyDescent="0.25">
      <c r="A474" t="s">
        <v>42</v>
      </c>
      <c r="B474" t="s">
        <v>2018</v>
      </c>
      <c r="C474" t="s">
        <v>403</v>
      </c>
      <c r="D474" t="s">
        <v>436</v>
      </c>
      <c r="E474" t="s">
        <v>1006</v>
      </c>
      <c r="F474">
        <v>15501</v>
      </c>
      <c r="G474" t="s">
        <v>984</v>
      </c>
      <c r="H474" t="s">
        <v>994</v>
      </c>
      <c r="I474" t="s">
        <v>994</v>
      </c>
      <c r="J474" t="s">
        <v>1917</v>
      </c>
      <c r="K474" t="s">
        <v>994</v>
      </c>
      <c r="L474" t="s">
        <v>994</v>
      </c>
      <c r="M474" t="s">
        <v>994</v>
      </c>
      <c r="N474" t="s">
        <v>994</v>
      </c>
      <c r="O474" t="s">
        <v>994</v>
      </c>
      <c r="P474" t="s">
        <v>994</v>
      </c>
      <c r="Q474" t="b">
        <v>0</v>
      </c>
      <c r="R474" t="b">
        <v>1</v>
      </c>
      <c r="S474" t="s">
        <v>1591</v>
      </c>
      <c r="T474" t="s">
        <v>1949</v>
      </c>
      <c r="U474" t="s">
        <v>996</v>
      </c>
      <c r="V474" t="s">
        <v>1433</v>
      </c>
      <c r="W474" t="s">
        <v>1950</v>
      </c>
      <c r="X474" t="s">
        <v>994</v>
      </c>
    </row>
    <row r="475" spans="1:24" x14ac:dyDescent="0.25">
      <c r="A475" t="s">
        <v>42</v>
      </c>
      <c r="B475" t="s">
        <v>2019</v>
      </c>
      <c r="C475" t="s">
        <v>403</v>
      </c>
      <c r="D475" t="s">
        <v>436</v>
      </c>
      <c r="E475" t="s">
        <v>1008</v>
      </c>
      <c r="F475">
        <v>17550</v>
      </c>
      <c r="G475" t="s">
        <v>984</v>
      </c>
      <c r="H475" t="s">
        <v>994</v>
      </c>
      <c r="I475" t="s">
        <v>994</v>
      </c>
      <c r="J475" t="s">
        <v>1917</v>
      </c>
      <c r="K475" t="s">
        <v>994</v>
      </c>
      <c r="L475" t="s">
        <v>994</v>
      </c>
      <c r="M475" t="s">
        <v>994</v>
      </c>
      <c r="N475" t="s">
        <v>994</v>
      </c>
      <c r="O475" t="s">
        <v>994</v>
      </c>
      <c r="P475" t="s">
        <v>994</v>
      </c>
      <c r="Q475" t="b">
        <v>0</v>
      </c>
      <c r="R475" t="b">
        <v>1</v>
      </c>
      <c r="S475" t="s">
        <v>1591</v>
      </c>
      <c r="T475" t="s">
        <v>1949</v>
      </c>
      <c r="U475" t="s">
        <v>996</v>
      </c>
      <c r="V475" t="s">
        <v>1433</v>
      </c>
      <c r="W475" t="s">
        <v>1950</v>
      </c>
      <c r="X475" t="s">
        <v>994</v>
      </c>
    </row>
    <row r="476" spans="1:24" x14ac:dyDescent="0.25">
      <c r="A476" t="s">
        <v>42</v>
      </c>
      <c r="B476" t="s">
        <v>2020</v>
      </c>
      <c r="C476" t="s">
        <v>403</v>
      </c>
      <c r="D476" t="s">
        <v>436</v>
      </c>
      <c r="E476" t="s">
        <v>1010</v>
      </c>
      <c r="F476">
        <v>17547</v>
      </c>
      <c r="G476" t="s">
        <v>984</v>
      </c>
      <c r="H476" t="s">
        <v>994</v>
      </c>
      <c r="I476" t="s">
        <v>994</v>
      </c>
      <c r="J476" t="s">
        <v>1917</v>
      </c>
      <c r="K476" t="s">
        <v>994</v>
      </c>
      <c r="L476" t="s">
        <v>994</v>
      </c>
      <c r="M476" t="s">
        <v>994</v>
      </c>
      <c r="N476" t="s">
        <v>994</v>
      </c>
      <c r="O476" t="s">
        <v>994</v>
      </c>
      <c r="P476" t="s">
        <v>994</v>
      </c>
      <c r="Q476" t="b">
        <v>0</v>
      </c>
      <c r="R476" t="b">
        <v>1</v>
      </c>
      <c r="S476" t="s">
        <v>1591</v>
      </c>
      <c r="T476" t="s">
        <v>1949</v>
      </c>
      <c r="U476" t="s">
        <v>996</v>
      </c>
      <c r="V476" t="s">
        <v>1433</v>
      </c>
      <c r="W476" t="s">
        <v>1950</v>
      </c>
      <c r="X476" t="s">
        <v>994</v>
      </c>
    </row>
    <row r="477" spans="1:24" x14ac:dyDescent="0.25">
      <c r="A477" t="s">
        <v>42</v>
      </c>
      <c r="B477" t="s">
        <v>2021</v>
      </c>
      <c r="C477" t="s">
        <v>403</v>
      </c>
      <c r="D477" t="s">
        <v>436</v>
      </c>
      <c r="E477" t="s">
        <v>1012</v>
      </c>
      <c r="F477">
        <v>17209</v>
      </c>
      <c r="G477" t="s">
        <v>984</v>
      </c>
      <c r="H477" t="s">
        <v>994</v>
      </c>
      <c r="I477" t="s">
        <v>994</v>
      </c>
      <c r="J477" t="s">
        <v>1917</v>
      </c>
      <c r="K477" t="s">
        <v>994</v>
      </c>
      <c r="L477" t="s">
        <v>994</v>
      </c>
      <c r="M477" t="s">
        <v>994</v>
      </c>
      <c r="N477" t="s">
        <v>994</v>
      </c>
      <c r="O477" t="s">
        <v>994</v>
      </c>
      <c r="P477" t="s">
        <v>994</v>
      </c>
      <c r="Q477" t="b">
        <v>0</v>
      </c>
      <c r="R477" t="b">
        <v>1</v>
      </c>
      <c r="S477" t="s">
        <v>1591</v>
      </c>
      <c r="T477" t="s">
        <v>1949</v>
      </c>
      <c r="U477" t="s">
        <v>996</v>
      </c>
      <c r="V477" t="s">
        <v>1433</v>
      </c>
      <c r="W477" t="s">
        <v>1950</v>
      </c>
      <c r="X477" t="s">
        <v>994</v>
      </c>
    </row>
    <row r="478" spans="1:24" x14ac:dyDescent="0.25">
      <c r="A478" t="s">
        <v>42</v>
      </c>
      <c r="B478" t="s">
        <v>2022</v>
      </c>
      <c r="C478" t="s">
        <v>403</v>
      </c>
      <c r="D478" t="s">
        <v>436</v>
      </c>
      <c r="E478" t="s">
        <v>1014</v>
      </c>
      <c r="F478">
        <v>17365</v>
      </c>
      <c r="G478" t="s">
        <v>984</v>
      </c>
      <c r="H478" t="s">
        <v>994</v>
      </c>
      <c r="I478" t="s">
        <v>994</v>
      </c>
      <c r="J478" t="s">
        <v>1917</v>
      </c>
      <c r="K478" t="s">
        <v>994</v>
      </c>
      <c r="L478" t="s">
        <v>994</v>
      </c>
      <c r="M478" t="s">
        <v>994</v>
      </c>
      <c r="N478" t="s">
        <v>994</v>
      </c>
      <c r="O478" t="s">
        <v>994</v>
      </c>
      <c r="P478" t="s">
        <v>994</v>
      </c>
      <c r="Q478" t="b">
        <v>0</v>
      </c>
      <c r="R478" t="b">
        <v>1</v>
      </c>
      <c r="S478" t="s">
        <v>1591</v>
      </c>
      <c r="T478" t="s">
        <v>1949</v>
      </c>
      <c r="U478" t="s">
        <v>996</v>
      </c>
      <c r="V478" t="s">
        <v>1433</v>
      </c>
      <c r="W478" t="s">
        <v>1950</v>
      </c>
      <c r="X478" t="s">
        <v>994</v>
      </c>
    </row>
    <row r="479" spans="1:24" x14ac:dyDescent="0.25">
      <c r="A479" t="s">
        <v>42</v>
      </c>
      <c r="B479" t="s">
        <v>2023</v>
      </c>
      <c r="C479" t="s">
        <v>403</v>
      </c>
      <c r="D479" t="s">
        <v>436</v>
      </c>
      <c r="E479" t="s">
        <v>1016</v>
      </c>
      <c r="F479">
        <v>20804</v>
      </c>
      <c r="G479" t="s">
        <v>984</v>
      </c>
      <c r="H479" t="s">
        <v>994</v>
      </c>
      <c r="I479" t="s">
        <v>994</v>
      </c>
      <c r="J479" t="s">
        <v>1917</v>
      </c>
      <c r="K479" t="s">
        <v>994</v>
      </c>
      <c r="L479" t="s">
        <v>994</v>
      </c>
      <c r="M479" t="s">
        <v>994</v>
      </c>
      <c r="N479" t="s">
        <v>994</v>
      </c>
      <c r="O479" t="s">
        <v>994</v>
      </c>
      <c r="P479" t="s">
        <v>994</v>
      </c>
      <c r="Q479" t="b">
        <v>0</v>
      </c>
      <c r="R479" t="b">
        <v>1</v>
      </c>
      <c r="S479" t="s">
        <v>1591</v>
      </c>
      <c r="T479" t="s">
        <v>1949</v>
      </c>
      <c r="U479" t="s">
        <v>996</v>
      </c>
      <c r="V479" t="s">
        <v>1433</v>
      </c>
      <c r="W479" t="s">
        <v>1950</v>
      </c>
      <c r="X479" t="s">
        <v>994</v>
      </c>
    </row>
    <row r="480" spans="1:24" x14ac:dyDescent="0.25">
      <c r="A480" t="s">
        <v>42</v>
      </c>
      <c r="B480" t="s">
        <v>2024</v>
      </c>
      <c r="C480" t="s">
        <v>403</v>
      </c>
      <c r="D480" t="s">
        <v>436</v>
      </c>
      <c r="E480" t="s">
        <v>1018</v>
      </c>
      <c r="F480">
        <v>20806</v>
      </c>
      <c r="G480" t="s">
        <v>984</v>
      </c>
      <c r="H480" t="s">
        <v>994</v>
      </c>
      <c r="I480" t="s">
        <v>994</v>
      </c>
      <c r="J480" t="s">
        <v>1917</v>
      </c>
      <c r="K480" t="s">
        <v>994</v>
      </c>
      <c r="L480" t="s">
        <v>994</v>
      </c>
      <c r="M480" t="s">
        <v>994</v>
      </c>
      <c r="N480" t="s">
        <v>994</v>
      </c>
      <c r="O480" t="s">
        <v>994</v>
      </c>
      <c r="P480" t="s">
        <v>994</v>
      </c>
      <c r="Q480" t="b">
        <v>0</v>
      </c>
      <c r="R480" t="b">
        <v>1</v>
      </c>
      <c r="S480" t="s">
        <v>1591</v>
      </c>
      <c r="T480" t="s">
        <v>1949</v>
      </c>
      <c r="U480" t="s">
        <v>996</v>
      </c>
      <c r="V480" t="s">
        <v>1433</v>
      </c>
      <c r="W480" t="s">
        <v>1950</v>
      </c>
      <c r="X480" t="s">
        <v>994</v>
      </c>
    </row>
    <row r="481" spans="1:24" x14ac:dyDescent="0.25">
      <c r="A481" t="s">
        <v>42</v>
      </c>
      <c r="B481" t="s">
        <v>2025</v>
      </c>
      <c r="C481" t="s">
        <v>403</v>
      </c>
      <c r="D481" t="s">
        <v>436</v>
      </c>
      <c r="E481" t="s">
        <v>1020</v>
      </c>
      <c r="F481">
        <v>21794</v>
      </c>
      <c r="G481" t="s">
        <v>984</v>
      </c>
      <c r="H481" t="s">
        <v>994</v>
      </c>
      <c r="I481" t="s">
        <v>994</v>
      </c>
      <c r="J481" t="s">
        <v>1917</v>
      </c>
      <c r="K481" t="s">
        <v>994</v>
      </c>
      <c r="L481" t="s">
        <v>994</v>
      </c>
      <c r="M481" t="s">
        <v>994</v>
      </c>
      <c r="N481" t="s">
        <v>994</v>
      </c>
      <c r="O481" t="s">
        <v>994</v>
      </c>
      <c r="P481" t="s">
        <v>994</v>
      </c>
      <c r="Q481" t="b">
        <v>0</v>
      </c>
      <c r="R481" t="b">
        <v>1</v>
      </c>
      <c r="S481" t="s">
        <v>1591</v>
      </c>
      <c r="T481" t="s">
        <v>1949</v>
      </c>
      <c r="U481" t="s">
        <v>996</v>
      </c>
      <c r="V481" t="s">
        <v>1433</v>
      </c>
      <c r="W481" t="s">
        <v>1950</v>
      </c>
      <c r="X481" t="s">
        <v>994</v>
      </c>
    </row>
    <row r="482" spans="1:24" x14ac:dyDescent="0.25">
      <c r="A482" t="s">
        <v>42</v>
      </c>
      <c r="B482" t="s">
        <v>2026</v>
      </c>
      <c r="C482" t="s">
        <v>403</v>
      </c>
      <c r="D482" t="s">
        <v>436</v>
      </c>
      <c r="E482" t="s">
        <v>1022</v>
      </c>
      <c r="F482">
        <v>26211</v>
      </c>
      <c r="G482" t="s">
        <v>984</v>
      </c>
      <c r="H482" t="s">
        <v>994</v>
      </c>
      <c r="I482" t="s">
        <v>994</v>
      </c>
      <c r="J482" t="s">
        <v>1917</v>
      </c>
      <c r="K482" t="s">
        <v>994</v>
      </c>
      <c r="L482" t="s">
        <v>994</v>
      </c>
      <c r="M482" t="s">
        <v>994</v>
      </c>
      <c r="N482" t="s">
        <v>994</v>
      </c>
      <c r="O482" t="s">
        <v>994</v>
      </c>
      <c r="P482" t="s">
        <v>994</v>
      </c>
      <c r="Q482" t="b">
        <v>0</v>
      </c>
      <c r="R482" t="b">
        <v>1</v>
      </c>
      <c r="S482" t="s">
        <v>1591</v>
      </c>
      <c r="T482" t="s">
        <v>1949</v>
      </c>
      <c r="U482" t="s">
        <v>996</v>
      </c>
      <c r="V482" t="s">
        <v>1433</v>
      </c>
      <c r="W482" t="s">
        <v>1950</v>
      </c>
      <c r="X482" t="s">
        <v>994</v>
      </c>
    </row>
    <row r="483" spans="1:24" x14ac:dyDescent="0.25">
      <c r="A483" t="s">
        <v>44</v>
      </c>
      <c r="B483" t="s">
        <v>2027</v>
      </c>
      <c r="C483" t="s">
        <v>2028</v>
      </c>
      <c r="E483" t="s">
        <v>992</v>
      </c>
      <c r="F483">
        <v>0</v>
      </c>
      <c r="G483" t="s">
        <v>993</v>
      </c>
      <c r="H483" t="s">
        <v>994</v>
      </c>
      <c r="J483" t="s">
        <v>2029</v>
      </c>
      <c r="K483" t="s">
        <v>994</v>
      </c>
      <c r="L483" t="s">
        <v>994</v>
      </c>
      <c r="Q483" t="b">
        <v>1</v>
      </c>
      <c r="R483" t="b">
        <v>0</v>
      </c>
      <c r="T483" t="s">
        <v>994</v>
      </c>
      <c r="U483" t="s">
        <v>996</v>
      </c>
      <c r="V483" t="s">
        <v>1433</v>
      </c>
      <c r="W483" t="s">
        <v>2030</v>
      </c>
      <c r="X483" t="s">
        <v>2031</v>
      </c>
    </row>
    <row r="484" spans="1:24" x14ac:dyDescent="0.25">
      <c r="A484" t="s">
        <v>44</v>
      </c>
      <c r="B484" t="s">
        <v>2032</v>
      </c>
      <c r="C484" t="s">
        <v>2028</v>
      </c>
      <c r="E484" t="s">
        <v>1000</v>
      </c>
      <c r="F484">
        <v>0</v>
      </c>
      <c r="G484" t="s">
        <v>993</v>
      </c>
      <c r="H484" t="s">
        <v>994</v>
      </c>
      <c r="J484" t="s">
        <v>2029</v>
      </c>
      <c r="K484" t="s">
        <v>994</v>
      </c>
      <c r="L484" t="s">
        <v>994</v>
      </c>
      <c r="Q484" t="b">
        <v>1</v>
      </c>
      <c r="R484" t="b">
        <v>0</v>
      </c>
      <c r="T484" t="s">
        <v>994</v>
      </c>
      <c r="U484" t="s">
        <v>996</v>
      </c>
      <c r="V484" t="s">
        <v>1433</v>
      </c>
      <c r="W484" t="s">
        <v>2030</v>
      </c>
      <c r="X484" t="s">
        <v>2031</v>
      </c>
    </row>
    <row r="485" spans="1:24" x14ac:dyDescent="0.25">
      <c r="A485" t="s">
        <v>44</v>
      </c>
      <c r="B485" t="s">
        <v>2033</v>
      </c>
      <c r="C485" t="s">
        <v>2028</v>
      </c>
      <c r="E485" t="s">
        <v>1002</v>
      </c>
      <c r="F485">
        <v>0</v>
      </c>
      <c r="G485" t="s">
        <v>993</v>
      </c>
      <c r="H485" t="s">
        <v>994</v>
      </c>
      <c r="J485" t="s">
        <v>2029</v>
      </c>
      <c r="K485" t="s">
        <v>994</v>
      </c>
      <c r="L485" t="s">
        <v>994</v>
      </c>
      <c r="Q485" t="b">
        <v>1</v>
      </c>
      <c r="R485" t="b">
        <v>0</v>
      </c>
      <c r="T485" t="s">
        <v>994</v>
      </c>
      <c r="U485" t="s">
        <v>996</v>
      </c>
      <c r="V485" t="s">
        <v>1433</v>
      </c>
      <c r="W485" t="s">
        <v>2030</v>
      </c>
      <c r="X485" t="s">
        <v>2031</v>
      </c>
    </row>
    <row r="486" spans="1:24" x14ac:dyDescent="0.25">
      <c r="A486" t="s">
        <v>44</v>
      </c>
      <c r="B486" t="s">
        <v>2034</v>
      </c>
      <c r="C486" t="s">
        <v>2028</v>
      </c>
      <c r="E486" t="s">
        <v>1004</v>
      </c>
      <c r="F486">
        <v>0</v>
      </c>
      <c r="G486" t="s">
        <v>993</v>
      </c>
      <c r="H486" t="s">
        <v>994</v>
      </c>
      <c r="J486" t="s">
        <v>2029</v>
      </c>
      <c r="K486" t="s">
        <v>994</v>
      </c>
      <c r="L486" t="s">
        <v>994</v>
      </c>
      <c r="Q486" t="b">
        <v>1</v>
      </c>
      <c r="R486" t="b">
        <v>0</v>
      </c>
      <c r="T486" t="s">
        <v>994</v>
      </c>
      <c r="U486" t="s">
        <v>996</v>
      </c>
      <c r="V486" t="s">
        <v>1433</v>
      </c>
      <c r="W486" t="s">
        <v>2030</v>
      </c>
      <c r="X486" t="s">
        <v>2031</v>
      </c>
    </row>
    <row r="487" spans="1:24" x14ac:dyDescent="0.25">
      <c r="A487" t="s">
        <v>44</v>
      </c>
      <c r="B487" t="s">
        <v>2035</v>
      </c>
      <c r="C487" t="s">
        <v>2028</v>
      </c>
      <c r="E487" t="s">
        <v>2036</v>
      </c>
      <c r="F487">
        <v>0</v>
      </c>
      <c r="G487" t="s">
        <v>993</v>
      </c>
      <c r="H487" t="s">
        <v>994</v>
      </c>
      <c r="J487" t="s">
        <v>2029</v>
      </c>
      <c r="K487" t="s">
        <v>994</v>
      </c>
      <c r="L487" t="s">
        <v>994</v>
      </c>
      <c r="Q487" t="b">
        <v>1</v>
      </c>
      <c r="R487" t="b">
        <v>0</v>
      </c>
      <c r="T487" t="s">
        <v>994</v>
      </c>
      <c r="U487" t="s">
        <v>996</v>
      </c>
      <c r="V487" t="s">
        <v>1433</v>
      </c>
      <c r="W487" t="s">
        <v>2030</v>
      </c>
      <c r="X487" t="s">
        <v>2031</v>
      </c>
    </row>
    <row r="488" spans="1:24" x14ac:dyDescent="0.25">
      <c r="A488" t="s">
        <v>44</v>
      </c>
      <c r="B488" t="s">
        <v>2037</v>
      </c>
      <c r="C488" t="s">
        <v>2028</v>
      </c>
      <c r="E488" t="s">
        <v>1006</v>
      </c>
      <c r="F488">
        <v>0</v>
      </c>
      <c r="G488" t="s">
        <v>993</v>
      </c>
      <c r="H488" t="s">
        <v>994</v>
      </c>
      <c r="J488" t="s">
        <v>2029</v>
      </c>
      <c r="K488" t="s">
        <v>994</v>
      </c>
      <c r="L488" t="s">
        <v>994</v>
      </c>
      <c r="Q488" t="b">
        <v>1</v>
      </c>
      <c r="R488" t="b">
        <v>0</v>
      </c>
      <c r="T488" t="s">
        <v>994</v>
      </c>
      <c r="U488" t="s">
        <v>996</v>
      </c>
      <c r="V488" t="s">
        <v>1433</v>
      </c>
      <c r="W488" t="s">
        <v>2030</v>
      </c>
      <c r="X488" t="s">
        <v>2031</v>
      </c>
    </row>
    <row r="489" spans="1:24" x14ac:dyDescent="0.25">
      <c r="A489" t="s">
        <v>44</v>
      </c>
      <c r="B489" t="s">
        <v>2038</v>
      </c>
      <c r="C489" t="s">
        <v>2028</v>
      </c>
      <c r="E489" t="s">
        <v>1008</v>
      </c>
      <c r="F489">
        <v>0</v>
      </c>
      <c r="G489" t="s">
        <v>993</v>
      </c>
      <c r="H489" t="s">
        <v>994</v>
      </c>
      <c r="J489" t="s">
        <v>2029</v>
      </c>
      <c r="K489" t="s">
        <v>994</v>
      </c>
      <c r="L489" t="s">
        <v>994</v>
      </c>
      <c r="Q489" t="b">
        <v>1</v>
      </c>
      <c r="R489" t="b">
        <v>0</v>
      </c>
      <c r="T489" t="s">
        <v>994</v>
      </c>
      <c r="U489" t="s">
        <v>996</v>
      </c>
      <c r="V489" t="s">
        <v>1433</v>
      </c>
      <c r="W489" t="s">
        <v>2030</v>
      </c>
      <c r="X489" t="s">
        <v>2031</v>
      </c>
    </row>
    <row r="490" spans="1:24" x14ac:dyDescent="0.25">
      <c r="A490" t="s">
        <v>44</v>
      </c>
      <c r="B490" t="s">
        <v>2039</v>
      </c>
      <c r="C490" t="s">
        <v>2028</v>
      </c>
      <c r="E490" t="s">
        <v>1010</v>
      </c>
      <c r="F490">
        <v>0</v>
      </c>
      <c r="G490" t="s">
        <v>993</v>
      </c>
      <c r="H490" t="s">
        <v>994</v>
      </c>
      <c r="J490" t="s">
        <v>2029</v>
      </c>
      <c r="K490" t="s">
        <v>994</v>
      </c>
      <c r="L490" t="s">
        <v>994</v>
      </c>
      <c r="Q490" t="b">
        <v>1</v>
      </c>
      <c r="R490" t="b">
        <v>0</v>
      </c>
      <c r="T490" t="s">
        <v>994</v>
      </c>
      <c r="U490" t="s">
        <v>996</v>
      </c>
      <c r="V490" t="s">
        <v>1433</v>
      </c>
      <c r="W490" t="s">
        <v>2030</v>
      </c>
      <c r="X490" t="s">
        <v>2031</v>
      </c>
    </row>
    <row r="491" spans="1:24" x14ac:dyDescent="0.25">
      <c r="A491" t="s">
        <v>44</v>
      </c>
      <c r="B491" t="s">
        <v>2040</v>
      </c>
      <c r="C491" t="s">
        <v>2028</v>
      </c>
      <c r="E491" t="s">
        <v>1012</v>
      </c>
      <c r="F491">
        <v>0</v>
      </c>
      <c r="G491" t="s">
        <v>993</v>
      </c>
      <c r="H491" t="s">
        <v>994</v>
      </c>
      <c r="J491" t="s">
        <v>2029</v>
      </c>
      <c r="K491" t="s">
        <v>994</v>
      </c>
      <c r="L491" t="s">
        <v>994</v>
      </c>
      <c r="Q491" t="b">
        <v>1</v>
      </c>
      <c r="R491" t="b">
        <v>0</v>
      </c>
      <c r="T491" t="s">
        <v>994</v>
      </c>
      <c r="U491" t="s">
        <v>996</v>
      </c>
      <c r="V491" t="s">
        <v>1433</v>
      </c>
      <c r="W491" t="s">
        <v>2030</v>
      </c>
      <c r="X491" t="s">
        <v>2031</v>
      </c>
    </row>
    <row r="492" spans="1:24" x14ac:dyDescent="0.25">
      <c r="A492" t="s">
        <v>44</v>
      </c>
      <c r="B492" t="s">
        <v>2041</v>
      </c>
      <c r="C492" t="s">
        <v>2028</v>
      </c>
      <c r="E492" t="s">
        <v>2042</v>
      </c>
      <c r="F492">
        <v>0</v>
      </c>
      <c r="G492" t="s">
        <v>993</v>
      </c>
      <c r="H492" t="s">
        <v>994</v>
      </c>
      <c r="J492" t="s">
        <v>2029</v>
      </c>
      <c r="K492" t="s">
        <v>994</v>
      </c>
      <c r="L492" t="s">
        <v>994</v>
      </c>
      <c r="Q492" t="b">
        <v>1</v>
      </c>
      <c r="R492" t="b">
        <v>0</v>
      </c>
      <c r="T492" t="s">
        <v>994</v>
      </c>
      <c r="U492" t="s">
        <v>996</v>
      </c>
      <c r="V492" t="s">
        <v>1433</v>
      </c>
      <c r="W492" t="s">
        <v>2030</v>
      </c>
      <c r="X492" t="s">
        <v>2031</v>
      </c>
    </row>
    <row r="493" spans="1:24" x14ac:dyDescent="0.25">
      <c r="A493" t="s">
        <v>44</v>
      </c>
      <c r="B493" t="s">
        <v>2043</v>
      </c>
      <c r="C493" t="s">
        <v>2028</v>
      </c>
      <c r="E493" t="s">
        <v>1014</v>
      </c>
      <c r="F493">
        <v>0</v>
      </c>
      <c r="G493" t="s">
        <v>993</v>
      </c>
      <c r="H493" t="s">
        <v>994</v>
      </c>
      <c r="J493" t="s">
        <v>2029</v>
      </c>
      <c r="K493" t="s">
        <v>994</v>
      </c>
      <c r="L493" t="s">
        <v>994</v>
      </c>
      <c r="Q493" t="b">
        <v>1</v>
      </c>
      <c r="R493" t="b">
        <v>0</v>
      </c>
      <c r="T493" t="s">
        <v>994</v>
      </c>
      <c r="U493" t="s">
        <v>996</v>
      </c>
      <c r="V493" t="s">
        <v>1433</v>
      </c>
      <c r="W493" t="s">
        <v>2030</v>
      </c>
      <c r="X493" t="s">
        <v>2031</v>
      </c>
    </row>
    <row r="494" spans="1:24" x14ac:dyDescent="0.25">
      <c r="A494" t="s">
        <v>44</v>
      </c>
      <c r="B494" t="s">
        <v>2044</v>
      </c>
      <c r="C494" t="s">
        <v>2028</v>
      </c>
      <c r="E494" t="s">
        <v>1016</v>
      </c>
      <c r="F494">
        <v>0</v>
      </c>
      <c r="G494" t="s">
        <v>993</v>
      </c>
      <c r="H494" t="s">
        <v>994</v>
      </c>
      <c r="J494" t="s">
        <v>2029</v>
      </c>
      <c r="K494" t="s">
        <v>994</v>
      </c>
      <c r="L494" t="s">
        <v>994</v>
      </c>
      <c r="Q494" t="b">
        <v>1</v>
      </c>
      <c r="R494" t="b">
        <v>0</v>
      </c>
      <c r="T494" t="s">
        <v>994</v>
      </c>
      <c r="U494" t="s">
        <v>996</v>
      </c>
      <c r="V494" t="s">
        <v>1433</v>
      </c>
      <c r="W494" t="s">
        <v>2030</v>
      </c>
      <c r="X494" t="s">
        <v>2031</v>
      </c>
    </row>
    <row r="495" spans="1:24" x14ac:dyDescent="0.25">
      <c r="A495" t="s">
        <v>44</v>
      </c>
      <c r="B495" t="s">
        <v>2045</v>
      </c>
      <c r="C495" t="s">
        <v>2028</v>
      </c>
      <c r="E495" t="s">
        <v>1018</v>
      </c>
      <c r="F495">
        <v>0</v>
      </c>
      <c r="G495" t="s">
        <v>993</v>
      </c>
      <c r="H495" t="s">
        <v>994</v>
      </c>
      <c r="J495" t="s">
        <v>2029</v>
      </c>
      <c r="K495" t="s">
        <v>994</v>
      </c>
      <c r="L495" t="s">
        <v>994</v>
      </c>
      <c r="Q495" t="b">
        <v>1</v>
      </c>
      <c r="R495" t="b">
        <v>0</v>
      </c>
      <c r="T495" t="s">
        <v>994</v>
      </c>
      <c r="U495" t="s">
        <v>996</v>
      </c>
      <c r="V495" t="s">
        <v>1433</v>
      </c>
      <c r="W495" t="s">
        <v>2030</v>
      </c>
      <c r="X495" t="s">
        <v>2031</v>
      </c>
    </row>
    <row r="496" spans="1:24" x14ac:dyDescent="0.25">
      <c r="A496" t="s">
        <v>44</v>
      </c>
      <c r="B496" t="s">
        <v>2046</v>
      </c>
      <c r="C496" t="s">
        <v>2028</v>
      </c>
      <c r="E496" t="s">
        <v>1020</v>
      </c>
      <c r="F496">
        <v>0</v>
      </c>
      <c r="G496" t="s">
        <v>993</v>
      </c>
      <c r="H496" t="s">
        <v>994</v>
      </c>
      <c r="J496" t="s">
        <v>2029</v>
      </c>
      <c r="K496" t="s">
        <v>994</v>
      </c>
      <c r="L496" t="s">
        <v>994</v>
      </c>
      <c r="Q496" t="b">
        <v>1</v>
      </c>
      <c r="R496" t="b">
        <v>0</v>
      </c>
      <c r="T496" t="s">
        <v>994</v>
      </c>
      <c r="U496" t="s">
        <v>996</v>
      </c>
      <c r="V496" t="s">
        <v>1433</v>
      </c>
      <c r="W496" t="s">
        <v>2030</v>
      </c>
      <c r="X496" t="s">
        <v>2031</v>
      </c>
    </row>
    <row r="497" spans="1:24" x14ac:dyDescent="0.25">
      <c r="A497" t="s">
        <v>44</v>
      </c>
      <c r="B497" t="s">
        <v>2047</v>
      </c>
      <c r="C497" t="s">
        <v>2028</v>
      </c>
      <c r="E497" t="s">
        <v>2048</v>
      </c>
      <c r="F497">
        <v>0</v>
      </c>
      <c r="G497" t="s">
        <v>993</v>
      </c>
      <c r="H497" t="s">
        <v>994</v>
      </c>
      <c r="J497" t="s">
        <v>2029</v>
      </c>
      <c r="K497" t="s">
        <v>994</v>
      </c>
      <c r="L497" t="s">
        <v>994</v>
      </c>
      <c r="Q497" t="b">
        <v>1</v>
      </c>
      <c r="R497" t="b">
        <v>0</v>
      </c>
      <c r="T497" t="s">
        <v>994</v>
      </c>
      <c r="U497" t="s">
        <v>996</v>
      </c>
      <c r="V497" t="s">
        <v>1433</v>
      </c>
      <c r="W497" t="s">
        <v>2030</v>
      </c>
      <c r="X497" t="s">
        <v>2031</v>
      </c>
    </row>
    <row r="498" spans="1:24" x14ac:dyDescent="0.25">
      <c r="A498" t="s">
        <v>44</v>
      </c>
      <c r="B498" t="s">
        <v>2049</v>
      </c>
      <c r="C498" t="s">
        <v>2028</v>
      </c>
      <c r="E498" t="s">
        <v>1022</v>
      </c>
      <c r="F498">
        <v>0</v>
      </c>
      <c r="G498" t="s">
        <v>993</v>
      </c>
      <c r="H498" t="s">
        <v>994</v>
      </c>
      <c r="J498" t="s">
        <v>2029</v>
      </c>
      <c r="K498" t="s">
        <v>994</v>
      </c>
      <c r="L498" t="s">
        <v>994</v>
      </c>
      <c r="Q498" t="b">
        <v>1</v>
      </c>
      <c r="R498" t="b">
        <v>0</v>
      </c>
      <c r="T498" t="s">
        <v>994</v>
      </c>
      <c r="U498" t="s">
        <v>996</v>
      </c>
      <c r="V498" t="s">
        <v>1433</v>
      </c>
      <c r="W498" t="s">
        <v>2030</v>
      </c>
      <c r="X498" t="s">
        <v>2031</v>
      </c>
    </row>
    <row r="499" spans="1:24" x14ac:dyDescent="0.25">
      <c r="A499" t="s">
        <v>44</v>
      </c>
      <c r="B499" t="s">
        <v>2050</v>
      </c>
      <c r="C499" t="s">
        <v>2028</v>
      </c>
      <c r="E499" t="s">
        <v>2051</v>
      </c>
      <c r="F499">
        <v>0</v>
      </c>
      <c r="G499" t="s">
        <v>993</v>
      </c>
      <c r="H499" t="s">
        <v>994</v>
      </c>
      <c r="J499" t="s">
        <v>2029</v>
      </c>
      <c r="K499" t="s">
        <v>994</v>
      </c>
      <c r="L499" t="s">
        <v>994</v>
      </c>
      <c r="Q499" t="b">
        <v>1</v>
      </c>
      <c r="R499" t="b">
        <v>0</v>
      </c>
      <c r="T499" t="s">
        <v>994</v>
      </c>
      <c r="U499" t="s">
        <v>996</v>
      </c>
      <c r="V499" t="s">
        <v>1433</v>
      </c>
      <c r="W499" t="s">
        <v>2030</v>
      </c>
      <c r="X499" t="s">
        <v>2031</v>
      </c>
    </row>
    <row r="500" spans="1:24" x14ac:dyDescent="0.25">
      <c r="A500" t="s">
        <v>44</v>
      </c>
      <c r="B500" t="s">
        <v>1184</v>
      </c>
      <c r="C500" t="s">
        <v>2052</v>
      </c>
      <c r="D500" t="s">
        <v>44</v>
      </c>
      <c r="E500" t="s">
        <v>992</v>
      </c>
      <c r="F500">
        <v>21737</v>
      </c>
      <c r="G500" t="s">
        <v>2029</v>
      </c>
      <c r="H500" t="s">
        <v>2053</v>
      </c>
      <c r="I500" t="s">
        <v>2052</v>
      </c>
      <c r="J500" t="s">
        <v>2029</v>
      </c>
      <c r="K500" t="s">
        <v>994</v>
      </c>
      <c r="L500" t="s">
        <v>994</v>
      </c>
      <c r="M500" t="s">
        <v>994</v>
      </c>
      <c r="N500" t="s">
        <v>994</v>
      </c>
      <c r="O500" t="s">
        <v>994</v>
      </c>
      <c r="P500" t="s">
        <v>994</v>
      </c>
      <c r="Q500" t="b">
        <v>1</v>
      </c>
      <c r="R500" t="b">
        <v>0</v>
      </c>
      <c r="S500" t="s">
        <v>1033</v>
      </c>
      <c r="T500" t="s">
        <v>994</v>
      </c>
      <c r="U500" t="s">
        <v>1034</v>
      </c>
      <c r="V500" t="s">
        <v>997</v>
      </c>
      <c r="W500" t="s">
        <v>2054</v>
      </c>
      <c r="X500" t="s">
        <v>2055</v>
      </c>
    </row>
    <row r="501" spans="1:24" x14ac:dyDescent="0.25">
      <c r="A501" t="s">
        <v>44</v>
      </c>
      <c r="B501" t="s">
        <v>1188</v>
      </c>
      <c r="C501" t="s">
        <v>2052</v>
      </c>
      <c r="D501" t="s">
        <v>44</v>
      </c>
      <c r="E501" t="s">
        <v>1000</v>
      </c>
      <c r="F501">
        <v>23454</v>
      </c>
      <c r="G501" t="s">
        <v>2029</v>
      </c>
      <c r="H501" t="s">
        <v>2056</v>
      </c>
      <c r="I501" t="s">
        <v>2052</v>
      </c>
      <c r="J501" t="s">
        <v>2029</v>
      </c>
      <c r="K501" t="s">
        <v>994</v>
      </c>
      <c r="L501" t="s">
        <v>994</v>
      </c>
      <c r="M501" t="s">
        <v>994</v>
      </c>
      <c r="N501" t="s">
        <v>994</v>
      </c>
      <c r="O501" t="s">
        <v>994</v>
      </c>
      <c r="P501" t="s">
        <v>994</v>
      </c>
      <c r="Q501" t="b">
        <v>1</v>
      </c>
      <c r="R501" t="b">
        <v>0</v>
      </c>
      <c r="S501" t="s">
        <v>1033</v>
      </c>
      <c r="T501" t="s">
        <v>994</v>
      </c>
      <c r="U501" t="s">
        <v>1034</v>
      </c>
      <c r="V501" t="s">
        <v>997</v>
      </c>
      <c r="W501" t="s">
        <v>2054</v>
      </c>
      <c r="X501" t="s">
        <v>2055</v>
      </c>
    </row>
    <row r="502" spans="1:24" x14ac:dyDescent="0.25">
      <c r="A502" t="s">
        <v>44</v>
      </c>
      <c r="B502" t="s">
        <v>1189</v>
      </c>
      <c r="C502" t="s">
        <v>2052</v>
      </c>
      <c r="D502" t="s">
        <v>44</v>
      </c>
      <c r="E502" t="s">
        <v>1002</v>
      </c>
      <c r="F502">
        <v>23937</v>
      </c>
      <c r="G502" t="s">
        <v>2029</v>
      </c>
      <c r="H502" t="s">
        <v>2057</v>
      </c>
      <c r="I502" t="s">
        <v>2052</v>
      </c>
      <c r="J502" t="s">
        <v>2029</v>
      </c>
      <c r="K502" t="s">
        <v>994</v>
      </c>
      <c r="L502" t="s">
        <v>994</v>
      </c>
      <c r="M502" t="s">
        <v>994</v>
      </c>
      <c r="N502" t="s">
        <v>994</v>
      </c>
      <c r="O502" t="s">
        <v>994</v>
      </c>
      <c r="P502" t="s">
        <v>994</v>
      </c>
      <c r="Q502" t="b">
        <v>1</v>
      </c>
      <c r="R502" t="b">
        <v>0</v>
      </c>
      <c r="S502" t="s">
        <v>1033</v>
      </c>
      <c r="T502" t="s">
        <v>994</v>
      </c>
      <c r="U502" t="s">
        <v>1034</v>
      </c>
      <c r="V502" t="s">
        <v>997</v>
      </c>
      <c r="W502" t="s">
        <v>2054</v>
      </c>
      <c r="X502" t="s">
        <v>2055</v>
      </c>
    </row>
    <row r="503" spans="1:24" x14ac:dyDescent="0.25">
      <c r="A503" t="s">
        <v>44</v>
      </c>
      <c r="B503" t="s">
        <v>1190</v>
      </c>
      <c r="C503" t="s">
        <v>2052</v>
      </c>
      <c r="D503" t="s">
        <v>44</v>
      </c>
      <c r="E503" t="s">
        <v>1004</v>
      </c>
      <c r="F503">
        <v>26730</v>
      </c>
      <c r="G503" t="s">
        <v>2029</v>
      </c>
      <c r="H503" t="s">
        <v>2058</v>
      </c>
      <c r="I503" t="s">
        <v>2052</v>
      </c>
      <c r="J503" t="s">
        <v>2029</v>
      </c>
      <c r="K503" t="s">
        <v>994</v>
      </c>
      <c r="L503" t="s">
        <v>994</v>
      </c>
      <c r="M503" t="s">
        <v>994</v>
      </c>
      <c r="N503" t="s">
        <v>994</v>
      </c>
      <c r="O503" t="s">
        <v>994</v>
      </c>
      <c r="P503" t="s">
        <v>994</v>
      </c>
      <c r="Q503" t="b">
        <v>1</v>
      </c>
      <c r="R503" t="b">
        <v>0</v>
      </c>
      <c r="S503" t="s">
        <v>1033</v>
      </c>
      <c r="T503" t="s">
        <v>994</v>
      </c>
      <c r="U503" t="s">
        <v>1034</v>
      </c>
      <c r="V503" t="s">
        <v>997</v>
      </c>
      <c r="W503" t="s">
        <v>2054</v>
      </c>
      <c r="X503" t="s">
        <v>2055</v>
      </c>
    </row>
    <row r="504" spans="1:24" x14ac:dyDescent="0.25">
      <c r="A504" t="s">
        <v>44</v>
      </c>
      <c r="B504" t="s">
        <v>1191</v>
      </c>
      <c r="C504" t="s">
        <v>2052</v>
      </c>
      <c r="D504" t="s">
        <v>44</v>
      </c>
      <c r="E504" t="s">
        <v>1006</v>
      </c>
      <c r="F504">
        <v>27897</v>
      </c>
      <c r="G504" t="s">
        <v>2029</v>
      </c>
      <c r="H504" t="s">
        <v>2059</v>
      </c>
      <c r="I504" t="s">
        <v>2052</v>
      </c>
      <c r="J504" t="s">
        <v>2029</v>
      </c>
      <c r="K504" t="s">
        <v>994</v>
      </c>
      <c r="L504" t="s">
        <v>994</v>
      </c>
      <c r="M504" t="s">
        <v>994</v>
      </c>
      <c r="N504" t="s">
        <v>994</v>
      </c>
      <c r="O504" t="s">
        <v>994</v>
      </c>
      <c r="P504" t="s">
        <v>994</v>
      </c>
      <c r="Q504" t="b">
        <v>1</v>
      </c>
      <c r="R504" t="b">
        <v>0</v>
      </c>
      <c r="S504" t="s">
        <v>1033</v>
      </c>
      <c r="T504" t="s">
        <v>994</v>
      </c>
      <c r="U504" t="s">
        <v>1034</v>
      </c>
      <c r="V504" t="s">
        <v>997</v>
      </c>
      <c r="W504" t="s">
        <v>2054</v>
      </c>
      <c r="X504" t="s">
        <v>2055</v>
      </c>
    </row>
    <row r="505" spans="1:24" x14ac:dyDescent="0.25">
      <c r="A505" t="s">
        <v>44</v>
      </c>
      <c r="B505" t="s">
        <v>1192</v>
      </c>
      <c r="C505" t="s">
        <v>2052</v>
      </c>
      <c r="D505" t="s">
        <v>44</v>
      </c>
      <c r="E505" t="s">
        <v>1008</v>
      </c>
      <c r="F505">
        <v>29674</v>
      </c>
      <c r="G505" t="s">
        <v>2029</v>
      </c>
      <c r="H505" t="s">
        <v>2060</v>
      </c>
      <c r="I505" t="s">
        <v>2052</v>
      </c>
      <c r="J505" t="s">
        <v>2029</v>
      </c>
      <c r="K505" t="s">
        <v>994</v>
      </c>
      <c r="L505" t="s">
        <v>994</v>
      </c>
      <c r="M505" t="s">
        <v>994</v>
      </c>
      <c r="N505" t="s">
        <v>994</v>
      </c>
      <c r="O505" t="s">
        <v>994</v>
      </c>
      <c r="P505" t="s">
        <v>994</v>
      </c>
      <c r="Q505" t="b">
        <v>1</v>
      </c>
      <c r="R505" t="b">
        <v>0</v>
      </c>
      <c r="S505" t="s">
        <v>1033</v>
      </c>
      <c r="T505" t="s">
        <v>994</v>
      </c>
      <c r="U505" t="s">
        <v>1034</v>
      </c>
      <c r="V505" t="s">
        <v>997</v>
      </c>
      <c r="W505" t="s">
        <v>2054</v>
      </c>
      <c r="X505" t="s">
        <v>2055</v>
      </c>
    </row>
    <row r="506" spans="1:24" x14ac:dyDescent="0.25">
      <c r="A506" t="s">
        <v>44</v>
      </c>
      <c r="B506" t="s">
        <v>1193</v>
      </c>
      <c r="C506" t="s">
        <v>2052</v>
      </c>
      <c r="D506" t="s">
        <v>44</v>
      </c>
      <c r="E506" t="s">
        <v>1010</v>
      </c>
      <c r="F506">
        <v>30856</v>
      </c>
      <c r="G506" t="s">
        <v>2029</v>
      </c>
      <c r="H506" t="s">
        <v>2061</v>
      </c>
      <c r="I506" t="s">
        <v>2052</v>
      </c>
      <c r="J506" t="s">
        <v>2029</v>
      </c>
      <c r="K506" t="s">
        <v>994</v>
      </c>
      <c r="L506" t="s">
        <v>994</v>
      </c>
      <c r="M506" t="s">
        <v>994</v>
      </c>
      <c r="N506" t="s">
        <v>994</v>
      </c>
      <c r="O506" t="s">
        <v>994</v>
      </c>
      <c r="P506" t="s">
        <v>994</v>
      </c>
      <c r="Q506" t="b">
        <v>1</v>
      </c>
      <c r="R506" t="b">
        <v>0</v>
      </c>
      <c r="S506" t="s">
        <v>1033</v>
      </c>
      <c r="T506" t="s">
        <v>994</v>
      </c>
      <c r="U506" t="s">
        <v>1034</v>
      </c>
      <c r="V506" t="s">
        <v>997</v>
      </c>
      <c r="W506" t="s">
        <v>2054</v>
      </c>
      <c r="X506" t="s">
        <v>2055</v>
      </c>
    </row>
    <row r="507" spans="1:24" x14ac:dyDescent="0.25">
      <c r="A507" t="s">
        <v>44</v>
      </c>
      <c r="B507" t="s">
        <v>1194</v>
      </c>
      <c r="C507" t="s">
        <v>2052</v>
      </c>
      <c r="D507" t="s">
        <v>44</v>
      </c>
      <c r="E507" t="s">
        <v>1012</v>
      </c>
      <c r="F507">
        <v>32836</v>
      </c>
      <c r="G507" t="s">
        <v>2029</v>
      </c>
      <c r="H507" t="s">
        <v>2062</v>
      </c>
      <c r="I507" t="s">
        <v>2052</v>
      </c>
      <c r="J507" t="s">
        <v>2029</v>
      </c>
      <c r="K507" t="s">
        <v>994</v>
      </c>
      <c r="L507" t="s">
        <v>994</v>
      </c>
      <c r="M507" t="s">
        <v>994</v>
      </c>
      <c r="N507" t="s">
        <v>994</v>
      </c>
      <c r="O507" t="s">
        <v>994</v>
      </c>
      <c r="P507" t="s">
        <v>994</v>
      </c>
      <c r="Q507" t="b">
        <v>1</v>
      </c>
      <c r="R507" t="b">
        <v>0</v>
      </c>
      <c r="S507" t="s">
        <v>1033</v>
      </c>
      <c r="T507" t="s">
        <v>994</v>
      </c>
      <c r="U507" t="s">
        <v>1034</v>
      </c>
      <c r="V507" t="s">
        <v>997</v>
      </c>
      <c r="W507" t="s">
        <v>2054</v>
      </c>
      <c r="X507" t="s">
        <v>2055</v>
      </c>
    </row>
    <row r="508" spans="1:24" x14ac:dyDescent="0.25">
      <c r="A508" t="s">
        <v>44</v>
      </c>
      <c r="B508" t="s">
        <v>1195</v>
      </c>
      <c r="C508" t="s">
        <v>2052</v>
      </c>
      <c r="D508" t="s">
        <v>44</v>
      </c>
      <c r="E508" t="s">
        <v>1014</v>
      </c>
      <c r="F508">
        <v>32682</v>
      </c>
      <c r="G508" t="s">
        <v>2029</v>
      </c>
      <c r="H508" t="s">
        <v>2063</v>
      </c>
      <c r="I508" t="s">
        <v>2052</v>
      </c>
      <c r="J508" t="s">
        <v>2029</v>
      </c>
      <c r="K508" t="s">
        <v>994</v>
      </c>
      <c r="L508" t="s">
        <v>994</v>
      </c>
      <c r="M508" t="s">
        <v>994</v>
      </c>
      <c r="N508" t="s">
        <v>994</v>
      </c>
      <c r="O508" t="s">
        <v>994</v>
      </c>
      <c r="P508" t="s">
        <v>994</v>
      </c>
      <c r="Q508" t="b">
        <v>1</v>
      </c>
      <c r="R508" t="b">
        <v>0</v>
      </c>
      <c r="S508" t="s">
        <v>1033</v>
      </c>
      <c r="T508" t="s">
        <v>994</v>
      </c>
      <c r="U508" t="s">
        <v>1034</v>
      </c>
      <c r="V508" t="s">
        <v>997</v>
      </c>
      <c r="W508" t="s">
        <v>2054</v>
      </c>
      <c r="X508" t="s">
        <v>2055</v>
      </c>
    </row>
    <row r="509" spans="1:24" x14ac:dyDescent="0.25">
      <c r="A509" t="s">
        <v>44</v>
      </c>
      <c r="B509" t="s">
        <v>1196</v>
      </c>
      <c r="C509" t="s">
        <v>2052</v>
      </c>
      <c r="D509" t="s">
        <v>44</v>
      </c>
      <c r="E509" t="s">
        <v>1016</v>
      </c>
      <c r="F509">
        <v>33063</v>
      </c>
      <c r="G509" t="s">
        <v>2029</v>
      </c>
      <c r="H509" t="s">
        <v>2064</v>
      </c>
      <c r="I509" t="s">
        <v>2052</v>
      </c>
      <c r="J509" t="s">
        <v>2029</v>
      </c>
      <c r="K509" t="s">
        <v>994</v>
      </c>
      <c r="L509" t="s">
        <v>994</v>
      </c>
      <c r="M509" t="s">
        <v>994</v>
      </c>
      <c r="N509" t="s">
        <v>994</v>
      </c>
      <c r="O509" t="s">
        <v>994</v>
      </c>
      <c r="P509" t="s">
        <v>994</v>
      </c>
      <c r="Q509" t="b">
        <v>1</v>
      </c>
      <c r="R509" t="b">
        <v>0</v>
      </c>
      <c r="S509" t="s">
        <v>1033</v>
      </c>
      <c r="T509" t="s">
        <v>994</v>
      </c>
      <c r="U509" t="s">
        <v>1034</v>
      </c>
      <c r="V509" t="s">
        <v>997</v>
      </c>
      <c r="W509" t="s">
        <v>2054</v>
      </c>
      <c r="X509" t="s">
        <v>2055</v>
      </c>
    </row>
    <row r="510" spans="1:24" x14ac:dyDescent="0.25">
      <c r="A510" t="s">
        <v>44</v>
      </c>
      <c r="B510" t="s">
        <v>1197</v>
      </c>
      <c r="C510" t="s">
        <v>2052</v>
      </c>
      <c r="D510" t="s">
        <v>44</v>
      </c>
      <c r="E510" t="s">
        <v>1018</v>
      </c>
      <c r="F510">
        <v>33527</v>
      </c>
      <c r="G510" t="s">
        <v>2029</v>
      </c>
      <c r="H510" t="s">
        <v>2065</v>
      </c>
      <c r="I510" t="s">
        <v>2052</v>
      </c>
      <c r="J510" t="s">
        <v>2029</v>
      </c>
      <c r="K510" t="s">
        <v>994</v>
      </c>
      <c r="L510" t="s">
        <v>994</v>
      </c>
      <c r="M510" t="s">
        <v>994</v>
      </c>
      <c r="N510" t="s">
        <v>994</v>
      </c>
      <c r="O510" t="s">
        <v>994</v>
      </c>
      <c r="P510" t="s">
        <v>994</v>
      </c>
      <c r="Q510" t="b">
        <v>1</v>
      </c>
      <c r="R510" t="b">
        <v>0</v>
      </c>
      <c r="S510" t="s">
        <v>1033</v>
      </c>
      <c r="T510" t="s">
        <v>994</v>
      </c>
      <c r="U510" t="s">
        <v>1034</v>
      </c>
      <c r="V510" t="s">
        <v>997</v>
      </c>
      <c r="W510" t="s">
        <v>2054</v>
      </c>
      <c r="X510" t="s">
        <v>2055</v>
      </c>
    </row>
    <row r="511" spans="1:24" x14ac:dyDescent="0.25">
      <c r="A511" t="s">
        <v>44</v>
      </c>
      <c r="B511" t="s">
        <v>1198</v>
      </c>
      <c r="C511" t="s">
        <v>2052</v>
      </c>
      <c r="D511" t="s">
        <v>44</v>
      </c>
      <c r="E511" t="s">
        <v>1020</v>
      </c>
      <c r="F511">
        <v>40132</v>
      </c>
      <c r="G511" t="s">
        <v>2029</v>
      </c>
      <c r="H511" t="s">
        <v>2066</v>
      </c>
      <c r="I511" t="s">
        <v>2052</v>
      </c>
      <c r="J511" t="s">
        <v>2029</v>
      </c>
      <c r="K511" t="s">
        <v>994</v>
      </c>
      <c r="L511" t="s">
        <v>994</v>
      </c>
      <c r="M511" t="s">
        <v>994</v>
      </c>
      <c r="N511" t="s">
        <v>994</v>
      </c>
      <c r="O511" t="s">
        <v>994</v>
      </c>
      <c r="P511" t="s">
        <v>994</v>
      </c>
      <c r="Q511" t="b">
        <v>1</v>
      </c>
      <c r="R511" t="b">
        <v>0</v>
      </c>
      <c r="S511" t="s">
        <v>1033</v>
      </c>
      <c r="T511" t="s">
        <v>994</v>
      </c>
      <c r="U511" t="s">
        <v>1034</v>
      </c>
      <c r="V511" t="s">
        <v>997</v>
      </c>
      <c r="W511" t="s">
        <v>2054</v>
      </c>
      <c r="X511" t="s">
        <v>2055</v>
      </c>
    </row>
    <row r="512" spans="1:24" x14ac:dyDescent="0.25">
      <c r="A512" t="s">
        <v>44</v>
      </c>
      <c r="B512" t="s">
        <v>1199</v>
      </c>
      <c r="C512" t="s">
        <v>2052</v>
      </c>
      <c r="D512" t="s">
        <v>44</v>
      </c>
      <c r="E512" t="s">
        <v>1022</v>
      </c>
      <c r="F512">
        <v>40589</v>
      </c>
      <c r="G512" t="s">
        <v>2029</v>
      </c>
      <c r="H512" t="s">
        <v>2067</v>
      </c>
      <c r="I512" t="s">
        <v>2052</v>
      </c>
      <c r="J512" t="s">
        <v>2029</v>
      </c>
      <c r="K512" t="s">
        <v>994</v>
      </c>
      <c r="L512" t="s">
        <v>994</v>
      </c>
      <c r="M512" t="s">
        <v>994</v>
      </c>
      <c r="N512" t="s">
        <v>994</v>
      </c>
      <c r="O512" t="s">
        <v>994</v>
      </c>
      <c r="P512" t="s">
        <v>994</v>
      </c>
      <c r="Q512" t="b">
        <v>1</v>
      </c>
      <c r="R512" t="b">
        <v>0</v>
      </c>
      <c r="S512" t="s">
        <v>1033</v>
      </c>
      <c r="T512" t="s">
        <v>994</v>
      </c>
      <c r="U512" t="s">
        <v>1034</v>
      </c>
      <c r="V512" t="s">
        <v>997</v>
      </c>
      <c r="W512" t="s">
        <v>2054</v>
      </c>
      <c r="X512" t="s">
        <v>2055</v>
      </c>
    </row>
    <row r="513" spans="1:24" x14ac:dyDescent="0.25">
      <c r="A513" t="s">
        <v>44</v>
      </c>
      <c r="B513" t="s">
        <v>2068</v>
      </c>
      <c r="C513" t="s">
        <v>2069</v>
      </c>
      <c r="E513" t="s">
        <v>992</v>
      </c>
      <c r="F513">
        <v>0</v>
      </c>
      <c r="G513" t="s">
        <v>993</v>
      </c>
      <c r="H513" t="s">
        <v>994</v>
      </c>
      <c r="J513" t="s">
        <v>2029</v>
      </c>
      <c r="K513" t="s">
        <v>994</v>
      </c>
      <c r="L513" t="s">
        <v>994</v>
      </c>
      <c r="Q513" t="b">
        <v>1</v>
      </c>
      <c r="R513" t="b">
        <v>0</v>
      </c>
      <c r="T513" t="s">
        <v>994</v>
      </c>
      <c r="U513" t="s">
        <v>996</v>
      </c>
      <c r="V513" t="s">
        <v>1433</v>
      </c>
      <c r="W513" t="s">
        <v>2030</v>
      </c>
      <c r="X513" t="s">
        <v>2031</v>
      </c>
    </row>
    <row r="514" spans="1:24" x14ac:dyDescent="0.25">
      <c r="A514" t="s">
        <v>44</v>
      </c>
      <c r="B514" t="s">
        <v>2070</v>
      </c>
      <c r="C514" t="s">
        <v>2069</v>
      </c>
      <c r="E514" t="s">
        <v>1000</v>
      </c>
      <c r="F514">
        <v>0</v>
      </c>
      <c r="G514" t="s">
        <v>993</v>
      </c>
      <c r="H514" t="s">
        <v>994</v>
      </c>
      <c r="J514" t="s">
        <v>2029</v>
      </c>
      <c r="K514" t="s">
        <v>994</v>
      </c>
      <c r="L514" t="s">
        <v>994</v>
      </c>
      <c r="Q514" t="b">
        <v>1</v>
      </c>
      <c r="R514" t="b">
        <v>0</v>
      </c>
      <c r="T514" t="s">
        <v>994</v>
      </c>
      <c r="U514" t="s">
        <v>996</v>
      </c>
      <c r="V514" t="s">
        <v>1433</v>
      </c>
      <c r="W514" t="s">
        <v>2030</v>
      </c>
      <c r="X514" t="s">
        <v>2031</v>
      </c>
    </row>
    <row r="515" spans="1:24" x14ac:dyDescent="0.25">
      <c r="A515" t="s">
        <v>44</v>
      </c>
      <c r="B515" t="s">
        <v>2071</v>
      </c>
      <c r="C515" t="s">
        <v>2069</v>
      </c>
      <c r="E515" t="s">
        <v>1002</v>
      </c>
      <c r="F515">
        <v>0</v>
      </c>
      <c r="G515" t="s">
        <v>993</v>
      </c>
      <c r="H515" t="s">
        <v>994</v>
      </c>
      <c r="J515" t="s">
        <v>2029</v>
      </c>
      <c r="K515" t="s">
        <v>994</v>
      </c>
      <c r="L515" t="s">
        <v>994</v>
      </c>
      <c r="Q515" t="b">
        <v>1</v>
      </c>
      <c r="R515" t="b">
        <v>0</v>
      </c>
      <c r="T515" t="s">
        <v>994</v>
      </c>
      <c r="U515" t="s">
        <v>996</v>
      </c>
      <c r="V515" t="s">
        <v>1433</v>
      </c>
      <c r="W515" t="s">
        <v>2030</v>
      </c>
      <c r="X515" t="s">
        <v>2031</v>
      </c>
    </row>
    <row r="516" spans="1:24" x14ac:dyDescent="0.25">
      <c r="A516" t="s">
        <v>44</v>
      </c>
      <c r="B516" t="s">
        <v>2072</v>
      </c>
      <c r="C516" t="s">
        <v>2069</v>
      </c>
      <c r="E516" t="s">
        <v>1004</v>
      </c>
      <c r="F516">
        <v>0</v>
      </c>
      <c r="G516" t="s">
        <v>993</v>
      </c>
      <c r="H516" t="s">
        <v>994</v>
      </c>
      <c r="J516" t="s">
        <v>2029</v>
      </c>
      <c r="K516" t="s">
        <v>994</v>
      </c>
      <c r="L516" t="s">
        <v>994</v>
      </c>
      <c r="Q516" t="b">
        <v>1</v>
      </c>
      <c r="R516" t="b">
        <v>0</v>
      </c>
      <c r="T516" t="s">
        <v>994</v>
      </c>
      <c r="U516" t="s">
        <v>996</v>
      </c>
      <c r="V516" t="s">
        <v>1433</v>
      </c>
      <c r="W516" t="s">
        <v>2030</v>
      </c>
      <c r="X516" t="s">
        <v>2031</v>
      </c>
    </row>
    <row r="517" spans="1:24" x14ac:dyDescent="0.25">
      <c r="A517" t="s">
        <v>44</v>
      </c>
      <c r="B517" t="s">
        <v>2073</v>
      </c>
      <c r="C517" t="s">
        <v>2069</v>
      </c>
      <c r="E517" t="s">
        <v>1006</v>
      </c>
      <c r="F517">
        <v>0</v>
      </c>
      <c r="G517" t="s">
        <v>993</v>
      </c>
      <c r="H517" t="s">
        <v>994</v>
      </c>
      <c r="J517" t="s">
        <v>2029</v>
      </c>
      <c r="K517" t="s">
        <v>994</v>
      </c>
      <c r="L517" t="s">
        <v>994</v>
      </c>
      <c r="Q517" t="b">
        <v>1</v>
      </c>
      <c r="R517" t="b">
        <v>0</v>
      </c>
      <c r="T517" t="s">
        <v>994</v>
      </c>
      <c r="U517" t="s">
        <v>996</v>
      </c>
      <c r="V517" t="s">
        <v>1433</v>
      </c>
      <c r="W517" t="s">
        <v>2030</v>
      </c>
      <c r="X517" t="s">
        <v>2031</v>
      </c>
    </row>
    <row r="518" spans="1:24" x14ac:dyDescent="0.25">
      <c r="A518" t="s">
        <v>44</v>
      </c>
      <c r="B518" t="s">
        <v>2074</v>
      </c>
      <c r="C518" t="s">
        <v>2069</v>
      </c>
      <c r="E518" t="s">
        <v>1008</v>
      </c>
      <c r="F518">
        <v>0</v>
      </c>
      <c r="G518" t="s">
        <v>993</v>
      </c>
      <c r="H518" t="s">
        <v>994</v>
      </c>
      <c r="J518" t="s">
        <v>2029</v>
      </c>
      <c r="K518" t="s">
        <v>994</v>
      </c>
      <c r="L518" t="s">
        <v>994</v>
      </c>
      <c r="Q518" t="b">
        <v>1</v>
      </c>
      <c r="R518" t="b">
        <v>0</v>
      </c>
      <c r="T518" t="s">
        <v>994</v>
      </c>
      <c r="U518" t="s">
        <v>996</v>
      </c>
      <c r="V518" t="s">
        <v>1433</v>
      </c>
      <c r="W518" t="s">
        <v>2030</v>
      </c>
      <c r="X518" t="s">
        <v>2031</v>
      </c>
    </row>
    <row r="519" spans="1:24" x14ac:dyDescent="0.25">
      <c r="A519" t="s">
        <v>44</v>
      </c>
      <c r="B519" t="s">
        <v>2075</v>
      </c>
      <c r="C519" t="s">
        <v>2069</v>
      </c>
      <c r="E519" t="s">
        <v>1010</v>
      </c>
      <c r="F519">
        <v>0</v>
      </c>
      <c r="G519" t="s">
        <v>993</v>
      </c>
      <c r="H519" t="s">
        <v>994</v>
      </c>
      <c r="J519" t="s">
        <v>2029</v>
      </c>
      <c r="K519" t="s">
        <v>994</v>
      </c>
      <c r="L519" t="s">
        <v>994</v>
      </c>
      <c r="Q519" t="b">
        <v>1</v>
      </c>
      <c r="R519" t="b">
        <v>0</v>
      </c>
      <c r="T519" t="s">
        <v>994</v>
      </c>
      <c r="U519" t="s">
        <v>996</v>
      </c>
      <c r="V519" t="s">
        <v>1433</v>
      </c>
      <c r="W519" t="s">
        <v>2030</v>
      </c>
      <c r="X519" t="s">
        <v>2031</v>
      </c>
    </row>
    <row r="520" spans="1:24" x14ac:dyDescent="0.25">
      <c r="A520" t="s">
        <v>44</v>
      </c>
      <c r="B520" t="s">
        <v>2076</v>
      </c>
      <c r="C520" t="s">
        <v>2069</v>
      </c>
      <c r="E520" t="s">
        <v>1012</v>
      </c>
      <c r="F520">
        <v>0</v>
      </c>
      <c r="G520" t="s">
        <v>993</v>
      </c>
      <c r="H520" t="s">
        <v>994</v>
      </c>
      <c r="J520" t="s">
        <v>2029</v>
      </c>
      <c r="K520" t="s">
        <v>994</v>
      </c>
      <c r="L520" t="s">
        <v>994</v>
      </c>
      <c r="Q520" t="b">
        <v>1</v>
      </c>
      <c r="R520" t="b">
        <v>0</v>
      </c>
      <c r="T520" t="s">
        <v>994</v>
      </c>
      <c r="U520" t="s">
        <v>996</v>
      </c>
      <c r="V520" t="s">
        <v>1433</v>
      </c>
      <c r="W520" t="s">
        <v>2030</v>
      </c>
      <c r="X520" t="s">
        <v>2031</v>
      </c>
    </row>
    <row r="521" spans="1:24" x14ac:dyDescent="0.25">
      <c r="A521" t="s">
        <v>44</v>
      </c>
      <c r="B521" t="s">
        <v>2077</v>
      </c>
      <c r="C521" t="s">
        <v>2069</v>
      </c>
      <c r="E521" t="s">
        <v>1014</v>
      </c>
      <c r="F521">
        <v>0</v>
      </c>
      <c r="G521" t="s">
        <v>993</v>
      </c>
      <c r="H521" t="s">
        <v>994</v>
      </c>
      <c r="J521" t="s">
        <v>2029</v>
      </c>
      <c r="K521" t="s">
        <v>994</v>
      </c>
      <c r="L521" t="s">
        <v>994</v>
      </c>
      <c r="Q521" t="b">
        <v>1</v>
      </c>
      <c r="R521" t="b">
        <v>0</v>
      </c>
      <c r="T521" t="s">
        <v>994</v>
      </c>
      <c r="U521" t="s">
        <v>996</v>
      </c>
      <c r="V521" t="s">
        <v>1433</v>
      </c>
      <c r="W521" t="s">
        <v>2030</v>
      </c>
      <c r="X521" t="s">
        <v>2031</v>
      </c>
    </row>
    <row r="522" spans="1:24" x14ac:dyDescent="0.25">
      <c r="A522" t="s">
        <v>44</v>
      </c>
      <c r="B522" t="s">
        <v>2078</v>
      </c>
      <c r="C522" t="s">
        <v>2069</v>
      </c>
      <c r="E522" t="s">
        <v>1016</v>
      </c>
      <c r="F522">
        <v>0</v>
      </c>
      <c r="G522" t="s">
        <v>993</v>
      </c>
      <c r="H522" t="s">
        <v>994</v>
      </c>
      <c r="J522" t="s">
        <v>2029</v>
      </c>
      <c r="K522" t="s">
        <v>994</v>
      </c>
      <c r="L522" t="s">
        <v>994</v>
      </c>
      <c r="Q522" t="b">
        <v>1</v>
      </c>
      <c r="R522" t="b">
        <v>0</v>
      </c>
      <c r="T522" t="s">
        <v>994</v>
      </c>
      <c r="U522" t="s">
        <v>996</v>
      </c>
      <c r="V522" t="s">
        <v>1433</v>
      </c>
      <c r="W522" t="s">
        <v>2030</v>
      </c>
      <c r="X522" t="s">
        <v>2031</v>
      </c>
    </row>
    <row r="523" spans="1:24" x14ac:dyDescent="0.25">
      <c r="A523" t="s">
        <v>44</v>
      </c>
      <c r="B523" t="s">
        <v>2079</v>
      </c>
      <c r="C523" t="s">
        <v>2069</v>
      </c>
      <c r="E523" t="s">
        <v>1018</v>
      </c>
      <c r="F523">
        <v>0</v>
      </c>
      <c r="G523" t="s">
        <v>993</v>
      </c>
      <c r="H523" t="s">
        <v>994</v>
      </c>
      <c r="J523" t="s">
        <v>2029</v>
      </c>
      <c r="K523" t="s">
        <v>994</v>
      </c>
      <c r="L523" t="s">
        <v>994</v>
      </c>
      <c r="Q523" t="b">
        <v>1</v>
      </c>
      <c r="R523" t="b">
        <v>0</v>
      </c>
      <c r="T523" t="s">
        <v>994</v>
      </c>
      <c r="U523" t="s">
        <v>996</v>
      </c>
      <c r="V523" t="s">
        <v>1433</v>
      </c>
      <c r="W523" t="s">
        <v>2030</v>
      </c>
      <c r="X523" t="s">
        <v>2031</v>
      </c>
    </row>
    <row r="524" spans="1:24" x14ac:dyDescent="0.25">
      <c r="A524" t="s">
        <v>44</v>
      </c>
      <c r="B524" t="s">
        <v>2080</v>
      </c>
      <c r="C524" t="s">
        <v>2069</v>
      </c>
      <c r="E524" t="s">
        <v>1020</v>
      </c>
      <c r="F524">
        <v>0</v>
      </c>
      <c r="G524" t="s">
        <v>993</v>
      </c>
      <c r="H524" t="s">
        <v>994</v>
      </c>
      <c r="J524" t="s">
        <v>2029</v>
      </c>
      <c r="K524" t="s">
        <v>994</v>
      </c>
      <c r="L524" t="s">
        <v>994</v>
      </c>
      <c r="Q524" t="b">
        <v>1</v>
      </c>
      <c r="R524" t="b">
        <v>0</v>
      </c>
      <c r="T524" t="s">
        <v>994</v>
      </c>
      <c r="U524" t="s">
        <v>996</v>
      </c>
      <c r="V524" t="s">
        <v>1433</v>
      </c>
      <c r="W524" t="s">
        <v>2030</v>
      </c>
      <c r="X524" t="s">
        <v>2031</v>
      </c>
    </row>
    <row r="525" spans="1:24" x14ac:dyDescent="0.25">
      <c r="A525" t="s">
        <v>44</v>
      </c>
      <c r="B525" t="s">
        <v>2081</v>
      </c>
      <c r="C525" t="s">
        <v>2069</v>
      </c>
      <c r="E525" t="s">
        <v>1022</v>
      </c>
      <c r="F525">
        <v>0</v>
      </c>
      <c r="G525" t="s">
        <v>993</v>
      </c>
      <c r="H525" t="s">
        <v>994</v>
      </c>
      <c r="J525" t="s">
        <v>2029</v>
      </c>
      <c r="K525" t="s">
        <v>994</v>
      </c>
      <c r="L525" t="s">
        <v>994</v>
      </c>
      <c r="Q525" t="b">
        <v>1</v>
      </c>
      <c r="R525" t="b">
        <v>0</v>
      </c>
      <c r="T525" t="s">
        <v>994</v>
      </c>
      <c r="U525" t="s">
        <v>996</v>
      </c>
      <c r="V525" t="s">
        <v>1433</v>
      </c>
      <c r="W525" t="s">
        <v>2030</v>
      </c>
      <c r="X525" t="s">
        <v>2031</v>
      </c>
    </row>
    <row r="526" spans="1:24" x14ac:dyDescent="0.25">
      <c r="A526" t="s">
        <v>44</v>
      </c>
      <c r="B526" t="s">
        <v>1184</v>
      </c>
      <c r="C526" t="s">
        <v>2082</v>
      </c>
      <c r="E526" t="s">
        <v>992</v>
      </c>
      <c r="F526">
        <v>-4322</v>
      </c>
      <c r="G526" t="s">
        <v>1428</v>
      </c>
      <c r="H526" t="s">
        <v>2083</v>
      </c>
      <c r="J526" t="s">
        <v>2029</v>
      </c>
      <c r="K526" t="s">
        <v>1027</v>
      </c>
      <c r="L526" t="s">
        <v>994</v>
      </c>
      <c r="Q526" t="b">
        <v>0</v>
      </c>
      <c r="R526" t="b">
        <v>0</v>
      </c>
      <c r="T526" t="s">
        <v>2084</v>
      </c>
      <c r="U526" t="s">
        <v>996</v>
      </c>
      <c r="V526" t="s">
        <v>1433</v>
      </c>
      <c r="W526" t="s">
        <v>2030</v>
      </c>
      <c r="X526" t="s">
        <v>2085</v>
      </c>
    </row>
    <row r="527" spans="1:24" x14ac:dyDescent="0.25">
      <c r="A527" t="s">
        <v>44</v>
      </c>
      <c r="B527" t="s">
        <v>1188</v>
      </c>
      <c r="C527" t="s">
        <v>2082</v>
      </c>
      <c r="E527" t="s">
        <v>1000</v>
      </c>
      <c r="F527">
        <v>-1616</v>
      </c>
      <c r="G527" t="s">
        <v>1428</v>
      </c>
      <c r="H527" t="s">
        <v>2083</v>
      </c>
      <c r="J527" t="s">
        <v>2029</v>
      </c>
      <c r="K527" t="s">
        <v>1039</v>
      </c>
      <c r="L527" t="s">
        <v>994</v>
      </c>
      <c r="Q527" t="b">
        <v>0</v>
      </c>
      <c r="R527" t="b">
        <v>0</v>
      </c>
      <c r="T527" t="s">
        <v>2084</v>
      </c>
      <c r="U527" t="s">
        <v>996</v>
      </c>
      <c r="V527" t="s">
        <v>1433</v>
      </c>
      <c r="W527" t="s">
        <v>2030</v>
      </c>
      <c r="X527" t="s">
        <v>2085</v>
      </c>
    </row>
    <row r="528" spans="1:24" x14ac:dyDescent="0.25">
      <c r="A528" t="s">
        <v>44</v>
      </c>
      <c r="B528" t="s">
        <v>1189</v>
      </c>
      <c r="C528" t="s">
        <v>2082</v>
      </c>
      <c r="E528" t="s">
        <v>1002</v>
      </c>
      <c r="F528">
        <v>-2594</v>
      </c>
      <c r="G528" t="s">
        <v>1428</v>
      </c>
      <c r="H528" t="s">
        <v>2083</v>
      </c>
      <c r="J528" t="s">
        <v>2029</v>
      </c>
      <c r="K528" t="s">
        <v>1046</v>
      </c>
      <c r="L528" t="s">
        <v>994</v>
      </c>
      <c r="Q528" t="b">
        <v>0</v>
      </c>
      <c r="R528" t="b">
        <v>0</v>
      </c>
      <c r="T528" t="s">
        <v>2084</v>
      </c>
      <c r="U528" t="s">
        <v>996</v>
      </c>
      <c r="V528" t="s">
        <v>1433</v>
      </c>
      <c r="W528" t="s">
        <v>2030</v>
      </c>
      <c r="X528" t="s">
        <v>2085</v>
      </c>
    </row>
    <row r="529" spans="1:24" x14ac:dyDescent="0.25">
      <c r="A529" t="s">
        <v>44</v>
      </c>
      <c r="B529" t="s">
        <v>1190</v>
      </c>
      <c r="C529" t="s">
        <v>2082</v>
      </c>
      <c r="E529" t="s">
        <v>1004</v>
      </c>
      <c r="F529">
        <v>-3033</v>
      </c>
      <c r="G529" t="s">
        <v>1428</v>
      </c>
      <c r="H529" t="s">
        <v>2083</v>
      </c>
      <c r="J529" t="s">
        <v>2029</v>
      </c>
      <c r="K529" t="s">
        <v>1055</v>
      </c>
      <c r="L529" t="s">
        <v>994</v>
      </c>
      <c r="Q529" t="b">
        <v>0</v>
      </c>
      <c r="R529" t="b">
        <v>0</v>
      </c>
      <c r="T529" t="s">
        <v>2084</v>
      </c>
      <c r="U529" t="s">
        <v>996</v>
      </c>
      <c r="V529" t="s">
        <v>1433</v>
      </c>
      <c r="W529" t="s">
        <v>2030</v>
      </c>
      <c r="X529" t="s">
        <v>994</v>
      </c>
    </row>
    <row r="530" spans="1:24" x14ac:dyDescent="0.25">
      <c r="A530" t="s">
        <v>44</v>
      </c>
      <c r="B530" t="s">
        <v>1191</v>
      </c>
      <c r="C530" t="s">
        <v>2082</v>
      </c>
      <c r="E530" t="s">
        <v>1006</v>
      </c>
      <c r="F530">
        <v>-2425</v>
      </c>
      <c r="G530" t="s">
        <v>1428</v>
      </c>
      <c r="H530" t="s">
        <v>2083</v>
      </c>
      <c r="J530" t="s">
        <v>2029</v>
      </c>
      <c r="K530" t="s">
        <v>1065</v>
      </c>
      <c r="L530" t="s">
        <v>994</v>
      </c>
      <c r="Q530" t="b">
        <v>0</v>
      </c>
      <c r="R530" t="b">
        <v>0</v>
      </c>
      <c r="T530" t="s">
        <v>2084</v>
      </c>
      <c r="U530" t="s">
        <v>996</v>
      </c>
      <c r="V530" t="s">
        <v>1433</v>
      </c>
      <c r="W530" t="s">
        <v>2030</v>
      </c>
      <c r="X530" t="s">
        <v>2085</v>
      </c>
    </row>
    <row r="531" spans="1:24" x14ac:dyDescent="0.25">
      <c r="A531" t="s">
        <v>44</v>
      </c>
      <c r="B531" t="s">
        <v>1192</v>
      </c>
      <c r="C531" t="s">
        <v>2082</v>
      </c>
      <c r="E531" t="s">
        <v>1008</v>
      </c>
      <c r="F531">
        <v>-2249</v>
      </c>
      <c r="G531" t="s">
        <v>1428</v>
      </c>
      <c r="H531" t="s">
        <v>2083</v>
      </c>
      <c r="J531" t="s">
        <v>2029</v>
      </c>
      <c r="K531" t="s">
        <v>1072</v>
      </c>
      <c r="L531" t="s">
        <v>994</v>
      </c>
      <c r="Q531" t="b">
        <v>0</v>
      </c>
      <c r="R531" t="b">
        <v>0</v>
      </c>
      <c r="T531" t="s">
        <v>2084</v>
      </c>
      <c r="U531" t="s">
        <v>996</v>
      </c>
      <c r="V531" t="s">
        <v>1433</v>
      </c>
      <c r="W531" t="s">
        <v>2030</v>
      </c>
      <c r="X531" t="s">
        <v>2085</v>
      </c>
    </row>
    <row r="532" spans="1:24" x14ac:dyDescent="0.25">
      <c r="A532" t="s">
        <v>44</v>
      </c>
      <c r="B532" t="s">
        <v>1193</v>
      </c>
      <c r="C532" t="s">
        <v>2082</v>
      </c>
      <c r="E532" t="s">
        <v>1010</v>
      </c>
      <c r="F532">
        <v>-2335</v>
      </c>
      <c r="G532" t="s">
        <v>1428</v>
      </c>
      <c r="H532" t="s">
        <v>2083</v>
      </c>
      <c r="J532" t="s">
        <v>2029</v>
      </c>
      <c r="K532" t="s">
        <v>1079</v>
      </c>
      <c r="L532" t="s">
        <v>994</v>
      </c>
      <c r="Q532" t="b">
        <v>0</v>
      </c>
      <c r="R532" t="b">
        <v>0</v>
      </c>
      <c r="T532" t="s">
        <v>2084</v>
      </c>
      <c r="U532" t="s">
        <v>996</v>
      </c>
      <c r="V532" t="s">
        <v>1433</v>
      </c>
      <c r="W532" t="s">
        <v>2030</v>
      </c>
      <c r="X532" t="s">
        <v>2085</v>
      </c>
    </row>
    <row r="533" spans="1:24" x14ac:dyDescent="0.25">
      <c r="A533" t="s">
        <v>44</v>
      </c>
      <c r="B533" t="s">
        <v>1194</v>
      </c>
      <c r="C533" t="s">
        <v>2082</v>
      </c>
      <c r="E533" t="s">
        <v>1012</v>
      </c>
      <c r="F533">
        <v>-1864</v>
      </c>
      <c r="G533" t="s">
        <v>1428</v>
      </c>
      <c r="H533" t="s">
        <v>2083</v>
      </c>
      <c r="J533" t="s">
        <v>2029</v>
      </c>
      <c r="K533" t="s">
        <v>1086</v>
      </c>
      <c r="L533" t="s">
        <v>994</v>
      </c>
      <c r="Q533" t="b">
        <v>0</v>
      </c>
      <c r="R533" t="b">
        <v>0</v>
      </c>
      <c r="T533" t="s">
        <v>2084</v>
      </c>
      <c r="U533" t="s">
        <v>996</v>
      </c>
      <c r="V533" t="s">
        <v>1433</v>
      </c>
      <c r="W533" t="s">
        <v>2030</v>
      </c>
      <c r="X533" t="s">
        <v>994</v>
      </c>
    </row>
    <row r="534" spans="1:24" x14ac:dyDescent="0.25">
      <c r="A534" t="s">
        <v>44</v>
      </c>
      <c r="B534" t="s">
        <v>1195</v>
      </c>
      <c r="C534" t="s">
        <v>2082</v>
      </c>
      <c r="E534" t="s">
        <v>1014</v>
      </c>
      <c r="F534">
        <v>-2076</v>
      </c>
      <c r="G534" t="s">
        <v>1428</v>
      </c>
      <c r="H534" t="s">
        <v>2083</v>
      </c>
      <c r="J534" t="s">
        <v>2029</v>
      </c>
      <c r="K534" t="s">
        <v>1092</v>
      </c>
      <c r="L534" t="s">
        <v>994</v>
      </c>
      <c r="Q534" t="b">
        <v>0</v>
      </c>
      <c r="R534" t="b">
        <v>0</v>
      </c>
      <c r="T534" t="s">
        <v>2084</v>
      </c>
      <c r="U534" t="s">
        <v>996</v>
      </c>
      <c r="V534" t="s">
        <v>1433</v>
      </c>
      <c r="W534" t="s">
        <v>2030</v>
      </c>
      <c r="X534" t="s">
        <v>2085</v>
      </c>
    </row>
    <row r="535" spans="1:24" x14ac:dyDescent="0.25">
      <c r="A535" t="s">
        <v>44</v>
      </c>
      <c r="B535" t="s">
        <v>1196</v>
      </c>
      <c r="C535" t="s">
        <v>2082</v>
      </c>
      <c r="E535" t="s">
        <v>1016</v>
      </c>
      <c r="F535">
        <v>-1792</v>
      </c>
      <c r="G535" t="s">
        <v>1428</v>
      </c>
      <c r="H535" t="s">
        <v>2083</v>
      </c>
      <c r="J535" t="s">
        <v>2029</v>
      </c>
      <c r="K535" t="s">
        <v>1100</v>
      </c>
      <c r="L535" t="s">
        <v>994</v>
      </c>
      <c r="Q535" t="b">
        <v>0</v>
      </c>
      <c r="R535" t="b">
        <v>0</v>
      </c>
      <c r="T535" t="s">
        <v>2084</v>
      </c>
      <c r="U535" t="s">
        <v>996</v>
      </c>
      <c r="V535" t="s">
        <v>1433</v>
      </c>
      <c r="W535" t="s">
        <v>2030</v>
      </c>
      <c r="X535" t="s">
        <v>2085</v>
      </c>
    </row>
    <row r="536" spans="1:24" x14ac:dyDescent="0.25">
      <c r="A536" t="s">
        <v>44</v>
      </c>
      <c r="B536" t="s">
        <v>1197</v>
      </c>
      <c r="C536" t="s">
        <v>2082</v>
      </c>
      <c r="E536" t="s">
        <v>1018</v>
      </c>
      <c r="F536">
        <v>-2299</v>
      </c>
      <c r="G536" t="s">
        <v>1428</v>
      </c>
      <c r="H536" t="s">
        <v>2083</v>
      </c>
      <c r="J536" t="s">
        <v>2029</v>
      </c>
      <c r="K536" t="s">
        <v>1107</v>
      </c>
      <c r="L536" t="s">
        <v>994</v>
      </c>
      <c r="Q536" t="b">
        <v>0</v>
      </c>
      <c r="R536" t="b">
        <v>0</v>
      </c>
      <c r="T536" t="s">
        <v>2084</v>
      </c>
      <c r="U536" t="s">
        <v>996</v>
      </c>
      <c r="V536" t="s">
        <v>1433</v>
      </c>
      <c r="W536" t="s">
        <v>2030</v>
      </c>
      <c r="X536" t="s">
        <v>2085</v>
      </c>
    </row>
    <row r="537" spans="1:24" x14ac:dyDescent="0.25">
      <c r="A537" t="s">
        <v>44</v>
      </c>
      <c r="B537" t="s">
        <v>1198</v>
      </c>
      <c r="C537" t="s">
        <v>2082</v>
      </c>
      <c r="E537" t="s">
        <v>1020</v>
      </c>
      <c r="F537">
        <v>-4198</v>
      </c>
      <c r="G537" t="s">
        <v>1428</v>
      </c>
      <c r="H537" t="s">
        <v>2083</v>
      </c>
      <c r="J537" t="s">
        <v>2029</v>
      </c>
      <c r="K537" t="s">
        <v>1114</v>
      </c>
      <c r="L537" t="s">
        <v>994</v>
      </c>
      <c r="Q537" t="b">
        <v>0</v>
      </c>
      <c r="R537" t="b">
        <v>0</v>
      </c>
      <c r="T537" t="s">
        <v>2084</v>
      </c>
      <c r="U537" t="s">
        <v>996</v>
      </c>
      <c r="V537" t="s">
        <v>1433</v>
      </c>
      <c r="W537" t="s">
        <v>2030</v>
      </c>
      <c r="X537" t="s">
        <v>994</v>
      </c>
    </row>
    <row r="538" spans="1:24" x14ac:dyDescent="0.25">
      <c r="A538" t="s">
        <v>44</v>
      </c>
      <c r="B538" t="s">
        <v>1199</v>
      </c>
      <c r="C538" t="s">
        <v>2082</v>
      </c>
      <c r="E538" t="s">
        <v>1022</v>
      </c>
      <c r="F538">
        <v>-893</v>
      </c>
      <c r="G538" t="s">
        <v>1428</v>
      </c>
      <c r="H538" t="s">
        <v>2083</v>
      </c>
      <c r="J538" t="s">
        <v>2029</v>
      </c>
      <c r="K538" t="s">
        <v>1120</v>
      </c>
      <c r="L538" t="s">
        <v>994</v>
      </c>
      <c r="Q538" t="b">
        <v>0</v>
      </c>
      <c r="R538" t="b">
        <v>0</v>
      </c>
      <c r="T538" t="s">
        <v>2084</v>
      </c>
      <c r="U538" t="s">
        <v>996</v>
      </c>
      <c r="V538" t="s">
        <v>1433</v>
      </c>
      <c r="W538" t="s">
        <v>2030</v>
      </c>
      <c r="X538" t="s">
        <v>2085</v>
      </c>
    </row>
    <row r="539" spans="1:24" x14ac:dyDescent="0.25">
      <c r="A539" t="s">
        <v>44</v>
      </c>
      <c r="B539" t="s">
        <v>2086</v>
      </c>
      <c r="C539" t="s">
        <v>247</v>
      </c>
      <c r="E539" t="s">
        <v>992</v>
      </c>
      <c r="F539">
        <v>0</v>
      </c>
      <c r="G539" t="s">
        <v>2087</v>
      </c>
      <c r="H539" t="s">
        <v>2088</v>
      </c>
      <c r="J539" t="s">
        <v>2029</v>
      </c>
      <c r="K539" t="s">
        <v>994</v>
      </c>
      <c r="L539" t="s">
        <v>994</v>
      </c>
      <c r="Q539" t="b">
        <v>1</v>
      </c>
      <c r="R539" t="b">
        <v>0</v>
      </c>
      <c r="T539" t="s">
        <v>994</v>
      </c>
      <c r="U539" t="s">
        <v>2087</v>
      </c>
      <c r="V539" t="s">
        <v>997</v>
      </c>
      <c r="W539" t="s">
        <v>1035</v>
      </c>
      <c r="X539" t="s">
        <v>994</v>
      </c>
    </row>
    <row r="540" spans="1:24" x14ac:dyDescent="0.25">
      <c r="A540" t="s">
        <v>44</v>
      </c>
      <c r="B540" t="s">
        <v>2089</v>
      </c>
      <c r="C540" t="s">
        <v>247</v>
      </c>
      <c r="E540" t="s">
        <v>1000</v>
      </c>
      <c r="F540">
        <v>0</v>
      </c>
      <c r="G540" t="s">
        <v>2087</v>
      </c>
      <c r="H540" t="s">
        <v>2088</v>
      </c>
      <c r="J540" t="s">
        <v>2029</v>
      </c>
      <c r="K540" t="s">
        <v>994</v>
      </c>
      <c r="L540" t="s">
        <v>994</v>
      </c>
      <c r="Q540" t="b">
        <v>1</v>
      </c>
      <c r="R540" t="b">
        <v>0</v>
      </c>
      <c r="T540" t="s">
        <v>994</v>
      </c>
      <c r="U540" t="s">
        <v>2087</v>
      </c>
      <c r="V540" t="s">
        <v>997</v>
      </c>
      <c r="W540" t="s">
        <v>1035</v>
      </c>
      <c r="X540" t="s">
        <v>994</v>
      </c>
    </row>
    <row r="541" spans="1:24" x14ac:dyDescent="0.25">
      <c r="A541" t="s">
        <v>44</v>
      </c>
      <c r="B541" t="s">
        <v>2090</v>
      </c>
      <c r="C541" t="s">
        <v>247</v>
      </c>
      <c r="E541" t="s">
        <v>1002</v>
      </c>
      <c r="F541">
        <v>0</v>
      </c>
      <c r="G541" t="s">
        <v>2087</v>
      </c>
      <c r="H541" t="s">
        <v>2088</v>
      </c>
      <c r="J541" t="s">
        <v>2029</v>
      </c>
      <c r="K541" t="s">
        <v>994</v>
      </c>
      <c r="L541" t="s">
        <v>994</v>
      </c>
      <c r="Q541" t="b">
        <v>1</v>
      </c>
      <c r="R541" t="b">
        <v>0</v>
      </c>
      <c r="T541" t="s">
        <v>994</v>
      </c>
      <c r="U541" t="s">
        <v>2087</v>
      </c>
      <c r="V541" t="s">
        <v>997</v>
      </c>
      <c r="W541" t="s">
        <v>1035</v>
      </c>
      <c r="X541" t="s">
        <v>994</v>
      </c>
    </row>
    <row r="542" spans="1:24" x14ac:dyDescent="0.25">
      <c r="A542" t="s">
        <v>44</v>
      </c>
      <c r="B542" t="s">
        <v>2091</v>
      </c>
      <c r="C542" t="s">
        <v>247</v>
      </c>
      <c r="E542" t="s">
        <v>1004</v>
      </c>
      <c r="F542">
        <v>0</v>
      </c>
      <c r="G542" t="s">
        <v>2087</v>
      </c>
      <c r="H542" t="s">
        <v>2088</v>
      </c>
      <c r="J542" t="s">
        <v>2029</v>
      </c>
      <c r="K542" t="s">
        <v>994</v>
      </c>
      <c r="L542" t="s">
        <v>994</v>
      </c>
      <c r="Q542" t="b">
        <v>1</v>
      </c>
      <c r="R542" t="b">
        <v>0</v>
      </c>
      <c r="T542" t="s">
        <v>994</v>
      </c>
      <c r="U542" t="s">
        <v>2087</v>
      </c>
      <c r="V542" t="s">
        <v>997</v>
      </c>
      <c r="W542" t="s">
        <v>1035</v>
      </c>
      <c r="X542" t="s">
        <v>994</v>
      </c>
    </row>
    <row r="543" spans="1:24" x14ac:dyDescent="0.25">
      <c r="A543" t="s">
        <v>44</v>
      </c>
      <c r="B543" t="s">
        <v>2092</v>
      </c>
      <c r="C543" t="s">
        <v>247</v>
      </c>
      <c r="E543" t="s">
        <v>1006</v>
      </c>
      <c r="F543">
        <v>0</v>
      </c>
      <c r="G543" t="s">
        <v>2087</v>
      </c>
      <c r="H543" t="s">
        <v>2088</v>
      </c>
      <c r="J543" t="s">
        <v>2029</v>
      </c>
      <c r="K543" t="s">
        <v>994</v>
      </c>
      <c r="L543" t="s">
        <v>994</v>
      </c>
      <c r="Q543" t="b">
        <v>1</v>
      </c>
      <c r="R543" t="b">
        <v>0</v>
      </c>
      <c r="T543" t="s">
        <v>994</v>
      </c>
      <c r="U543" t="s">
        <v>2087</v>
      </c>
      <c r="V543" t="s">
        <v>997</v>
      </c>
      <c r="W543" t="s">
        <v>1035</v>
      </c>
      <c r="X543" t="s">
        <v>994</v>
      </c>
    </row>
    <row r="544" spans="1:24" x14ac:dyDescent="0.25">
      <c r="A544" t="s">
        <v>44</v>
      </c>
      <c r="B544" t="s">
        <v>2093</v>
      </c>
      <c r="C544" t="s">
        <v>247</v>
      </c>
      <c r="E544" t="s">
        <v>1008</v>
      </c>
      <c r="F544">
        <v>0</v>
      </c>
      <c r="G544" t="s">
        <v>2087</v>
      </c>
      <c r="H544" t="s">
        <v>2088</v>
      </c>
      <c r="J544" t="s">
        <v>2029</v>
      </c>
      <c r="K544" t="s">
        <v>994</v>
      </c>
      <c r="L544" t="s">
        <v>994</v>
      </c>
      <c r="Q544" t="b">
        <v>1</v>
      </c>
      <c r="R544" t="b">
        <v>0</v>
      </c>
      <c r="T544" t="s">
        <v>994</v>
      </c>
      <c r="U544" t="s">
        <v>2087</v>
      </c>
      <c r="V544" t="s">
        <v>997</v>
      </c>
      <c r="W544" t="s">
        <v>1035</v>
      </c>
      <c r="X544" t="s">
        <v>994</v>
      </c>
    </row>
    <row r="545" spans="1:24" x14ac:dyDescent="0.25">
      <c r="A545" t="s">
        <v>44</v>
      </c>
      <c r="B545" t="s">
        <v>2094</v>
      </c>
      <c r="C545" t="s">
        <v>247</v>
      </c>
      <c r="E545" t="s">
        <v>1010</v>
      </c>
      <c r="F545">
        <v>0</v>
      </c>
      <c r="G545" t="s">
        <v>2087</v>
      </c>
      <c r="H545" t="s">
        <v>2088</v>
      </c>
      <c r="J545" t="s">
        <v>2029</v>
      </c>
      <c r="K545" t="s">
        <v>994</v>
      </c>
      <c r="L545" t="s">
        <v>994</v>
      </c>
      <c r="Q545" t="b">
        <v>1</v>
      </c>
      <c r="R545" t="b">
        <v>0</v>
      </c>
      <c r="T545" t="s">
        <v>994</v>
      </c>
      <c r="U545" t="s">
        <v>2087</v>
      </c>
      <c r="V545" t="s">
        <v>997</v>
      </c>
      <c r="W545" t="s">
        <v>1035</v>
      </c>
      <c r="X545" t="s">
        <v>994</v>
      </c>
    </row>
    <row r="546" spans="1:24" x14ac:dyDescent="0.25">
      <c r="A546" t="s">
        <v>44</v>
      </c>
      <c r="B546" t="s">
        <v>2095</v>
      </c>
      <c r="C546" t="s">
        <v>247</v>
      </c>
      <c r="E546" t="s">
        <v>1012</v>
      </c>
      <c r="F546">
        <v>0</v>
      </c>
      <c r="G546" t="s">
        <v>2087</v>
      </c>
      <c r="H546" t="s">
        <v>2088</v>
      </c>
      <c r="J546" t="s">
        <v>2029</v>
      </c>
      <c r="K546" t="s">
        <v>994</v>
      </c>
      <c r="L546" t="s">
        <v>994</v>
      </c>
      <c r="Q546" t="b">
        <v>1</v>
      </c>
      <c r="R546" t="b">
        <v>0</v>
      </c>
      <c r="T546" t="s">
        <v>994</v>
      </c>
      <c r="U546" t="s">
        <v>2087</v>
      </c>
      <c r="V546" t="s">
        <v>997</v>
      </c>
      <c r="W546" t="s">
        <v>1035</v>
      </c>
      <c r="X546" t="s">
        <v>994</v>
      </c>
    </row>
    <row r="547" spans="1:24" x14ac:dyDescent="0.25">
      <c r="A547" t="s">
        <v>44</v>
      </c>
      <c r="B547" t="s">
        <v>2096</v>
      </c>
      <c r="C547" t="s">
        <v>247</v>
      </c>
      <c r="E547" t="s">
        <v>1014</v>
      </c>
      <c r="F547">
        <v>0</v>
      </c>
      <c r="G547" t="s">
        <v>2087</v>
      </c>
      <c r="H547" t="s">
        <v>2088</v>
      </c>
      <c r="J547" t="s">
        <v>2029</v>
      </c>
      <c r="K547" t="s">
        <v>994</v>
      </c>
      <c r="L547" t="s">
        <v>994</v>
      </c>
      <c r="Q547" t="b">
        <v>1</v>
      </c>
      <c r="R547" t="b">
        <v>0</v>
      </c>
      <c r="T547" t="s">
        <v>994</v>
      </c>
      <c r="U547" t="s">
        <v>2087</v>
      </c>
      <c r="V547" t="s">
        <v>997</v>
      </c>
      <c r="W547" t="s">
        <v>1035</v>
      </c>
      <c r="X547" t="s">
        <v>994</v>
      </c>
    </row>
    <row r="548" spans="1:24" x14ac:dyDescent="0.25">
      <c r="A548" t="s">
        <v>44</v>
      </c>
      <c r="B548" t="s">
        <v>2097</v>
      </c>
      <c r="C548" t="s">
        <v>247</v>
      </c>
      <c r="E548" t="s">
        <v>1016</v>
      </c>
      <c r="F548">
        <v>0</v>
      </c>
      <c r="G548" t="s">
        <v>2087</v>
      </c>
      <c r="H548" t="s">
        <v>2088</v>
      </c>
      <c r="J548" t="s">
        <v>2029</v>
      </c>
      <c r="K548" t="s">
        <v>994</v>
      </c>
      <c r="L548" t="s">
        <v>994</v>
      </c>
      <c r="Q548" t="b">
        <v>1</v>
      </c>
      <c r="R548" t="b">
        <v>0</v>
      </c>
      <c r="T548" t="s">
        <v>994</v>
      </c>
      <c r="U548" t="s">
        <v>2087</v>
      </c>
      <c r="V548" t="s">
        <v>997</v>
      </c>
      <c r="W548" t="s">
        <v>1035</v>
      </c>
      <c r="X548" t="s">
        <v>994</v>
      </c>
    </row>
    <row r="549" spans="1:24" x14ac:dyDescent="0.25">
      <c r="A549" t="s">
        <v>44</v>
      </c>
      <c r="B549" t="s">
        <v>2098</v>
      </c>
      <c r="C549" t="s">
        <v>247</v>
      </c>
      <c r="E549" t="s">
        <v>1018</v>
      </c>
      <c r="F549">
        <v>0</v>
      </c>
      <c r="G549" t="s">
        <v>2087</v>
      </c>
      <c r="H549" t="s">
        <v>2088</v>
      </c>
      <c r="J549" t="s">
        <v>2029</v>
      </c>
      <c r="K549" t="s">
        <v>994</v>
      </c>
      <c r="L549" t="s">
        <v>994</v>
      </c>
      <c r="Q549" t="b">
        <v>1</v>
      </c>
      <c r="R549" t="b">
        <v>0</v>
      </c>
      <c r="T549" t="s">
        <v>994</v>
      </c>
      <c r="U549" t="s">
        <v>2087</v>
      </c>
      <c r="V549" t="s">
        <v>997</v>
      </c>
      <c r="W549" t="s">
        <v>1035</v>
      </c>
      <c r="X549" t="s">
        <v>994</v>
      </c>
    </row>
    <row r="550" spans="1:24" x14ac:dyDescent="0.25">
      <c r="A550" t="s">
        <v>44</v>
      </c>
      <c r="B550" t="s">
        <v>2099</v>
      </c>
      <c r="C550" t="s">
        <v>247</v>
      </c>
      <c r="E550" t="s">
        <v>1020</v>
      </c>
      <c r="F550">
        <v>0</v>
      </c>
      <c r="G550" t="s">
        <v>2087</v>
      </c>
      <c r="H550" t="s">
        <v>2088</v>
      </c>
      <c r="J550" t="s">
        <v>2029</v>
      </c>
      <c r="K550" t="s">
        <v>994</v>
      </c>
      <c r="L550" t="s">
        <v>994</v>
      </c>
      <c r="Q550" t="b">
        <v>1</v>
      </c>
      <c r="R550" t="b">
        <v>0</v>
      </c>
      <c r="T550" t="s">
        <v>994</v>
      </c>
      <c r="U550" t="s">
        <v>2087</v>
      </c>
      <c r="V550" t="s">
        <v>997</v>
      </c>
      <c r="W550" t="s">
        <v>1035</v>
      </c>
      <c r="X550" t="s">
        <v>994</v>
      </c>
    </row>
    <row r="551" spans="1:24" x14ac:dyDescent="0.25">
      <c r="A551" t="s">
        <v>44</v>
      </c>
      <c r="B551" t="s">
        <v>2100</v>
      </c>
      <c r="C551" t="s">
        <v>247</v>
      </c>
      <c r="E551" t="s">
        <v>1022</v>
      </c>
      <c r="F551">
        <v>0</v>
      </c>
      <c r="G551" t="s">
        <v>2087</v>
      </c>
      <c r="H551" t="s">
        <v>2088</v>
      </c>
      <c r="J551" t="s">
        <v>2029</v>
      </c>
      <c r="K551" t="s">
        <v>994</v>
      </c>
      <c r="L551" t="s">
        <v>994</v>
      </c>
      <c r="Q551" t="b">
        <v>1</v>
      </c>
      <c r="R551" t="b">
        <v>0</v>
      </c>
      <c r="T551" t="s">
        <v>994</v>
      </c>
      <c r="U551" t="s">
        <v>2087</v>
      </c>
      <c r="V551" t="s">
        <v>997</v>
      </c>
      <c r="W551" t="s">
        <v>1035</v>
      </c>
      <c r="X551" t="s">
        <v>994</v>
      </c>
    </row>
    <row r="552" spans="1:24" x14ac:dyDescent="0.25">
      <c r="A552" t="s">
        <v>44</v>
      </c>
      <c r="B552" t="s">
        <v>1155</v>
      </c>
      <c r="C552" t="s">
        <v>456</v>
      </c>
      <c r="E552" t="s">
        <v>992</v>
      </c>
      <c r="F552">
        <v>21737</v>
      </c>
      <c r="G552" t="s">
        <v>2087</v>
      </c>
      <c r="H552" t="s">
        <v>2101</v>
      </c>
      <c r="J552" t="s">
        <v>2029</v>
      </c>
      <c r="K552" t="s">
        <v>994</v>
      </c>
      <c r="L552" t="s">
        <v>994</v>
      </c>
      <c r="Q552" t="b">
        <v>1</v>
      </c>
      <c r="R552" t="b">
        <v>0</v>
      </c>
      <c r="T552" t="s">
        <v>994</v>
      </c>
      <c r="U552" t="s">
        <v>2087</v>
      </c>
      <c r="V552" t="s">
        <v>997</v>
      </c>
      <c r="W552" t="s">
        <v>1035</v>
      </c>
      <c r="X552" t="s">
        <v>994</v>
      </c>
    </row>
    <row r="553" spans="1:24" x14ac:dyDescent="0.25">
      <c r="A553" t="s">
        <v>44</v>
      </c>
      <c r="B553" t="s">
        <v>1159</v>
      </c>
      <c r="C553" t="s">
        <v>456</v>
      </c>
      <c r="E553" t="s">
        <v>1000</v>
      </c>
      <c r="F553">
        <v>23454</v>
      </c>
      <c r="G553" t="s">
        <v>2087</v>
      </c>
      <c r="H553" t="s">
        <v>2101</v>
      </c>
      <c r="J553" t="s">
        <v>2029</v>
      </c>
      <c r="K553" t="s">
        <v>994</v>
      </c>
      <c r="L553" t="s">
        <v>994</v>
      </c>
      <c r="Q553" t="b">
        <v>1</v>
      </c>
      <c r="R553" t="b">
        <v>0</v>
      </c>
      <c r="T553" t="s">
        <v>994</v>
      </c>
      <c r="U553" t="s">
        <v>2087</v>
      </c>
      <c r="V553" t="s">
        <v>997</v>
      </c>
      <c r="W553" t="s">
        <v>1035</v>
      </c>
      <c r="X553" t="s">
        <v>994</v>
      </c>
    </row>
    <row r="554" spans="1:24" x14ac:dyDescent="0.25">
      <c r="A554" t="s">
        <v>44</v>
      </c>
      <c r="B554" t="s">
        <v>1161</v>
      </c>
      <c r="C554" t="s">
        <v>456</v>
      </c>
      <c r="E554" t="s">
        <v>1002</v>
      </c>
      <c r="F554">
        <v>23937</v>
      </c>
      <c r="G554" t="s">
        <v>2087</v>
      </c>
      <c r="H554" t="s">
        <v>2101</v>
      </c>
      <c r="J554" t="s">
        <v>2029</v>
      </c>
      <c r="K554" t="s">
        <v>994</v>
      </c>
      <c r="L554" t="s">
        <v>994</v>
      </c>
      <c r="Q554" t="b">
        <v>1</v>
      </c>
      <c r="R554" t="b">
        <v>0</v>
      </c>
      <c r="T554" t="s">
        <v>994</v>
      </c>
      <c r="U554" t="s">
        <v>2087</v>
      </c>
      <c r="V554" t="s">
        <v>997</v>
      </c>
      <c r="W554" t="s">
        <v>1035</v>
      </c>
      <c r="X554" t="s">
        <v>994</v>
      </c>
    </row>
    <row r="555" spans="1:24" x14ac:dyDescent="0.25">
      <c r="A555" t="s">
        <v>44</v>
      </c>
      <c r="B555" t="s">
        <v>1163</v>
      </c>
      <c r="C555" t="s">
        <v>456</v>
      </c>
      <c r="E555" t="s">
        <v>1004</v>
      </c>
      <c r="F555">
        <v>26730</v>
      </c>
      <c r="G555" t="s">
        <v>2087</v>
      </c>
      <c r="H555" t="s">
        <v>2101</v>
      </c>
      <c r="J555" t="s">
        <v>2029</v>
      </c>
      <c r="K555" t="s">
        <v>994</v>
      </c>
      <c r="L555" t="s">
        <v>994</v>
      </c>
      <c r="Q555" t="b">
        <v>1</v>
      </c>
      <c r="R555" t="b">
        <v>0</v>
      </c>
      <c r="T555" t="s">
        <v>994</v>
      </c>
      <c r="U555" t="s">
        <v>2087</v>
      </c>
      <c r="V555" t="s">
        <v>997</v>
      </c>
      <c r="W555" t="s">
        <v>1035</v>
      </c>
      <c r="X555" t="s">
        <v>994</v>
      </c>
    </row>
    <row r="556" spans="1:24" x14ac:dyDescent="0.25">
      <c r="A556" t="s">
        <v>44</v>
      </c>
      <c r="B556" t="s">
        <v>1166</v>
      </c>
      <c r="C556" t="s">
        <v>456</v>
      </c>
      <c r="E556" t="s">
        <v>1006</v>
      </c>
      <c r="F556">
        <v>27897</v>
      </c>
      <c r="G556" t="s">
        <v>2087</v>
      </c>
      <c r="H556" t="s">
        <v>2101</v>
      </c>
      <c r="J556" t="s">
        <v>2029</v>
      </c>
      <c r="K556" t="s">
        <v>994</v>
      </c>
      <c r="L556" t="s">
        <v>994</v>
      </c>
      <c r="Q556" t="b">
        <v>1</v>
      </c>
      <c r="R556" t="b">
        <v>0</v>
      </c>
      <c r="T556" t="s">
        <v>994</v>
      </c>
      <c r="U556" t="s">
        <v>2087</v>
      </c>
      <c r="V556" t="s">
        <v>997</v>
      </c>
      <c r="W556" t="s">
        <v>1035</v>
      </c>
      <c r="X556" t="s">
        <v>994</v>
      </c>
    </row>
    <row r="557" spans="1:24" x14ac:dyDescent="0.25">
      <c r="A557" t="s">
        <v>44</v>
      </c>
      <c r="B557" t="s">
        <v>1168</v>
      </c>
      <c r="C557" t="s">
        <v>456</v>
      </c>
      <c r="E557" t="s">
        <v>1008</v>
      </c>
      <c r="F557">
        <v>29674</v>
      </c>
      <c r="G557" t="s">
        <v>2087</v>
      </c>
      <c r="H557" t="s">
        <v>2101</v>
      </c>
      <c r="J557" t="s">
        <v>2029</v>
      </c>
      <c r="K557" t="s">
        <v>994</v>
      </c>
      <c r="L557" t="s">
        <v>994</v>
      </c>
      <c r="Q557" t="b">
        <v>1</v>
      </c>
      <c r="R557" t="b">
        <v>0</v>
      </c>
      <c r="T557" t="s">
        <v>994</v>
      </c>
      <c r="U557" t="s">
        <v>2087</v>
      </c>
      <c r="V557" t="s">
        <v>997</v>
      </c>
      <c r="W557" t="s">
        <v>1035</v>
      </c>
      <c r="X557" t="s">
        <v>994</v>
      </c>
    </row>
    <row r="558" spans="1:24" x14ac:dyDescent="0.25">
      <c r="A558" t="s">
        <v>44</v>
      </c>
      <c r="B558" t="s">
        <v>1170</v>
      </c>
      <c r="C558" t="s">
        <v>456</v>
      </c>
      <c r="E558" t="s">
        <v>1010</v>
      </c>
      <c r="F558">
        <v>30856</v>
      </c>
      <c r="G558" t="s">
        <v>2087</v>
      </c>
      <c r="H558" t="s">
        <v>2101</v>
      </c>
      <c r="J558" t="s">
        <v>2029</v>
      </c>
      <c r="K558" t="s">
        <v>994</v>
      </c>
      <c r="L558" t="s">
        <v>994</v>
      </c>
      <c r="Q558" t="b">
        <v>1</v>
      </c>
      <c r="R558" t="b">
        <v>0</v>
      </c>
      <c r="T558" t="s">
        <v>994</v>
      </c>
      <c r="U558" t="s">
        <v>2087</v>
      </c>
      <c r="V558" t="s">
        <v>997</v>
      </c>
      <c r="W558" t="s">
        <v>1035</v>
      </c>
      <c r="X558" t="s">
        <v>994</v>
      </c>
    </row>
    <row r="559" spans="1:24" x14ac:dyDescent="0.25">
      <c r="A559" t="s">
        <v>44</v>
      </c>
      <c r="B559" t="s">
        <v>1172</v>
      </c>
      <c r="C559" t="s">
        <v>456</v>
      </c>
      <c r="E559" t="s">
        <v>1012</v>
      </c>
      <c r="F559">
        <v>32836</v>
      </c>
      <c r="G559" t="s">
        <v>2087</v>
      </c>
      <c r="H559" t="s">
        <v>2101</v>
      </c>
      <c r="J559" t="s">
        <v>2029</v>
      </c>
      <c r="K559" t="s">
        <v>994</v>
      </c>
      <c r="L559" t="s">
        <v>994</v>
      </c>
      <c r="Q559" t="b">
        <v>1</v>
      </c>
      <c r="R559" t="b">
        <v>0</v>
      </c>
      <c r="T559" t="s">
        <v>994</v>
      </c>
      <c r="U559" t="s">
        <v>2087</v>
      </c>
      <c r="V559" t="s">
        <v>997</v>
      </c>
      <c r="W559" t="s">
        <v>1035</v>
      </c>
      <c r="X559" t="s">
        <v>994</v>
      </c>
    </row>
    <row r="560" spans="1:24" x14ac:dyDescent="0.25">
      <c r="A560" t="s">
        <v>44</v>
      </c>
      <c r="B560" t="s">
        <v>1174</v>
      </c>
      <c r="C560" t="s">
        <v>456</v>
      </c>
      <c r="E560" t="s">
        <v>1014</v>
      </c>
      <c r="F560">
        <v>32682</v>
      </c>
      <c r="G560" t="s">
        <v>2087</v>
      </c>
      <c r="H560" t="s">
        <v>2101</v>
      </c>
      <c r="J560" t="s">
        <v>2029</v>
      </c>
      <c r="K560" t="s">
        <v>994</v>
      </c>
      <c r="L560" t="s">
        <v>994</v>
      </c>
      <c r="Q560" t="b">
        <v>1</v>
      </c>
      <c r="R560" t="b">
        <v>0</v>
      </c>
      <c r="T560" t="s">
        <v>994</v>
      </c>
      <c r="U560" t="s">
        <v>2087</v>
      </c>
      <c r="V560" t="s">
        <v>997</v>
      </c>
      <c r="W560" t="s">
        <v>1035</v>
      </c>
      <c r="X560" t="s">
        <v>994</v>
      </c>
    </row>
    <row r="561" spans="1:24" x14ac:dyDescent="0.25">
      <c r="A561" t="s">
        <v>44</v>
      </c>
      <c r="B561" t="s">
        <v>1176</v>
      </c>
      <c r="C561" t="s">
        <v>456</v>
      </c>
      <c r="E561" t="s">
        <v>1016</v>
      </c>
      <c r="F561">
        <v>33063</v>
      </c>
      <c r="G561" t="s">
        <v>2087</v>
      </c>
      <c r="H561" t="s">
        <v>2101</v>
      </c>
      <c r="J561" t="s">
        <v>2029</v>
      </c>
      <c r="K561" t="s">
        <v>994</v>
      </c>
      <c r="L561" t="s">
        <v>994</v>
      </c>
      <c r="Q561" t="b">
        <v>1</v>
      </c>
      <c r="R561" t="b">
        <v>0</v>
      </c>
      <c r="T561" t="s">
        <v>994</v>
      </c>
      <c r="U561" t="s">
        <v>2087</v>
      </c>
      <c r="V561" t="s">
        <v>997</v>
      </c>
      <c r="W561" t="s">
        <v>1035</v>
      </c>
      <c r="X561" t="s">
        <v>994</v>
      </c>
    </row>
    <row r="562" spans="1:24" x14ac:dyDescent="0.25">
      <c r="A562" t="s">
        <v>44</v>
      </c>
      <c r="B562" t="s">
        <v>1178</v>
      </c>
      <c r="C562" t="s">
        <v>456</v>
      </c>
      <c r="E562" t="s">
        <v>1018</v>
      </c>
      <c r="F562">
        <v>33527</v>
      </c>
      <c r="G562" t="s">
        <v>2087</v>
      </c>
      <c r="H562" t="s">
        <v>2101</v>
      </c>
      <c r="J562" t="s">
        <v>2029</v>
      </c>
      <c r="K562" t="s">
        <v>994</v>
      </c>
      <c r="L562" t="s">
        <v>994</v>
      </c>
      <c r="Q562" t="b">
        <v>1</v>
      </c>
      <c r="R562" t="b">
        <v>0</v>
      </c>
      <c r="T562" t="s">
        <v>994</v>
      </c>
      <c r="U562" t="s">
        <v>2087</v>
      </c>
      <c r="V562" t="s">
        <v>997</v>
      </c>
      <c r="W562" t="s">
        <v>1035</v>
      </c>
      <c r="X562" t="s">
        <v>994</v>
      </c>
    </row>
    <row r="563" spans="1:24" x14ac:dyDescent="0.25">
      <c r="A563" t="s">
        <v>44</v>
      </c>
      <c r="B563" t="s">
        <v>1180</v>
      </c>
      <c r="C563" t="s">
        <v>456</v>
      </c>
      <c r="E563" t="s">
        <v>1020</v>
      </c>
      <c r="F563">
        <v>40132</v>
      </c>
      <c r="G563" t="s">
        <v>2087</v>
      </c>
      <c r="H563" t="s">
        <v>2101</v>
      </c>
      <c r="J563" t="s">
        <v>2029</v>
      </c>
      <c r="K563" t="s">
        <v>994</v>
      </c>
      <c r="L563" t="s">
        <v>994</v>
      </c>
      <c r="Q563" t="b">
        <v>1</v>
      </c>
      <c r="R563" t="b">
        <v>0</v>
      </c>
      <c r="T563" t="s">
        <v>994</v>
      </c>
      <c r="U563" t="s">
        <v>2087</v>
      </c>
      <c r="V563" t="s">
        <v>997</v>
      </c>
      <c r="W563" t="s">
        <v>1035</v>
      </c>
      <c r="X563" t="s">
        <v>994</v>
      </c>
    </row>
    <row r="564" spans="1:24" x14ac:dyDescent="0.25">
      <c r="A564" t="s">
        <v>44</v>
      </c>
      <c r="B564" t="s">
        <v>1182</v>
      </c>
      <c r="C564" t="s">
        <v>456</v>
      </c>
      <c r="E564" t="s">
        <v>1022</v>
      </c>
      <c r="F564">
        <v>40589</v>
      </c>
      <c r="G564" t="s">
        <v>2087</v>
      </c>
      <c r="H564" t="s">
        <v>2101</v>
      </c>
      <c r="J564" t="s">
        <v>2029</v>
      </c>
      <c r="K564" t="s">
        <v>994</v>
      </c>
      <c r="L564" t="s">
        <v>994</v>
      </c>
      <c r="Q564" t="b">
        <v>1</v>
      </c>
      <c r="R564" t="b">
        <v>0</v>
      </c>
      <c r="T564" t="s">
        <v>994</v>
      </c>
      <c r="U564" t="s">
        <v>2087</v>
      </c>
      <c r="V564" t="s">
        <v>997</v>
      </c>
      <c r="W564" t="s">
        <v>1035</v>
      </c>
      <c r="X564" t="s">
        <v>994</v>
      </c>
    </row>
    <row r="565" spans="1:24" x14ac:dyDescent="0.25">
      <c r="A565" t="s">
        <v>44</v>
      </c>
      <c r="B565" t="s">
        <v>2102</v>
      </c>
      <c r="C565" t="s">
        <v>459</v>
      </c>
      <c r="E565" t="s">
        <v>992</v>
      </c>
      <c r="F565">
        <v>0</v>
      </c>
      <c r="G565" t="s">
        <v>2087</v>
      </c>
      <c r="H565" t="s">
        <v>2103</v>
      </c>
      <c r="J565" t="s">
        <v>2029</v>
      </c>
      <c r="K565" t="s">
        <v>994</v>
      </c>
      <c r="L565" t="s">
        <v>994</v>
      </c>
      <c r="Q565" t="b">
        <v>1</v>
      </c>
      <c r="R565" t="b">
        <v>0</v>
      </c>
      <c r="T565" t="s">
        <v>994</v>
      </c>
      <c r="U565" t="s">
        <v>2087</v>
      </c>
      <c r="V565" t="s">
        <v>997</v>
      </c>
      <c r="W565" t="s">
        <v>1035</v>
      </c>
      <c r="X565" t="s">
        <v>994</v>
      </c>
    </row>
    <row r="566" spans="1:24" x14ac:dyDescent="0.25">
      <c r="A566" t="s">
        <v>44</v>
      </c>
      <c r="B566" t="s">
        <v>2104</v>
      </c>
      <c r="C566" t="s">
        <v>459</v>
      </c>
      <c r="E566" t="s">
        <v>1000</v>
      </c>
      <c r="F566">
        <v>0</v>
      </c>
      <c r="G566" t="s">
        <v>2087</v>
      </c>
      <c r="H566" t="s">
        <v>2103</v>
      </c>
      <c r="J566" t="s">
        <v>2029</v>
      </c>
      <c r="K566" t="s">
        <v>994</v>
      </c>
      <c r="L566" t="s">
        <v>994</v>
      </c>
      <c r="Q566" t="b">
        <v>1</v>
      </c>
      <c r="R566" t="b">
        <v>0</v>
      </c>
      <c r="T566" t="s">
        <v>994</v>
      </c>
      <c r="U566" t="s">
        <v>2087</v>
      </c>
      <c r="V566" t="s">
        <v>997</v>
      </c>
      <c r="W566" t="s">
        <v>1035</v>
      </c>
      <c r="X566" t="s">
        <v>994</v>
      </c>
    </row>
    <row r="567" spans="1:24" x14ac:dyDescent="0.25">
      <c r="A567" t="s">
        <v>44</v>
      </c>
      <c r="B567" t="s">
        <v>2105</v>
      </c>
      <c r="C567" t="s">
        <v>459</v>
      </c>
      <c r="E567" t="s">
        <v>1002</v>
      </c>
      <c r="F567">
        <v>0</v>
      </c>
      <c r="G567" t="s">
        <v>2087</v>
      </c>
      <c r="H567" t="s">
        <v>2103</v>
      </c>
      <c r="J567" t="s">
        <v>2029</v>
      </c>
      <c r="K567" t="s">
        <v>994</v>
      </c>
      <c r="L567" t="s">
        <v>994</v>
      </c>
      <c r="Q567" t="b">
        <v>1</v>
      </c>
      <c r="R567" t="b">
        <v>0</v>
      </c>
      <c r="T567" t="s">
        <v>994</v>
      </c>
      <c r="U567" t="s">
        <v>2087</v>
      </c>
      <c r="V567" t="s">
        <v>997</v>
      </c>
      <c r="W567" t="s">
        <v>1035</v>
      </c>
      <c r="X567" t="s">
        <v>994</v>
      </c>
    </row>
    <row r="568" spans="1:24" x14ac:dyDescent="0.25">
      <c r="A568" t="s">
        <v>44</v>
      </c>
      <c r="B568" t="s">
        <v>2106</v>
      </c>
      <c r="C568" t="s">
        <v>459</v>
      </c>
      <c r="E568" t="s">
        <v>1004</v>
      </c>
      <c r="F568">
        <v>0</v>
      </c>
      <c r="G568" t="s">
        <v>2087</v>
      </c>
      <c r="H568" t="s">
        <v>2103</v>
      </c>
      <c r="J568" t="s">
        <v>2029</v>
      </c>
      <c r="K568" t="s">
        <v>994</v>
      </c>
      <c r="L568" t="s">
        <v>994</v>
      </c>
      <c r="Q568" t="b">
        <v>1</v>
      </c>
      <c r="R568" t="b">
        <v>0</v>
      </c>
      <c r="T568" t="s">
        <v>994</v>
      </c>
      <c r="U568" t="s">
        <v>2087</v>
      </c>
      <c r="V568" t="s">
        <v>997</v>
      </c>
      <c r="W568" t="s">
        <v>1035</v>
      </c>
      <c r="X568" t="s">
        <v>994</v>
      </c>
    </row>
    <row r="569" spans="1:24" x14ac:dyDescent="0.25">
      <c r="A569" t="s">
        <v>44</v>
      </c>
      <c r="B569" t="s">
        <v>2107</v>
      </c>
      <c r="C569" t="s">
        <v>459</v>
      </c>
      <c r="E569" t="s">
        <v>1006</v>
      </c>
      <c r="F569">
        <v>0</v>
      </c>
      <c r="G569" t="s">
        <v>2087</v>
      </c>
      <c r="H569" t="s">
        <v>2103</v>
      </c>
      <c r="J569" t="s">
        <v>2029</v>
      </c>
      <c r="K569" t="s">
        <v>994</v>
      </c>
      <c r="L569" t="s">
        <v>994</v>
      </c>
      <c r="Q569" t="b">
        <v>1</v>
      </c>
      <c r="R569" t="b">
        <v>0</v>
      </c>
      <c r="T569" t="s">
        <v>994</v>
      </c>
      <c r="U569" t="s">
        <v>2087</v>
      </c>
      <c r="V569" t="s">
        <v>997</v>
      </c>
      <c r="W569" t="s">
        <v>1035</v>
      </c>
      <c r="X569" t="s">
        <v>994</v>
      </c>
    </row>
    <row r="570" spans="1:24" x14ac:dyDescent="0.25">
      <c r="A570" t="s">
        <v>44</v>
      </c>
      <c r="B570" t="s">
        <v>2108</v>
      </c>
      <c r="C570" t="s">
        <v>459</v>
      </c>
      <c r="E570" t="s">
        <v>1008</v>
      </c>
      <c r="F570">
        <v>0</v>
      </c>
      <c r="G570" t="s">
        <v>2087</v>
      </c>
      <c r="H570" t="s">
        <v>2103</v>
      </c>
      <c r="J570" t="s">
        <v>2029</v>
      </c>
      <c r="K570" t="s">
        <v>994</v>
      </c>
      <c r="L570" t="s">
        <v>994</v>
      </c>
      <c r="Q570" t="b">
        <v>1</v>
      </c>
      <c r="R570" t="b">
        <v>0</v>
      </c>
      <c r="T570" t="s">
        <v>994</v>
      </c>
      <c r="U570" t="s">
        <v>2087</v>
      </c>
      <c r="V570" t="s">
        <v>997</v>
      </c>
      <c r="W570" t="s">
        <v>1035</v>
      </c>
      <c r="X570" t="s">
        <v>994</v>
      </c>
    </row>
    <row r="571" spans="1:24" x14ac:dyDescent="0.25">
      <c r="A571" t="s">
        <v>44</v>
      </c>
      <c r="B571" t="s">
        <v>2109</v>
      </c>
      <c r="C571" t="s">
        <v>459</v>
      </c>
      <c r="E571" t="s">
        <v>1010</v>
      </c>
      <c r="F571">
        <v>0</v>
      </c>
      <c r="G571" t="s">
        <v>2087</v>
      </c>
      <c r="H571" t="s">
        <v>2103</v>
      </c>
      <c r="J571" t="s">
        <v>2029</v>
      </c>
      <c r="K571" t="s">
        <v>994</v>
      </c>
      <c r="L571" t="s">
        <v>994</v>
      </c>
      <c r="Q571" t="b">
        <v>1</v>
      </c>
      <c r="R571" t="b">
        <v>0</v>
      </c>
      <c r="T571" t="s">
        <v>994</v>
      </c>
      <c r="U571" t="s">
        <v>2087</v>
      </c>
      <c r="V571" t="s">
        <v>997</v>
      </c>
      <c r="W571" t="s">
        <v>1035</v>
      </c>
      <c r="X571" t="s">
        <v>994</v>
      </c>
    </row>
    <row r="572" spans="1:24" x14ac:dyDescent="0.25">
      <c r="A572" t="s">
        <v>44</v>
      </c>
      <c r="B572" t="s">
        <v>2110</v>
      </c>
      <c r="C572" t="s">
        <v>459</v>
      </c>
      <c r="E572" t="s">
        <v>1012</v>
      </c>
      <c r="F572">
        <v>0</v>
      </c>
      <c r="G572" t="s">
        <v>2087</v>
      </c>
      <c r="H572" t="s">
        <v>2103</v>
      </c>
      <c r="J572" t="s">
        <v>2029</v>
      </c>
      <c r="K572" t="s">
        <v>994</v>
      </c>
      <c r="L572" t="s">
        <v>994</v>
      </c>
      <c r="Q572" t="b">
        <v>1</v>
      </c>
      <c r="R572" t="b">
        <v>0</v>
      </c>
      <c r="T572" t="s">
        <v>994</v>
      </c>
      <c r="U572" t="s">
        <v>2087</v>
      </c>
      <c r="V572" t="s">
        <v>997</v>
      </c>
      <c r="W572" t="s">
        <v>1035</v>
      </c>
      <c r="X572" t="s">
        <v>994</v>
      </c>
    </row>
    <row r="573" spans="1:24" x14ac:dyDescent="0.25">
      <c r="A573" t="s">
        <v>44</v>
      </c>
      <c r="B573" t="s">
        <v>2111</v>
      </c>
      <c r="C573" t="s">
        <v>459</v>
      </c>
      <c r="E573" t="s">
        <v>1014</v>
      </c>
      <c r="F573">
        <v>0</v>
      </c>
      <c r="G573" t="s">
        <v>2087</v>
      </c>
      <c r="H573" t="s">
        <v>2103</v>
      </c>
      <c r="J573" t="s">
        <v>2029</v>
      </c>
      <c r="K573" t="s">
        <v>994</v>
      </c>
      <c r="L573" t="s">
        <v>994</v>
      </c>
      <c r="Q573" t="b">
        <v>1</v>
      </c>
      <c r="R573" t="b">
        <v>0</v>
      </c>
      <c r="T573" t="s">
        <v>994</v>
      </c>
      <c r="U573" t="s">
        <v>2087</v>
      </c>
      <c r="V573" t="s">
        <v>997</v>
      </c>
      <c r="W573" t="s">
        <v>1035</v>
      </c>
      <c r="X573" t="s">
        <v>994</v>
      </c>
    </row>
    <row r="574" spans="1:24" x14ac:dyDescent="0.25">
      <c r="A574" t="s">
        <v>44</v>
      </c>
      <c r="B574" t="s">
        <v>2112</v>
      </c>
      <c r="C574" t="s">
        <v>459</v>
      </c>
      <c r="E574" t="s">
        <v>1016</v>
      </c>
      <c r="F574">
        <v>0</v>
      </c>
      <c r="G574" t="s">
        <v>2087</v>
      </c>
      <c r="H574" t="s">
        <v>2103</v>
      </c>
      <c r="J574" t="s">
        <v>2029</v>
      </c>
      <c r="K574" t="s">
        <v>994</v>
      </c>
      <c r="L574" t="s">
        <v>994</v>
      </c>
      <c r="Q574" t="b">
        <v>1</v>
      </c>
      <c r="R574" t="b">
        <v>0</v>
      </c>
      <c r="T574" t="s">
        <v>994</v>
      </c>
      <c r="U574" t="s">
        <v>2087</v>
      </c>
      <c r="V574" t="s">
        <v>997</v>
      </c>
      <c r="W574" t="s">
        <v>1035</v>
      </c>
      <c r="X574" t="s">
        <v>994</v>
      </c>
    </row>
    <row r="575" spans="1:24" x14ac:dyDescent="0.25">
      <c r="A575" t="s">
        <v>44</v>
      </c>
      <c r="B575" t="s">
        <v>2113</v>
      </c>
      <c r="C575" t="s">
        <v>459</v>
      </c>
      <c r="E575" t="s">
        <v>1018</v>
      </c>
      <c r="F575">
        <v>0</v>
      </c>
      <c r="G575" t="s">
        <v>2087</v>
      </c>
      <c r="H575" t="s">
        <v>2103</v>
      </c>
      <c r="J575" t="s">
        <v>2029</v>
      </c>
      <c r="K575" t="s">
        <v>994</v>
      </c>
      <c r="L575" t="s">
        <v>994</v>
      </c>
      <c r="Q575" t="b">
        <v>1</v>
      </c>
      <c r="R575" t="b">
        <v>0</v>
      </c>
      <c r="T575" t="s">
        <v>994</v>
      </c>
      <c r="U575" t="s">
        <v>2087</v>
      </c>
      <c r="V575" t="s">
        <v>997</v>
      </c>
      <c r="W575" t="s">
        <v>1035</v>
      </c>
      <c r="X575" t="s">
        <v>994</v>
      </c>
    </row>
    <row r="576" spans="1:24" x14ac:dyDescent="0.25">
      <c r="A576" t="s">
        <v>44</v>
      </c>
      <c r="B576" t="s">
        <v>2114</v>
      </c>
      <c r="C576" t="s">
        <v>459</v>
      </c>
      <c r="E576" t="s">
        <v>1020</v>
      </c>
      <c r="F576">
        <v>0</v>
      </c>
      <c r="G576" t="s">
        <v>2087</v>
      </c>
      <c r="H576" t="s">
        <v>2103</v>
      </c>
      <c r="J576" t="s">
        <v>2029</v>
      </c>
      <c r="K576" t="s">
        <v>994</v>
      </c>
      <c r="L576" t="s">
        <v>994</v>
      </c>
      <c r="Q576" t="b">
        <v>1</v>
      </c>
      <c r="R576" t="b">
        <v>0</v>
      </c>
      <c r="T576" t="s">
        <v>994</v>
      </c>
      <c r="U576" t="s">
        <v>2087</v>
      </c>
      <c r="V576" t="s">
        <v>997</v>
      </c>
      <c r="W576" t="s">
        <v>1035</v>
      </c>
      <c r="X576" t="s">
        <v>994</v>
      </c>
    </row>
    <row r="577" spans="1:24" x14ac:dyDescent="0.25">
      <c r="A577" t="s">
        <v>44</v>
      </c>
      <c r="B577" t="s">
        <v>2115</v>
      </c>
      <c r="C577" t="s">
        <v>459</v>
      </c>
      <c r="E577" t="s">
        <v>1022</v>
      </c>
      <c r="F577">
        <v>0</v>
      </c>
      <c r="G577" t="s">
        <v>2087</v>
      </c>
      <c r="H577" t="s">
        <v>2103</v>
      </c>
      <c r="J577" t="s">
        <v>2029</v>
      </c>
      <c r="K577" t="s">
        <v>994</v>
      </c>
      <c r="L577" t="s">
        <v>994</v>
      </c>
      <c r="Q577" t="b">
        <v>1</v>
      </c>
      <c r="R577" t="b">
        <v>0</v>
      </c>
      <c r="T577" t="s">
        <v>994</v>
      </c>
      <c r="U577" t="s">
        <v>2087</v>
      </c>
      <c r="V577" t="s">
        <v>997</v>
      </c>
      <c r="W577" t="s">
        <v>1035</v>
      </c>
      <c r="X577" t="s">
        <v>994</v>
      </c>
    </row>
    <row r="578" spans="1:24" x14ac:dyDescent="0.25">
      <c r="A578" t="s">
        <v>42</v>
      </c>
      <c r="B578" t="s">
        <v>2116</v>
      </c>
      <c r="C578" t="s">
        <v>268</v>
      </c>
      <c r="E578" t="s">
        <v>992</v>
      </c>
      <c r="F578">
        <v>69787</v>
      </c>
      <c r="G578" t="s">
        <v>2087</v>
      </c>
      <c r="H578" t="s">
        <v>2117</v>
      </c>
      <c r="J578" t="s">
        <v>995</v>
      </c>
      <c r="K578" t="s">
        <v>1027</v>
      </c>
      <c r="L578" t="s">
        <v>994</v>
      </c>
      <c r="Q578" t="b">
        <v>1</v>
      </c>
      <c r="R578" t="b">
        <v>0</v>
      </c>
      <c r="T578" t="s">
        <v>994</v>
      </c>
      <c r="U578" t="s">
        <v>1061</v>
      </c>
      <c r="V578" t="s">
        <v>997</v>
      </c>
      <c r="W578" t="s">
        <v>1035</v>
      </c>
      <c r="X578" t="s">
        <v>2118</v>
      </c>
    </row>
    <row r="579" spans="1:24" x14ac:dyDescent="0.25">
      <c r="A579" t="s">
        <v>42</v>
      </c>
      <c r="B579" t="s">
        <v>2119</v>
      </c>
      <c r="C579" t="s">
        <v>268</v>
      </c>
      <c r="E579" t="s">
        <v>1000</v>
      </c>
      <c r="F579">
        <v>74604</v>
      </c>
      <c r="G579" t="s">
        <v>2087</v>
      </c>
      <c r="H579" t="s">
        <v>2117</v>
      </c>
      <c r="J579" t="s">
        <v>995</v>
      </c>
      <c r="K579" t="s">
        <v>1039</v>
      </c>
      <c r="L579" t="s">
        <v>994</v>
      </c>
      <c r="Q579" t="b">
        <v>1</v>
      </c>
      <c r="R579" t="b">
        <v>0</v>
      </c>
      <c r="T579" t="s">
        <v>994</v>
      </c>
      <c r="U579" t="s">
        <v>1061</v>
      </c>
      <c r="V579" t="s">
        <v>997</v>
      </c>
      <c r="W579" t="s">
        <v>1035</v>
      </c>
      <c r="X579" t="s">
        <v>2118</v>
      </c>
    </row>
    <row r="580" spans="1:24" x14ac:dyDescent="0.25">
      <c r="A580" t="s">
        <v>42</v>
      </c>
      <c r="B580" t="s">
        <v>2120</v>
      </c>
      <c r="C580" t="s">
        <v>268</v>
      </c>
      <c r="E580" t="s">
        <v>1002</v>
      </c>
      <c r="F580">
        <v>76693</v>
      </c>
      <c r="G580" t="s">
        <v>2087</v>
      </c>
      <c r="H580" t="s">
        <v>2117</v>
      </c>
      <c r="J580" t="s">
        <v>995</v>
      </c>
      <c r="K580" t="s">
        <v>1046</v>
      </c>
      <c r="L580" t="s">
        <v>994</v>
      </c>
      <c r="Q580" t="b">
        <v>1</v>
      </c>
      <c r="R580" t="b">
        <v>0</v>
      </c>
      <c r="T580" t="s">
        <v>994</v>
      </c>
      <c r="U580" t="s">
        <v>1061</v>
      </c>
      <c r="V580" t="s">
        <v>997</v>
      </c>
      <c r="W580" t="s">
        <v>1035</v>
      </c>
      <c r="X580" t="s">
        <v>2118</v>
      </c>
    </row>
    <row r="581" spans="1:24" x14ac:dyDescent="0.25">
      <c r="A581" t="s">
        <v>42</v>
      </c>
      <c r="B581" t="s">
        <v>2121</v>
      </c>
      <c r="C581" t="s">
        <v>268</v>
      </c>
      <c r="E581" t="s">
        <v>1004</v>
      </c>
      <c r="F581">
        <v>86310</v>
      </c>
      <c r="G581" t="s">
        <v>2087</v>
      </c>
      <c r="H581" t="s">
        <v>2117</v>
      </c>
      <c r="J581" t="s">
        <v>995</v>
      </c>
      <c r="K581" t="s">
        <v>1055</v>
      </c>
      <c r="L581" t="s">
        <v>994</v>
      </c>
      <c r="Q581" t="b">
        <v>1</v>
      </c>
      <c r="R581" t="b">
        <v>0</v>
      </c>
      <c r="T581" t="s">
        <v>994</v>
      </c>
      <c r="U581" t="s">
        <v>1061</v>
      </c>
      <c r="V581" t="s">
        <v>997</v>
      </c>
      <c r="W581" t="s">
        <v>1035</v>
      </c>
      <c r="X581" t="s">
        <v>994</v>
      </c>
    </row>
    <row r="582" spans="1:24" x14ac:dyDescent="0.25">
      <c r="A582" t="s">
        <v>42</v>
      </c>
      <c r="B582" t="s">
        <v>2122</v>
      </c>
      <c r="C582" t="s">
        <v>268</v>
      </c>
      <c r="E582" t="s">
        <v>1006</v>
      </c>
      <c r="F582">
        <v>80539</v>
      </c>
      <c r="G582" t="s">
        <v>2087</v>
      </c>
      <c r="H582" t="s">
        <v>2117</v>
      </c>
      <c r="J582" t="s">
        <v>995</v>
      </c>
      <c r="K582" t="s">
        <v>1065</v>
      </c>
      <c r="L582" t="s">
        <v>994</v>
      </c>
      <c r="Q582" t="b">
        <v>1</v>
      </c>
      <c r="R582" t="b">
        <v>0</v>
      </c>
      <c r="T582" t="s">
        <v>994</v>
      </c>
      <c r="U582" t="s">
        <v>1061</v>
      </c>
      <c r="V582" t="s">
        <v>997</v>
      </c>
      <c r="W582" t="s">
        <v>1035</v>
      </c>
      <c r="X582" t="s">
        <v>2118</v>
      </c>
    </row>
    <row r="583" spans="1:24" x14ac:dyDescent="0.25">
      <c r="A583" t="s">
        <v>42</v>
      </c>
      <c r="B583" t="s">
        <v>2123</v>
      </c>
      <c r="C583" t="s">
        <v>268</v>
      </c>
      <c r="E583" t="s">
        <v>1008</v>
      </c>
      <c r="F583">
        <v>84742</v>
      </c>
      <c r="G583" t="s">
        <v>2087</v>
      </c>
      <c r="H583" t="s">
        <v>2124</v>
      </c>
      <c r="J583" t="s">
        <v>995</v>
      </c>
      <c r="K583" t="s">
        <v>1100</v>
      </c>
      <c r="L583" t="s">
        <v>994</v>
      </c>
      <c r="Q583" t="b">
        <v>1</v>
      </c>
      <c r="R583" t="b">
        <v>0</v>
      </c>
      <c r="T583" t="s">
        <v>994</v>
      </c>
      <c r="U583" t="s">
        <v>1061</v>
      </c>
      <c r="V583" t="s">
        <v>997</v>
      </c>
      <c r="W583" t="s">
        <v>1035</v>
      </c>
      <c r="X583" t="s">
        <v>994</v>
      </c>
    </row>
    <row r="584" spans="1:24" x14ac:dyDescent="0.25">
      <c r="A584" t="s">
        <v>42</v>
      </c>
      <c r="B584" t="s">
        <v>2125</v>
      </c>
      <c r="C584" t="s">
        <v>268</v>
      </c>
      <c r="E584" t="s">
        <v>1010</v>
      </c>
      <c r="F584">
        <v>88268</v>
      </c>
      <c r="G584" t="s">
        <v>2087</v>
      </c>
      <c r="H584" t="s">
        <v>2124</v>
      </c>
      <c r="J584" t="s">
        <v>995</v>
      </c>
      <c r="K584" t="s">
        <v>1107</v>
      </c>
      <c r="L584" t="s">
        <v>994</v>
      </c>
      <c r="Q584" t="b">
        <v>1</v>
      </c>
      <c r="R584" t="b">
        <v>0</v>
      </c>
      <c r="T584" t="s">
        <v>994</v>
      </c>
      <c r="U584" t="s">
        <v>1061</v>
      </c>
      <c r="V584" t="s">
        <v>997</v>
      </c>
      <c r="W584" t="s">
        <v>1035</v>
      </c>
      <c r="X584" t="s">
        <v>994</v>
      </c>
    </row>
    <row r="585" spans="1:24" x14ac:dyDescent="0.25">
      <c r="A585" t="s">
        <v>42</v>
      </c>
      <c r="B585" t="s">
        <v>2126</v>
      </c>
      <c r="C585" t="s">
        <v>268</v>
      </c>
      <c r="E585" t="s">
        <v>1012</v>
      </c>
      <c r="F585">
        <v>96469</v>
      </c>
      <c r="G585" t="s">
        <v>2087</v>
      </c>
      <c r="H585" t="s">
        <v>2124</v>
      </c>
      <c r="J585" t="s">
        <v>995</v>
      </c>
      <c r="K585" t="s">
        <v>1114</v>
      </c>
      <c r="L585" t="s">
        <v>994</v>
      </c>
      <c r="Q585" t="b">
        <v>1</v>
      </c>
      <c r="R585" t="b">
        <v>0</v>
      </c>
      <c r="T585" t="s">
        <v>994</v>
      </c>
      <c r="U585" t="s">
        <v>1061</v>
      </c>
      <c r="V585" t="s">
        <v>997</v>
      </c>
      <c r="W585" t="s">
        <v>1035</v>
      </c>
      <c r="X585" t="s">
        <v>994</v>
      </c>
    </row>
    <row r="586" spans="1:24" x14ac:dyDescent="0.25">
      <c r="A586" t="s">
        <v>42</v>
      </c>
      <c r="B586" t="s">
        <v>2127</v>
      </c>
      <c r="C586" t="s">
        <v>268</v>
      </c>
      <c r="E586" t="s">
        <v>1014</v>
      </c>
      <c r="F586">
        <v>90234</v>
      </c>
      <c r="G586" t="s">
        <v>2087</v>
      </c>
      <c r="H586" t="s">
        <v>2124</v>
      </c>
      <c r="J586" t="s">
        <v>995</v>
      </c>
      <c r="K586" t="s">
        <v>1120</v>
      </c>
      <c r="L586" t="s">
        <v>994</v>
      </c>
      <c r="Q586" t="b">
        <v>1</v>
      </c>
      <c r="R586" t="b">
        <v>0</v>
      </c>
      <c r="T586" t="s">
        <v>994</v>
      </c>
      <c r="U586" t="s">
        <v>1061</v>
      </c>
      <c r="V586" t="s">
        <v>997</v>
      </c>
      <c r="W586" t="s">
        <v>1035</v>
      </c>
      <c r="X586" t="s">
        <v>994</v>
      </c>
    </row>
    <row r="587" spans="1:24" x14ac:dyDescent="0.25">
      <c r="A587" t="s">
        <v>42</v>
      </c>
      <c r="B587" t="s">
        <v>2128</v>
      </c>
      <c r="C587" t="s">
        <v>268</v>
      </c>
      <c r="E587" t="s">
        <v>1016</v>
      </c>
      <c r="F587">
        <v>96428</v>
      </c>
      <c r="G587" t="s">
        <v>2087</v>
      </c>
      <c r="H587" t="s">
        <v>2124</v>
      </c>
      <c r="J587" t="s">
        <v>995</v>
      </c>
      <c r="K587" t="s">
        <v>1100</v>
      </c>
      <c r="L587" t="s">
        <v>994</v>
      </c>
      <c r="Q587" t="b">
        <v>1</v>
      </c>
      <c r="R587" t="b">
        <v>0</v>
      </c>
      <c r="T587" t="s">
        <v>994</v>
      </c>
      <c r="U587" t="s">
        <v>1061</v>
      </c>
      <c r="V587" t="s">
        <v>997</v>
      </c>
      <c r="W587" t="s">
        <v>1035</v>
      </c>
      <c r="X587" t="s">
        <v>994</v>
      </c>
    </row>
    <row r="588" spans="1:24" x14ac:dyDescent="0.25">
      <c r="A588" t="s">
        <v>42</v>
      </c>
      <c r="B588" t="s">
        <v>2129</v>
      </c>
      <c r="C588" t="s">
        <v>268</v>
      </c>
      <c r="E588" t="s">
        <v>1018</v>
      </c>
      <c r="F588">
        <v>102346</v>
      </c>
      <c r="G588" t="s">
        <v>2087</v>
      </c>
      <c r="H588" t="s">
        <v>2124</v>
      </c>
      <c r="J588" t="s">
        <v>995</v>
      </c>
      <c r="K588" t="s">
        <v>1107</v>
      </c>
      <c r="L588" t="s">
        <v>994</v>
      </c>
      <c r="Q588" t="b">
        <v>1</v>
      </c>
      <c r="R588" t="b">
        <v>0</v>
      </c>
      <c r="T588" t="s">
        <v>994</v>
      </c>
      <c r="U588" t="s">
        <v>1061</v>
      </c>
      <c r="V588" t="s">
        <v>997</v>
      </c>
      <c r="W588" t="s">
        <v>1035</v>
      </c>
      <c r="X588" t="s">
        <v>994</v>
      </c>
    </row>
    <row r="589" spans="1:24" x14ac:dyDescent="0.25">
      <c r="A589" t="s">
        <v>42</v>
      </c>
      <c r="B589" t="s">
        <v>2130</v>
      </c>
      <c r="C589" t="s">
        <v>268</v>
      </c>
      <c r="E589" t="s">
        <v>1020</v>
      </c>
      <c r="F589">
        <v>113829</v>
      </c>
      <c r="G589" t="s">
        <v>2087</v>
      </c>
      <c r="H589" t="s">
        <v>2124</v>
      </c>
      <c r="J589" t="s">
        <v>995</v>
      </c>
      <c r="K589" t="s">
        <v>1114</v>
      </c>
      <c r="L589" t="s">
        <v>994</v>
      </c>
      <c r="Q589" t="b">
        <v>1</v>
      </c>
      <c r="R589" t="b">
        <v>0</v>
      </c>
      <c r="T589" t="s">
        <v>994</v>
      </c>
      <c r="U589" t="s">
        <v>1061</v>
      </c>
      <c r="V589" t="s">
        <v>997</v>
      </c>
      <c r="W589" t="s">
        <v>1035</v>
      </c>
      <c r="X589" t="s">
        <v>994</v>
      </c>
    </row>
    <row r="590" spans="1:24" x14ac:dyDescent="0.25">
      <c r="A590" t="s">
        <v>42</v>
      </c>
      <c r="B590" t="s">
        <v>2131</v>
      </c>
      <c r="C590" t="s">
        <v>268</v>
      </c>
      <c r="E590" t="s">
        <v>1022</v>
      </c>
      <c r="F590">
        <v>109896</v>
      </c>
      <c r="G590" t="s">
        <v>2087</v>
      </c>
      <c r="H590" t="s">
        <v>2124</v>
      </c>
      <c r="J590" t="s">
        <v>995</v>
      </c>
      <c r="K590" t="s">
        <v>1120</v>
      </c>
      <c r="L590" t="s">
        <v>994</v>
      </c>
      <c r="Q590" t="b">
        <v>1</v>
      </c>
      <c r="R590" t="b">
        <v>0</v>
      </c>
      <c r="T590" t="s">
        <v>994</v>
      </c>
      <c r="U590" t="s">
        <v>1061</v>
      </c>
      <c r="V590" t="s">
        <v>997</v>
      </c>
      <c r="W590" t="s">
        <v>1035</v>
      </c>
      <c r="X590" t="s">
        <v>994</v>
      </c>
    </row>
    <row r="591" spans="1:24" x14ac:dyDescent="0.25">
      <c r="A591" t="s">
        <v>42</v>
      </c>
      <c r="B591" t="s">
        <v>1694</v>
      </c>
      <c r="C591" t="s">
        <v>343</v>
      </c>
      <c r="E591" t="s">
        <v>992</v>
      </c>
      <c r="F591">
        <v>26937</v>
      </c>
      <c r="G591" t="s">
        <v>2087</v>
      </c>
      <c r="H591" t="s">
        <v>486</v>
      </c>
      <c r="J591" t="s">
        <v>1401</v>
      </c>
      <c r="K591" t="s">
        <v>1027</v>
      </c>
      <c r="L591" t="s">
        <v>994</v>
      </c>
      <c r="Q591" t="b">
        <v>1</v>
      </c>
      <c r="R591" t="b">
        <v>0</v>
      </c>
      <c r="T591" t="s">
        <v>994</v>
      </c>
      <c r="U591" t="s">
        <v>2132</v>
      </c>
      <c r="V591" t="s">
        <v>1062</v>
      </c>
      <c r="W591" t="s">
        <v>1035</v>
      </c>
      <c r="X591" t="s">
        <v>994</v>
      </c>
    </row>
    <row r="592" spans="1:24" x14ac:dyDescent="0.25">
      <c r="A592" t="s">
        <v>42</v>
      </c>
      <c r="B592" t="s">
        <v>1698</v>
      </c>
      <c r="C592" t="s">
        <v>343</v>
      </c>
      <c r="E592" t="s">
        <v>1000</v>
      </c>
      <c r="F592">
        <v>25516</v>
      </c>
      <c r="G592" t="s">
        <v>2087</v>
      </c>
      <c r="H592" t="s">
        <v>486</v>
      </c>
      <c r="J592" t="s">
        <v>1401</v>
      </c>
      <c r="K592" t="s">
        <v>1039</v>
      </c>
      <c r="L592" t="s">
        <v>994</v>
      </c>
      <c r="Q592" t="b">
        <v>1</v>
      </c>
      <c r="R592" t="b">
        <v>0</v>
      </c>
      <c r="T592" t="s">
        <v>994</v>
      </c>
      <c r="U592" t="s">
        <v>2132</v>
      </c>
      <c r="V592" t="s">
        <v>1062</v>
      </c>
      <c r="W592" t="s">
        <v>1035</v>
      </c>
      <c r="X592" t="s">
        <v>994</v>
      </c>
    </row>
    <row r="593" spans="1:24" x14ac:dyDescent="0.25">
      <c r="A593" t="s">
        <v>42</v>
      </c>
      <c r="B593" t="s">
        <v>1700</v>
      </c>
      <c r="C593" t="s">
        <v>343</v>
      </c>
      <c r="E593" t="s">
        <v>1002</v>
      </c>
      <c r="F593">
        <v>24885</v>
      </c>
      <c r="G593" t="s">
        <v>2087</v>
      </c>
      <c r="H593" t="s">
        <v>486</v>
      </c>
      <c r="J593" t="s">
        <v>1401</v>
      </c>
      <c r="K593" t="s">
        <v>1046</v>
      </c>
      <c r="L593" t="s">
        <v>994</v>
      </c>
      <c r="Q593" t="b">
        <v>1</v>
      </c>
      <c r="R593" t="b">
        <v>0</v>
      </c>
      <c r="T593" t="s">
        <v>994</v>
      </c>
      <c r="U593" t="s">
        <v>2132</v>
      </c>
      <c r="V593" t="s">
        <v>1062</v>
      </c>
      <c r="W593" t="s">
        <v>1035</v>
      </c>
      <c r="X593" t="s">
        <v>994</v>
      </c>
    </row>
    <row r="594" spans="1:24" x14ac:dyDescent="0.25">
      <c r="A594" t="s">
        <v>42</v>
      </c>
      <c r="B594" t="s">
        <v>1702</v>
      </c>
      <c r="C594" t="s">
        <v>343</v>
      </c>
      <c r="E594" t="s">
        <v>1004</v>
      </c>
      <c r="F594">
        <v>25129</v>
      </c>
      <c r="G594" t="s">
        <v>2087</v>
      </c>
      <c r="H594" t="s">
        <v>486</v>
      </c>
      <c r="J594" t="s">
        <v>1401</v>
      </c>
      <c r="K594" t="s">
        <v>1055</v>
      </c>
      <c r="L594" t="s">
        <v>994</v>
      </c>
      <c r="Q594" t="b">
        <v>1</v>
      </c>
      <c r="R594" t="b">
        <v>0</v>
      </c>
      <c r="T594" t="s">
        <v>994</v>
      </c>
      <c r="U594" t="s">
        <v>2132</v>
      </c>
      <c r="V594" t="s">
        <v>1062</v>
      </c>
      <c r="W594" t="s">
        <v>1035</v>
      </c>
      <c r="X594" t="s">
        <v>994</v>
      </c>
    </row>
    <row r="595" spans="1:24" x14ac:dyDescent="0.25">
      <c r="A595" t="s">
        <v>42</v>
      </c>
      <c r="B595" t="s">
        <v>1704</v>
      </c>
      <c r="C595" t="s">
        <v>343</v>
      </c>
      <c r="E595" t="s">
        <v>1006</v>
      </c>
      <c r="F595">
        <v>21664</v>
      </c>
      <c r="G595" t="s">
        <v>2087</v>
      </c>
      <c r="H595" t="s">
        <v>486</v>
      </c>
      <c r="J595" t="s">
        <v>1401</v>
      </c>
      <c r="K595" t="s">
        <v>1065</v>
      </c>
      <c r="L595" t="s">
        <v>994</v>
      </c>
      <c r="Q595" t="b">
        <v>1</v>
      </c>
      <c r="R595" t="b">
        <v>0</v>
      </c>
      <c r="T595" t="s">
        <v>994</v>
      </c>
      <c r="U595" t="s">
        <v>2132</v>
      </c>
      <c r="V595" t="s">
        <v>1062</v>
      </c>
      <c r="W595" t="s">
        <v>1035</v>
      </c>
      <c r="X595" t="s">
        <v>994</v>
      </c>
    </row>
    <row r="596" spans="1:24" x14ac:dyDescent="0.25">
      <c r="A596" t="s">
        <v>42</v>
      </c>
      <c r="B596" t="s">
        <v>1706</v>
      </c>
      <c r="C596" t="s">
        <v>343</v>
      </c>
      <c r="E596" t="s">
        <v>1008</v>
      </c>
      <c r="F596">
        <v>19676</v>
      </c>
      <c r="G596" t="s">
        <v>2087</v>
      </c>
      <c r="H596" t="s">
        <v>486</v>
      </c>
      <c r="J596" t="s">
        <v>1401</v>
      </c>
      <c r="K596" t="s">
        <v>1072</v>
      </c>
      <c r="L596" t="s">
        <v>994</v>
      </c>
      <c r="Q596" t="b">
        <v>1</v>
      </c>
      <c r="R596" t="b">
        <v>0</v>
      </c>
      <c r="T596" t="s">
        <v>994</v>
      </c>
      <c r="U596" t="s">
        <v>2132</v>
      </c>
      <c r="V596" t="s">
        <v>1062</v>
      </c>
      <c r="W596" t="s">
        <v>1035</v>
      </c>
      <c r="X596" t="s">
        <v>994</v>
      </c>
    </row>
    <row r="597" spans="1:24" x14ac:dyDescent="0.25">
      <c r="A597" t="s">
        <v>42</v>
      </c>
      <c r="B597" t="s">
        <v>1708</v>
      </c>
      <c r="C597" t="s">
        <v>343</v>
      </c>
      <c r="E597" t="s">
        <v>1010</v>
      </c>
      <c r="F597">
        <v>20140</v>
      </c>
      <c r="G597" t="s">
        <v>2087</v>
      </c>
      <c r="H597" t="s">
        <v>486</v>
      </c>
      <c r="J597" t="s">
        <v>1401</v>
      </c>
      <c r="K597" t="s">
        <v>1079</v>
      </c>
      <c r="L597" t="s">
        <v>994</v>
      </c>
      <c r="Q597" t="b">
        <v>1</v>
      </c>
      <c r="R597" t="b">
        <v>0</v>
      </c>
      <c r="T597" t="s">
        <v>994</v>
      </c>
      <c r="U597" t="s">
        <v>2132</v>
      </c>
      <c r="V597" t="s">
        <v>1062</v>
      </c>
      <c r="W597" t="s">
        <v>1035</v>
      </c>
      <c r="X597" t="s">
        <v>994</v>
      </c>
    </row>
    <row r="598" spans="1:24" x14ac:dyDescent="0.25">
      <c r="A598" t="s">
        <v>42</v>
      </c>
      <c r="B598" t="s">
        <v>1710</v>
      </c>
      <c r="C598" t="s">
        <v>343</v>
      </c>
      <c r="E598" t="s">
        <v>1012</v>
      </c>
      <c r="F598">
        <v>24654</v>
      </c>
      <c r="G598" t="s">
        <v>2087</v>
      </c>
      <c r="H598" t="s">
        <v>486</v>
      </c>
      <c r="J598" t="s">
        <v>1401</v>
      </c>
      <c r="K598" t="s">
        <v>1086</v>
      </c>
      <c r="L598" t="s">
        <v>994</v>
      </c>
      <c r="Q598" t="b">
        <v>1</v>
      </c>
      <c r="R598" t="b">
        <v>0</v>
      </c>
      <c r="T598" t="s">
        <v>994</v>
      </c>
      <c r="U598" t="s">
        <v>2132</v>
      </c>
      <c r="V598" t="s">
        <v>1062</v>
      </c>
      <c r="W598" t="s">
        <v>1035</v>
      </c>
      <c r="X598" t="s">
        <v>994</v>
      </c>
    </row>
    <row r="599" spans="1:24" x14ac:dyDescent="0.25">
      <c r="A599" t="s">
        <v>42</v>
      </c>
      <c r="B599" t="s">
        <v>1801</v>
      </c>
      <c r="C599" t="s">
        <v>348</v>
      </c>
      <c r="E599" t="s">
        <v>1014</v>
      </c>
      <c r="F599">
        <v>27567</v>
      </c>
      <c r="G599" t="s">
        <v>2087</v>
      </c>
      <c r="H599" t="s">
        <v>486</v>
      </c>
      <c r="J599" t="s">
        <v>1401</v>
      </c>
      <c r="K599" t="s">
        <v>1092</v>
      </c>
      <c r="L599" t="s">
        <v>994</v>
      </c>
      <c r="Q599" t="b">
        <v>1</v>
      </c>
      <c r="R599" t="b">
        <v>0</v>
      </c>
      <c r="T599" t="s">
        <v>994</v>
      </c>
      <c r="U599" t="s">
        <v>2132</v>
      </c>
      <c r="V599" t="s">
        <v>1062</v>
      </c>
      <c r="W599" t="s">
        <v>1035</v>
      </c>
      <c r="X599" t="s">
        <v>994</v>
      </c>
    </row>
    <row r="600" spans="1:24" x14ac:dyDescent="0.25">
      <c r="A600" t="s">
        <v>42</v>
      </c>
      <c r="B600" t="s">
        <v>1803</v>
      </c>
      <c r="C600" t="s">
        <v>348</v>
      </c>
      <c r="E600" t="s">
        <v>1016</v>
      </c>
      <c r="F600">
        <v>28220</v>
      </c>
      <c r="G600" t="s">
        <v>2087</v>
      </c>
      <c r="H600" t="s">
        <v>486</v>
      </c>
      <c r="J600" t="s">
        <v>1401</v>
      </c>
      <c r="K600" t="s">
        <v>1100</v>
      </c>
      <c r="L600" t="s">
        <v>994</v>
      </c>
      <c r="Q600" t="b">
        <v>1</v>
      </c>
      <c r="R600" t="b">
        <v>0</v>
      </c>
      <c r="T600" t="s">
        <v>994</v>
      </c>
      <c r="U600" t="s">
        <v>2132</v>
      </c>
      <c r="V600" t="s">
        <v>1062</v>
      </c>
      <c r="W600" t="s">
        <v>1035</v>
      </c>
      <c r="X600" t="s">
        <v>994</v>
      </c>
    </row>
    <row r="601" spans="1:24" x14ac:dyDescent="0.25">
      <c r="A601" t="s">
        <v>42</v>
      </c>
      <c r="B601" t="s">
        <v>1805</v>
      </c>
      <c r="C601" t="s">
        <v>348</v>
      </c>
      <c r="E601" t="s">
        <v>1018</v>
      </c>
      <c r="F601">
        <v>28445</v>
      </c>
      <c r="G601" t="s">
        <v>2087</v>
      </c>
      <c r="H601" t="s">
        <v>486</v>
      </c>
      <c r="J601" t="s">
        <v>1401</v>
      </c>
      <c r="K601" t="s">
        <v>1107</v>
      </c>
      <c r="L601" t="s">
        <v>994</v>
      </c>
      <c r="Q601" t="b">
        <v>1</v>
      </c>
      <c r="R601" t="b">
        <v>0</v>
      </c>
      <c r="T601" t="s">
        <v>994</v>
      </c>
      <c r="U601" t="s">
        <v>2132</v>
      </c>
      <c r="V601" t="s">
        <v>1062</v>
      </c>
      <c r="W601" t="s">
        <v>1035</v>
      </c>
      <c r="X601" t="s">
        <v>994</v>
      </c>
    </row>
    <row r="602" spans="1:24" x14ac:dyDescent="0.25">
      <c r="A602" t="s">
        <v>42</v>
      </c>
      <c r="B602" t="s">
        <v>1807</v>
      </c>
      <c r="C602" t="s">
        <v>348</v>
      </c>
      <c r="E602" t="s">
        <v>1020</v>
      </c>
      <c r="F602">
        <v>30724</v>
      </c>
      <c r="G602" t="s">
        <v>2087</v>
      </c>
      <c r="H602" t="s">
        <v>486</v>
      </c>
      <c r="J602" t="s">
        <v>1401</v>
      </c>
      <c r="K602" t="s">
        <v>1114</v>
      </c>
      <c r="L602" t="s">
        <v>994</v>
      </c>
      <c r="Q602" t="b">
        <v>1</v>
      </c>
      <c r="R602" t="b">
        <v>0</v>
      </c>
      <c r="T602" t="s">
        <v>994</v>
      </c>
      <c r="U602" t="s">
        <v>2132</v>
      </c>
      <c r="V602" t="s">
        <v>1062</v>
      </c>
      <c r="W602" t="s">
        <v>1035</v>
      </c>
      <c r="X602" t="s">
        <v>994</v>
      </c>
    </row>
    <row r="603" spans="1:24" x14ac:dyDescent="0.25">
      <c r="A603" t="s">
        <v>42</v>
      </c>
      <c r="B603" t="s">
        <v>1720</v>
      </c>
      <c r="C603" t="s">
        <v>343</v>
      </c>
      <c r="E603" t="s">
        <v>1022</v>
      </c>
      <c r="F603">
        <v>37689</v>
      </c>
      <c r="G603" t="s">
        <v>2087</v>
      </c>
      <c r="H603" t="s">
        <v>486</v>
      </c>
      <c r="J603" t="s">
        <v>1401</v>
      </c>
      <c r="K603" t="s">
        <v>1120</v>
      </c>
      <c r="L603" t="s">
        <v>994</v>
      </c>
      <c r="Q603" t="b">
        <v>1</v>
      </c>
      <c r="R603" t="b">
        <v>0</v>
      </c>
      <c r="T603" t="s">
        <v>994</v>
      </c>
      <c r="U603" t="s">
        <v>2132</v>
      </c>
      <c r="V603" t="s">
        <v>1062</v>
      </c>
      <c r="W603" t="s">
        <v>1035</v>
      </c>
      <c r="X603" t="s">
        <v>994</v>
      </c>
    </row>
    <row r="604" spans="1:24" x14ac:dyDescent="0.25">
      <c r="A604" t="s">
        <v>42</v>
      </c>
      <c r="B604" t="s">
        <v>2133</v>
      </c>
      <c r="C604" t="s">
        <v>275</v>
      </c>
      <c r="E604" t="s">
        <v>992</v>
      </c>
      <c r="F604">
        <v>17415</v>
      </c>
      <c r="G604" t="s">
        <v>2087</v>
      </c>
      <c r="H604" t="s">
        <v>2134</v>
      </c>
      <c r="J604" t="s">
        <v>995</v>
      </c>
      <c r="K604" t="s">
        <v>1027</v>
      </c>
      <c r="L604" t="s">
        <v>994</v>
      </c>
      <c r="Q604" t="b">
        <v>1</v>
      </c>
      <c r="R604" t="b">
        <v>0</v>
      </c>
      <c r="T604" t="s">
        <v>994</v>
      </c>
      <c r="U604" t="s">
        <v>1061</v>
      </c>
      <c r="V604" t="s">
        <v>997</v>
      </c>
      <c r="W604" t="s">
        <v>1035</v>
      </c>
      <c r="X604" t="s">
        <v>2135</v>
      </c>
    </row>
    <row r="605" spans="1:24" x14ac:dyDescent="0.25">
      <c r="A605" t="s">
        <v>42</v>
      </c>
      <c r="B605" t="s">
        <v>2136</v>
      </c>
      <c r="C605" t="s">
        <v>275</v>
      </c>
      <c r="E605" t="s">
        <v>1000</v>
      </c>
      <c r="F605">
        <v>21838</v>
      </c>
      <c r="G605" t="s">
        <v>2087</v>
      </c>
      <c r="H605" t="s">
        <v>2134</v>
      </c>
      <c r="J605" t="s">
        <v>995</v>
      </c>
      <c r="K605" t="s">
        <v>1039</v>
      </c>
      <c r="L605" t="s">
        <v>994</v>
      </c>
      <c r="Q605" t="b">
        <v>1</v>
      </c>
      <c r="R605" t="b">
        <v>0</v>
      </c>
      <c r="T605" t="s">
        <v>994</v>
      </c>
      <c r="U605" t="s">
        <v>1061</v>
      </c>
      <c r="V605" t="s">
        <v>997</v>
      </c>
      <c r="W605" t="s">
        <v>1035</v>
      </c>
      <c r="X605" t="s">
        <v>2135</v>
      </c>
    </row>
    <row r="606" spans="1:24" x14ac:dyDescent="0.25">
      <c r="A606" t="s">
        <v>42</v>
      </c>
      <c r="B606" t="s">
        <v>2137</v>
      </c>
      <c r="C606" t="s">
        <v>275</v>
      </c>
      <c r="E606" t="s">
        <v>1002</v>
      </c>
      <c r="F606">
        <v>21343</v>
      </c>
      <c r="G606" t="s">
        <v>2087</v>
      </c>
      <c r="H606" t="s">
        <v>2134</v>
      </c>
      <c r="J606" t="s">
        <v>995</v>
      </c>
      <c r="K606" t="s">
        <v>1046</v>
      </c>
      <c r="L606" t="s">
        <v>994</v>
      </c>
      <c r="Q606" t="b">
        <v>1</v>
      </c>
      <c r="R606" t="b">
        <v>0</v>
      </c>
      <c r="T606" t="s">
        <v>994</v>
      </c>
      <c r="U606" t="s">
        <v>1061</v>
      </c>
      <c r="V606" t="s">
        <v>997</v>
      </c>
      <c r="W606" t="s">
        <v>1035</v>
      </c>
      <c r="X606" t="s">
        <v>2135</v>
      </c>
    </row>
    <row r="607" spans="1:24" x14ac:dyDescent="0.25">
      <c r="A607" t="s">
        <v>42</v>
      </c>
      <c r="B607" t="s">
        <v>2138</v>
      </c>
      <c r="C607" t="s">
        <v>275</v>
      </c>
      <c r="E607" t="s">
        <v>1004</v>
      </c>
      <c r="F607">
        <v>23697</v>
      </c>
      <c r="G607" t="s">
        <v>2087</v>
      </c>
      <c r="H607" t="s">
        <v>2134</v>
      </c>
      <c r="J607" t="s">
        <v>995</v>
      </c>
      <c r="K607" t="s">
        <v>1055</v>
      </c>
      <c r="L607" t="s">
        <v>994</v>
      </c>
      <c r="Q607" t="b">
        <v>1</v>
      </c>
      <c r="R607" t="b">
        <v>0</v>
      </c>
      <c r="T607" t="s">
        <v>994</v>
      </c>
      <c r="U607" t="s">
        <v>1061</v>
      </c>
      <c r="V607" t="s">
        <v>997</v>
      </c>
      <c r="W607" t="s">
        <v>1035</v>
      </c>
      <c r="X607" t="s">
        <v>994</v>
      </c>
    </row>
    <row r="608" spans="1:24" x14ac:dyDescent="0.25">
      <c r="A608" t="s">
        <v>42</v>
      </c>
      <c r="B608" t="s">
        <v>2139</v>
      </c>
      <c r="C608" t="s">
        <v>275</v>
      </c>
      <c r="E608" t="s">
        <v>1006</v>
      </c>
      <c r="F608">
        <v>25472</v>
      </c>
      <c r="G608" t="s">
        <v>2087</v>
      </c>
      <c r="H608" t="s">
        <v>2134</v>
      </c>
      <c r="J608" t="s">
        <v>995</v>
      </c>
      <c r="K608" t="s">
        <v>1065</v>
      </c>
      <c r="L608" t="s">
        <v>994</v>
      </c>
      <c r="Q608" t="b">
        <v>1</v>
      </c>
      <c r="R608" t="b">
        <v>0</v>
      </c>
      <c r="T608" t="s">
        <v>994</v>
      </c>
      <c r="U608" t="s">
        <v>1061</v>
      </c>
      <c r="V608" t="s">
        <v>997</v>
      </c>
      <c r="W608" t="s">
        <v>1035</v>
      </c>
      <c r="X608" t="s">
        <v>2135</v>
      </c>
    </row>
    <row r="609" spans="1:24" x14ac:dyDescent="0.25">
      <c r="A609" t="s">
        <v>42</v>
      </c>
      <c r="B609" t="s">
        <v>2140</v>
      </c>
      <c r="C609" t="s">
        <v>275</v>
      </c>
      <c r="E609" t="s">
        <v>1008</v>
      </c>
      <c r="F609">
        <v>27425</v>
      </c>
      <c r="G609" t="s">
        <v>2087</v>
      </c>
      <c r="H609" t="s">
        <v>2134</v>
      </c>
      <c r="J609" t="s">
        <v>995</v>
      </c>
      <c r="K609" t="s">
        <v>1072</v>
      </c>
      <c r="L609" t="s">
        <v>994</v>
      </c>
      <c r="Q609" t="b">
        <v>1</v>
      </c>
      <c r="R609" t="b">
        <v>0</v>
      </c>
      <c r="T609" t="s">
        <v>994</v>
      </c>
      <c r="U609" t="s">
        <v>1061</v>
      </c>
      <c r="V609" t="s">
        <v>997</v>
      </c>
      <c r="W609" t="s">
        <v>1035</v>
      </c>
      <c r="X609" t="s">
        <v>2135</v>
      </c>
    </row>
    <row r="610" spans="1:24" x14ac:dyDescent="0.25">
      <c r="A610" t="s">
        <v>42</v>
      </c>
      <c r="B610" t="s">
        <v>2141</v>
      </c>
      <c r="C610" t="s">
        <v>275</v>
      </c>
      <c r="E610" t="s">
        <v>1010</v>
      </c>
      <c r="F610">
        <v>28521</v>
      </c>
      <c r="G610" t="s">
        <v>2087</v>
      </c>
      <c r="H610" t="s">
        <v>2134</v>
      </c>
      <c r="J610" t="s">
        <v>995</v>
      </c>
      <c r="K610" t="s">
        <v>1079</v>
      </c>
      <c r="L610" t="s">
        <v>994</v>
      </c>
      <c r="Q610" t="b">
        <v>1</v>
      </c>
      <c r="R610" t="b">
        <v>0</v>
      </c>
      <c r="T610" t="s">
        <v>994</v>
      </c>
      <c r="U610" t="s">
        <v>1061</v>
      </c>
      <c r="V610" t="s">
        <v>997</v>
      </c>
      <c r="W610" t="s">
        <v>1035</v>
      </c>
      <c r="X610" t="s">
        <v>2135</v>
      </c>
    </row>
    <row r="611" spans="1:24" x14ac:dyDescent="0.25">
      <c r="A611" t="s">
        <v>42</v>
      </c>
      <c r="B611" t="s">
        <v>2142</v>
      </c>
      <c r="C611" t="s">
        <v>275</v>
      </c>
      <c r="E611" t="s">
        <v>1012</v>
      </c>
      <c r="F611">
        <v>30972</v>
      </c>
      <c r="G611" t="s">
        <v>2087</v>
      </c>
      <c r="H611" t="s">
        <v>2134</v>
      </c>
      <c r="J611" t="s">
        <v>995</v>
      </c>
      <c r="K611" t="s">
        <v>1086</v>
      </c>
      <c r="L611" t="s">
        <v>994</v>
      </c>
      <c r="Q611" t="b">
        <v>1</v>
      </c>
      <c r="R611" t="b">
        <v>0</v>
      </c>
      <c r="T611" t="s">
        <v>994</v>
      </c>
      <c r="U611" t="s">
        <v>1061</v>
      </c>
      <c r="V611" t="s">
        <v>997</v>
      </c>
      <c r="W611" t="s">
        <v>1035</v>
      </c>
      <c r="X611" t="s">
        <v>994</v>
      </c>
    </row>
    <row r="612" spans="1:24" x14ac:dyDescent="0.25">
      <c r="A612" t="s">
        <v>42</v>
      </c>
      <c r="B612" t="s">
        <v>2143</v>
      </c>
      <c r="C612" t="s">
        <v>275</v>
      </c>
      <c r="E612" t="s">
        <v>1014</v>
      </c>
      <c r="F612">
        <v>30606</v>
      </c>
      <c r="G612" t="s">
        <v>2087</v>
      </c>
      <c r="H612" t="s">
        <v>2134</v>
      </c>
      <c r="J612" t="s">
        <v>995</v>
      </c>
      <c r="K612" t="s">
        <v>1092</v>
      </c>
      <c r="L612" t="s">
        <v>994</v>
      </c>
      <c r="Q612" t="b">
        <v>1</v>
      </c>
      <c r="R612" t="b">
        <v>0</v>
      </c>
      <c r="T612" t="s">
        <v>994</v>
      </c>
      <c r="U612" t="s">
        <v>1061</v>
      </c>
      <c r="V612" t="s">
        <v>997</v>
      </c>
      <c r="W612" t="s">
        <v>1035</v>
      </c>
      <c r="X612" t="s">
        <v>2135</v>
      </c>
    </row>
    <row r="613" spans="1:24" x14ac:dyDescent="0.25">
      <c r="A613" t="s">
        <v>42</v>
      </c>
      <c r="B613" t="s">
        <v>2144</v>
      </c>
      <c r="C613" t="s">
        <v>275</v>
      </c>
      <c r="E613" t="s">
        <v>1016</v>
      </c>
      <c r="F613">
        <v>31271</v>
      </c>
      <c r="G613" t="s">
        <v>2087</v>
      </c>
      <c r="H613" t="s">
        <v>2134</v>
      </c>
      <c r="J613" t="s">
        <v>995</v>
      </c>
      <c r="K613" t="s">
        <v>1100</v>
      </c>
      <c r="L613" t="s">
        <v>994</v>
      </c>
      <c r="Q613" t="b">
        <v>1</v>
      </c>
      <c r="R613" t="b">
        <v>0</v>
      </c>
      <c r="T613" t="s">
        <v>994</v>
      </c>
      <c r="U613" t="s">
        <v>1061</v>
      </c>
      <c r="V613" t="s">
        <v>997</v>
      </c>
      <c r="W613" t="s">
        <v>1035</v>
      </c>
      <c r="X613" t="s">
        <v>2135</v>
      </c>
    </row>
    <row r="614" spans="1:24" x14ac:dyDescent="0.25">
      <c r="A614" t="s">
        <v>42</v>
      </c>
      <c r="B614" t="s">
        <v>2145</v>
      </c>
      <c r="C614" t="s">
        <v>275</v>
      </c>
      <c r="E614" t="s">
        <v>1018</v>
      </c>
      <c r="F614">
        <v>31228</v>
      </c>
      <c r="G614" t="s">
        <v>2087</v>
      </c>
      <c r="H614" t="s">
        <v>2134</v>
      </c>
      <c r="J614" t="s">
        <v>995</v>
      </c>
      <c r="K614" t="s">
        <v>1107</v>
      </c>
      <c r="L614" t="s">
        <v>994</v>
      </c>
      <c r="Q614" t="b">
        <v>1</v>
      </c>
      <c r="R614" t="b">
        <v>0</v>
      </c>
      <c r="T614" t="s">
        <v>994</v>
      </c>
      <c r="U614" t="s">
        <v>1061</v>
      </c>
      <c r="V614" t="s">
        <v>997</v>
      </c>
      <c r="W614" t="s">
        <v>1035</v>
      </c>
      <c r="X614" t="s">
        <v>2135</v>
      </c>
    </row>
    <row r="615" spans="1:24" x14ac:dyDescent="0.25">
      <c r="A615" t="s">
        <v>42</v>
      </c>
      <c r="B615" t="s">
        <v>2146</v>
      </c>
      <c r="C615" t="s">
        <v>275</v>
      </c>
      <c r="E615" t="s">
        <v>1020</v>
      </c>
      <c r="F615">
        <v>35934</v>
      </c>
      <c r="G615" t="s">
        <v>2087</v>
      </c>
      <c r="H615" t="s">
        <v>2134</v>
      </c>
      <c r="J615" t="s">
        <v>995</v>
      </c>
      <c r="K615" t="s">
        <v>1114</v>
      </c>
      <c r="L615" t="s">
        <v>994</v>
      </c>
      <c r="Q615" t="b">
        <v>1</v>
      </c>
      <c r="R615" t="b">
        <v>0</v>
      </c>
      <c r="T615" t="s">
        <v>994</v>
      </c>
      <c r="U615" t="s">
        <v>1061</v>
      </c>
      <c r="V615" t="s">
        <v>997</v>
      </c>
      <c r="W615" t="s">
        <v>1035</v>
      </c>
      <c r="X615" t="s">
        <v>994</v>
      </c>
    </row>
    <row r="616" spans="1:24" x14ac:dyDescent="0.25">
      <c r="A616" t="s">
        <v>42</v>
      </c>
      <c r="B616" t="s">
        <v>2147</v>
      </c>
      <c r="C616" t="s">
        <v>275</v>
      </c>
      <c r="E616" t="s">
        <v>1022</v>
      </c>
      <c r="F616">
        <v>39696</v>
      </c>
      <c r="G616" t="s">
        <v>2087</v>
      </c>
      <c r="H616" t="s">
        <v>2134</v>
      </c>
      <c r="J616" t="s">
        <v>995</v>
      </c>
      <c r="K616" t="s">
        <v>1120</v>
      </c>
      <c r="L616" t="s">
        <v>994</v>
      </c>
      <c r="Q616" t="b">
        <v>1</v>
      </c>
      <c r="R616" t="b">
        <v>0</v>
      </c>
      <c r="T616" t="s">
        <v>994</v>
      </c>
      <c r="U616" t="s">
        <v>1061</v>
      </c>
      <c r="V616" t="s">
        <v>997</v>
      </c>
      <c r="W616" t="s">
        <v>1035</v>
      </c>
      <c r="X616" t="s">
        <v>2135</v>
      </c>
    </row>
    <row r="617" spans="1:24" x14ac:dyDescent="0.25">
      <c r="A617" t="s">
        <v>42</v>
      </c>
      <c r="B617" t="s">
        <v>2133</v>
      </c>
      <c r="C617" t="s">
        <v>275</v>
      </c>
      <c r="E617" t="s">
        <v>992</v>
      </c>
      <c r="F617">
        <v>17415</v>
      </c>
      <c r="G617" t="s">
        <v>2087</v>
      </c>
      <c r="H617" t="s">
        <v>2134</v>
      </c>
      <c r="J617" t="s">
        <v>995</v>
      </c>
      <c r="K617" t="s">
        <v>1027</v>
      </c>
      <c r="L617" t="s">
        <v>994</v>
      </c>
      <c r="Q617" t="b">
        <v>1</v>
      </c>
      <c r="R617" t="b">
        <v>0</v>
      </c>
      <c r="T617" t="s">
        <v>994</v>
      </c>
      <c r="U617" t="s">
        <v>1061</v>
      </c>
      <c r="V617" t="s">
        <v>997</v>
      </c>
      <c r="W617" t="s">
        <v>1035</v>
      </c>
      <c r="X617" t="s">
        <v>2135</v>
      </c>
    </row>
    <row r="618" spans="1:24" x14ac:dyDescent="0.25">
      <c r="A618" t="s">
        <v>42</v>
      </c>
      <c r="B618" t="s">
        <v>2136</v>
      </c>
      <c r="C618" t="s">
        <v>275</v>
      </c>
      <c r="E618" t="s">
        <v>1000</v>
      </c>
      <c r="F618">
        <v>21838</v>
      </c>
      <c r="G618" t="s">
        <v>2087</v>
      </c>
      <c r="H618" t="s">
        <v>2134</v>
      </c>
      <c r="J618" t="s">
        <v>995</v>
      </c>
      <c r="K618" t="s">
        <v>1039</v>
      </c>
      <c r="L618" t="s">
        <v>994</v>
      </c>
      <c r="Q618" t="b">
        <v>1</v>
      </c>
      <c r="R618" t="b">
        <v>0</v>
      </c>
      <c r="T618" t="s">
        <v>994</v>
      </c>
      <c r="U618" t="s">
        <v>1061</v>
      </c>
      <c r="V618" t="s">
        <v>997</v>
      </c>
      <c r="W618" t="s">
        <v>1035</v>
      </c>
      <c r="X618" t="s">
        <v>2135</v>
      </c>
    </row>
    <row r="619" spans="1:24" x14ac:dyDescent="0.25">
      <c r="A619" t="s">
        <v>42</v>
      </c>
      <c r="B619" t="s">
        <v>2137</v>
      </c>
      <c r="C619" t="s">
        <v>275</v>
      </c>
      <c r="E619" t="s">
        <v>1002</v>
      </c>
      <c r="F619">
        <v>21343</v>
      </c>
      <c r="G619" t="s">
        <v>2087</v>
      </c>
      <c r="H619" t="s">
        <v>2134</v>
      </c>
      <c r="J619" t="s">
        <v>995</v>
      </c>
      <c r="K619" t="s">
        <v>1046</v>
      </c>
      <c r="L619" t="s">
        <v>994</v>
      </c>
      <c r="Q619" t="b">
        <v>1</v>
      </c>
      <c r="R619" t="b">
        <v>0</v>
      </c>
      <c r="T619" t="s">
        <v>994</v>
      </c>
      <c r="U619" t="s">
        <v>1061</v>
      </c>
      <c r="V619" t="s">
        <v>997</v>
      </c>
      <c r="W619" t="s">
        <v>1035</v>
      </c>
      <c r="X619" t="s">
        <v>2135</v>
      </c>
    </row>
    <row r="620" spans="1:24" x14ac:dyDescent="0.25">
      <c r="A620" t="s">
        <v>42</v>
      </c>
      <c r="B620" t="s">
        <v>2138</v>
      </c>
      <c r="C620" t="s">
        <v>275</v>
      </c>
      <c r="E620" t="s">
        <v>1004</v>
      </c>
      <c r="F620">
        <v>23697</v>
      </c>
      <c r="G620" t="s">
        <v>2087</v>
      </c>
      <c r="H620" t="s">
        <v>2134</v>
      </c>
      <c r="J620" t="s">
        <v>995</v>
      </c>
      <c r="K620" t="s">
        <v>1055</v>
      </c>
      <c r="L620" t="s">
        <v>994</v>
      </c>
      <c r="Q620" t="b">
        <v>1</v>
      </c>
      <c r="R620" t="b">
        <v>0</v>
      </c>
      <c r="T620" t="s">
        <v>994</v>
      </c>
      <c r="U620" t="s">
        <v>1061</v>
      </c>
      <c r="V620" t="s">
        <v>997</v>
      </c>
      <c r="W620" t="s">
        <v>1035</v>
      </c>
      <c r="X620" t="s">
        <v>994</v>
      </c>
    </row>
    <row r="621" spans="1:24" x14ac:dyDescent="0.25">
      <c r="A621" t="s">
        <v>42</v>
      </c>
      <c r="B621" t="s">
        <v>2139</v>
      </c>
      <c r="C621" t="s">
        <v>275</v>
      </c>
      <c r="E621" t="s">
        <v>1006</v>
      </c>
      <c r="F621">
        <v>25472</v>
      </c>
      <c r="G621" t="s">
        <v>2087</v>
      </c>
      <c r="H621" t="s">
        <v>2134</v>
      </c>
      <c r="J621" t="s">
        <v>995</v>
      </c>
      <c r="K621" t="s">
        <v>1065</v>
      </c>
      <c r="L621" t="s">
        <v>994</v>
      </c>
      <c r="Q621" t="b">
        <v>1</v>
      </c>
      <c r="R621" t="b">
        <v>0</v>
      </c>
      <c r="T621" t="s">
        <v>994</v>
      </c>
      <c r="U621" t="s">
        <v>1061</v>
      </c>
      <c r="V621" t="s">
        <v>997</v>
      </c>
      <c r="W621" t="s">
        <v>1035</v>
      </c>
      <c r="X621" t="s">
        <v>2135</v>
      </c>
    </row>
    <row r="622" spans="1:24" x14ac:dyDescent="0.25">
      <c r="A622" t="s">
        <v>42</v>
      </c>
      <c r="B622" t="s">
        <v>2140</v>
      </c>
      <c r="C622" t="s">
        <v>275</v>
      </c>
      <c r="E622" t="s">
        <v>1008</v>
      </c>
      <c r="F622">
        <v>27425</v>
      </c>
      <c r="G622" t="s">
        <v>2087</v>
      </c>
      <c r="H622" t="s">
        <v>2134</v>
      </c>
      <c r="J622" t="s">
        <v>995</v>
      </c>
      <c r="K622" t="s">
        <v>1072</v>
      </c>
      <c r="L622" t="s">
        <v>994</v>
      </c>
      <c r="Q622" t="b">
        <v>1</v>
      </c>
      <c r="R622" t="b">
        <v>0</v>
      </c>
      <c r="T622" t="s">
        <v>994</v>
      </c>
      <c r="U622" t="s">
        <v>1061</v>
      </c>
      <c r="V622" t="s">
        <v>997</v>
      </c>
      <c r="W622" t="s">
        <v>1035</v>
      </c>
      <c r="X622" t="s">
        <v>2135</v>
      </c>
    </row>
    <row r="623" spans="1:24" x14ac:dyDescent="0.25">
      <c r="A623" t="s">
        <v>42</v>
      </c>
      <c r="B623" t="s">
        <v>2141</v>
      </c>
      <c r="C623" t="s">
        <v>275</v>
      </c>
      <c r="E623" t="s">
        <v>1010</v>
      </c>
      <c r="F623">
        <v>28521</v>
      </c>
      <c r="G623" t="s">
        <v>2087</v>
      </c>
      <c r="H623" t="s">
        <v>2134</v>
      </c>
      <c r="J623" t="s">
        <v>995</v>
      </c>
      <c r="K623" t="s">
        <v>1079</v>
      </c>
      <c r="L623" t="s">
        <v>994</v>
      </c>
      <c r="Q623" t="b">
        <v>1</v>
      </c>
      <c r="R623" t="b">
        <v>0</v>
      </c>
      <c r="T623" t="s">
        <v>994</v>
      </c>
      <c r="U623" t="s">
        <v>1061</v>
      </c>
      <c r="V623" t="s">
        <v>997</v>
      </c>
      <c r="W623" t="s">
        <v>1035</v>
      </c>
      <c r="X623" t="s">
        <v>2135</v>
      </c>
    </row>
    <row r="624" spans="1:24" x14ac:dyDescent="0.25">
      <c r="A624" t="s">
        <v>42</v>
      </c>
      <c r="B624" t="s">
        <v>2142</v>
      </c>
      <c r="C624" t="s">
        <v>275</v>
      </c>
      <c r="E624" t="s">
        <v>1012</v>
      </c>
      <c r="F624">
        <v>30972</v>
      </c>
      <c r="G624" t="s">
        <v>2087</v>
      </c>
      <c r="H624" t="s">
        <v>2134</v>
      </c>
      <c r="J624" t="s">
        <v>995</v>
      </c>
      <c r="K624" t="s">
        <v>1086</v>
      </c>
      <c r="L624" t="s">
        <v>994</v>
      </c>
      <c r="Q624" t="b">
        <v>1</v>
      </c>
      <c r="R624" t="b">
        <v>0</v>
      </c>
      <c r="T624" t="s">
        <v>994</v>
      </c>
      <c r="U624" t="s">
        <v>1061</v>
      </c>
      <c r="V624" t="s">
        <v>997</v>
      </c>
      <c r="W624" t="s">
        <v>1035</v>
      </c>
      <c r="X624" t="s">
        <v>994</v>
      </c>
    </row>
    <row r="625" spans="1:24" x14ac:dyDescent="0.25">
      <c r="A625" t="s">
        <v>42</v>
      </c>
      <c r="B625" t="s">
        <v>2143</v>
      </c>
      <c r="C625" t="s">
        <v>275</v>
      </c>
      <c r="E625" t="s">
        <v>1014</v>
      </c>
      <c r="F625">
        <v>30606</v>
      </c>
      <c r="G625" t="s">
        <v>2087</v>
      </c>
      <c r="H625" t="s">
        <v>2134</v>
      </c>
      <c r="J625" t="s">
        <v>995</v>
      </c>
      <c r="K625" t="s">
        <v>1092</v>
      </c>
      <c r="L625" t="s">
        <v>994</v>
      </c>
      <c r="Q625" t="b">
        <v>1</v>
      </c>
      <c r="R625" t="b">
        <v>0</v>
      </c>
      <c r="T625" t="s">
        <v>994</v>
      </c>
      <c r="U625" t="s">
        <v>1061</v>
      </c>
      <c r="V625" t="s">
        <v>997</v>
      </c>
      <c r="W625" t="s">
        <v>1035</v>
      </c>
      <c r="X625" t="s">
        <v>2135</v>
      </c>
    </row>
    <row r="626" spans="1:24" x14ac:dyDescent="0.25">
      <c r="A626" t="s">
        <v>42</v>
      </c>
      <c r="B626" t="s">
        <v>2144</v>
      </c>
      <c r="C626" t="s">
        <v>275</v>
      </c>
      <c r="E626" t="s">
        <v>1016</v>
      </c>
      <c r="F626">
        <v>31271</v>
      </c>
      <c r="G626" t="s">
        <v>2087</v>
      </c>
      <c r="H626" t="s">
        <v>2134</v>
      </c>
      <c r="J626" t="s">
        <v>995</v>
      </c>
      <c r="K626" t="s">
        <v>1100</v>
      </c>
      <c r="L626" t="s">
        <v>994</v>
      </c>
      <c r="Q626" t="b">
        <v>1</v>
      </c>
      <c r="R626" t="b">
        <v>0</v>
      </c>
      <c r="T626" t="s">
        <v>994</v>
      </c>
      <c r="U626" t="s">
        <v>1061</v>
      </c>
      <c r="V626" t="s">
        <v>997</v>
      </c>
      <c r="W626" t="s">
        <v>1035</v>
      </c>
      <c r="X626" t="s">
        <v>2135</v>
      </c>
    </row>
    <row r="627" spans="1:24" x14ac:dyDescent="0.25">
      <c r="A627" t="s">
        <v>42</v>
      </c>
      <c r="B627" t="s">
        <v>2145</v>
      </c>
      <c r="C627" t="s">
        <v>275</v>
      </c>
      <c r="E627" t="s">
        <v>1018</v>
      </c>
      <c r="F627">
        <v>31228</v>
      </c>
      <c r="G627" t="s">
        <v>2087</v>
      </c>
      <c r="H627" t="s">
        <v>2134</v>
      </c>
      <c r="J627" t="s">
        <v>995</v>
      </c>
      <c r="K627" t="s">
        <v>1107</v>
      </c>
      <c r="L627" t="s">
        <v>994</v>
      </c>
      <c r="Q627" t="b">
        <v>1</v>
      </c>
      <c r="R627" t="b">
        <v>0</v>
      </c>
      <c r="T627" t="s">
        <v>994</v>
      </c>
      <c r="U627" t="s">
        <v>1061</v>
      </c>
      <c r="V627" t="s">
        <v>997</v>
      </c>
      <c r="W627" t="s">
        <v>1035</v>
      </c>
      <c r="X627" t="s">
        <v>2135</v>
      </c>
    </row>
    <row r="628" spans="1:24" x14ac:dyDescent="0.25">
      <c r="A628" t="s">
        <v>42</v>
      </c>
      <c r="B628" t="s">
        <v>2146</v>
      </c>
      <c r="C628" t="s">
        <v>275</v>
      </c>
      <c r="E628" t="s">
        <v>1020</v>
      </c>
      <c r="F628">
        <v>35934</v>
      </c>
      <c r="G628" t="s">
        <v>2087</v>
      </c>
      <c r="H628" t="s">
        <v>2134</v>
      </c>
      <c r="J628" t="s">
        <v>995</v>
      </c>
      <c r="K628" t="s">
        <v>1114</v>
      </c>
      <c r="L628" t="s">
        <v>994</v>
      </c>
      <c r="Q628" t="b">
        <v>1</v>
      </c>
      <c r="R628" t="b">
        <v>0</v>
      </c>
      <c r="T628" t="s">
        <v>994</v>
      </c>
      <c r="U628" t="s">
        <v>1061</v>
      </c>
      <c r="V628" t="s">
        <v>997</v>
      </c>
      <c r="W628" t="s">
        <v>1035</v>
      </c>
      <c r="X628" t="s">
        <v>994</v>
      </c>
    </row>
    <row r="629" spans="1:24" x14ac:dyDescent="0.25">
      <c r="A629" t="s">
        <v>42</v>
      </c>
      <c r="B629" t="s">
        <v>2147</v>
      </c>
      <c r="C629" t="s">
        <v>275</v>
      </c>
      <c r="E629" t="s">
        <v>1022</v>
      </c>
      <c r="F629">
        <v>39696</v>
      </c>
      <c r="G629" t="s">
        <v>2087</v>
      </c>
      <c r="H629" t="s">
        <v>2134</v>
      </c>
      <c r="J629" t="s">
        <v>995</v>
      </c>
      <c r="K629" t="s">
        <v>1120</v>
      </c>
      <c r="L629" t="s">
        <v>994</v>
      </c>
      <c r="Q629" t="b">
        <v>1</v>
      </c>
      <c r="R629" t="b">
        <v>0</v>
      </c>
      <c r="T629" t="s">
        <v>994</v>
      </c>
      <c r="U629" t="s">
        <v>1061</v>
      </c>
      <c r="V629" t="s">
        <v>997</v>
      </c>
      <c r="W629" t="s">
        <v>1035</v>
      </c>
      <c r="X629" t="s">
        <v>2135</v>
      </c>
    </row>
    <row r="630" spans="1:24" x14ac:dyDescent="0.25">
      <c r="A630" t="s">
        <v>42</v>
      </c>
      <c r="B630" t="s">
        <v>2148</v>
      </c>
      <c r="C630" t="s">
        <v>330</v>
      </c>
      <c r="E630" t="s">
        <v>2036</v>
      </c>
      <c r="F630">
        <v>110916</v>
      </c>
      <c r="G630" t="s">
        <v>1052</v>
      </c>
      <c r="H630" t="s">
        <v>1408</v>
      </c>
      <c r="I630" t="s">
        <v>1400</v>
      </c>
      <c r="J630" t="s">
        <v>1401</v>
      </c>
      <c r="K630" t="s">
        <v>1055</v>
      </c>
      <c r="L630" t="s">
        <v>1056</v>
      </c>
      <c r="M630" t="s">
        <v>1057</v>
      </c>
      <c r="N630" t="s">
        <v>1058</v>
      </c>
      <c r="O630" t="s">
        <v>994</v>
      </c>
      <c r="P630" t="s">
        <v>1059</v>
      </c>
      <c r="Q630" t="b">
        <v>1</v>
      </c>
      <c r="R630" t="b">
        <v>0</v>
      </c>
      <c r="S630" t="s">
        <v>2149</v>
      </c>
      <c r="T630" t="s">
        <v>994</v>
      </c>
      <c r="U630" t="s">
        <v>1034</v>
      </c>
      <c r="V630" t="s">
        <v>997</v>
      </c>
      <c r="W630" t="s">
        <v>1035</v>
      </c>
      <c r="X630" t="s">
        <v>1402</v>
      </c>
    </row>
    <row r="631" spans="1:24" x14ac:dyDescent="0.25">
      <c r="A631" t="s">
        <v>42</v>
      </c>
      <c r="B631" t="s">
        <v>2150</v>
      </c>
      <c r="C631" t="s">
        <v>330</v>
      </c>
      <c r="E631" t="s">
        <v>2042</v>
      </c>
      <c r="F631">
        <v>95657</v>
      </c>
      <c r="G631" t="s">
        <v>1052</v>
      </c>
      <c r="H631" t="s">
        <v>1416</v>
      </c>
      <c r="I631" t="s">
        <v>1400</v>
      </c>
      <c r="J631" t="s">
        <v>1401</v>
      </c>
      <c r="K631" t="s">
        <v>1086</v>
      </c>
      <c r="L631" t="s">
        <v>1087</v>
      </c>
      <c r="M631" t="s">
        <v>1057</v>
      </c>
      <c r="N631" t="s">
        <v>1088</v>
      </c>
      <c r="O631" t="s">
        <v>994</v>
      </c>
      <c r="P631" t="s">
        <v>1089</v>
      </c>
      <c r="Q631" t="b">
        <v>1</v>
      </c>
      <c r="R631" t="b">
        <v>0</v>
      </c>
      <c r="S631" t="s">
        <v>2149</v>
      </c>
      <c r="T631" t="s">
        <v>994</v>
      </c>
      <c r="U631" t="s">
        <v>1034</v>
      </c>
      <c r="V631" t="s">
        <v>997</v>
      </c>
      <c r="W631" t="s">
        <v>1035</v>
      </c>
      <c r="X631" t="s">
        <v>1402</v>
      </c>
    </row>
    <row r="632" spans="1:24" x14ac:dyDescent="0.25">
      <c r="A632" t="s">
        <v>42</v>
      </c>
      <c r="B632" t="s">
        <v>2151</v>
      </c>
      <c r="C632" t="s">
        <v>330</v>
      </c>
      <c r="E632" t="s">
        <v>2048</v>
      </c>
      <c r="F632">
        <v>126843</v>
      </c>
      <c r="G632" t="s">
        <v>1052</v>
      </c>
      <c r="H632" t="s">
        <v>1424</v>
      </c>
      <c r="I632" t="s">
        <v>1400</v>
      </c>
      <c r="J632" t="s">
        <v>1401</v>
      </c>
      <c r="K632" t="s">
        <v>1114</v>
      </c>
      <c r="L632" t="s">
        <v>1115</v>
      </c>
      <c r="M632" t="s">
        <v>1057</v>
      </c>
      <c r="N632" t="s">
        <v>1116</v>
      </c>
      <c r="O632" t="s">
        <v>994</v>
      </c>
      <c r="P632" t="s">
        <v>1117</v>
      </c>
      <c r="Q632" t="b">
        <v>1</v>
      </c>
      <c r="R632" t="b">
        <v>0</v>
      </c>
      <c r="S632" t="s">
        <v>2149</v>
      </c>
      <c r="T632" t="s">
        <v>994</v>
      </c>
      <c r="U632" t="s">
        <v>1034</v>
      </c>
      <c r="V632" t="s">
        <v>997</v>
      </c>
      <c r="W632" t="s">
        <v>1035</v>
      </c>
      <c r="X632" t="s">
        <v>1402</v>
      </c>
    </row>
    <row r="633" spans="1:24" x14ac:dyDescent="0.25">
      <c r="A633" t="s">
        <v>42</v>
      </c>
      <c r="B633" t="s">
        <v>1427</v>
      </c>
      <c r="C633" t="s">
        <v>331</v>
      </c>
      <c r="E633" t="s">
        <v>992</v>
      </c>
      <c r="F633">
        <v>36036</v>
      </c>
      <c r="G633" t="s">
        <v>1052</v>
      </c>
      <c r="H633" t="s">
        <v>1429</v>
      </c>
      <c r="I633" t="s">
        <v>1430</v>
      </c>
      <c r="J633" t="s">
        <v>1401</v>
      </c>
      <c r="K633" t="s">
        <v>1027</v>
      </c>
      <c r="L633" t="s">
        <v>1028</v>
      </c>
      <c r="M633" t="s">
        <v>1029</v>
      </c>
      <c r="N633" t="s">
        <v>1030</v>
      </c>
      <c r="O633" t="s">
        <v>994</v>
      </c>
      <c r="P633" t="s">
        <v>1032</v>
      </c>
      <c r="Q633" t="b">
        <v>1</v>
      </c>
      <c r="R633" t="b">
        <v>0</v>
      </c>
      <c r="S633" t="s">
        <v>1033</v>
      </c>
      <c r="T633" t="s">
        <v>994</v>
      </c>
      <c r="U633" t="s">
        <v>1034</v>
      </c>
      <c r="V633" t="s">
        <v>997</v>
      </c>
      <c r="W633" t="s">
        <v>1035</v>
      </c>
      <c r="X633" t="s">
        <v>1435</v>
      </c>
    </row>
    <row r="634" spans="1:24" x14ac:dyDescent="0.25">
      <c r="A634" t="s">
        <v>42</v>
      </c>
      <c r="B634" t="s">
        <v>1436</v>
      </c>
      <c r="C634" t="s">
        <v>331</v>
      </c>
      <c r="E634" t="s">
        <v>1000</v>
      </c>
      <c r="F634">
        <v>38804</v>
      </c>
      <c r="G634" t="s">
        <v>1052</v>
      </c>
      <c r="H634" t="s">
        <v>1437</v>
      </c>
      <c r="I634" t="s">
        <v>1430</v>
      </c>
      <c r="J634" t="s">
        <v>1401</v>
      </c>
      <c r="K634" t="s">
        <v>1039</v>
      </c>
      <c r="L634" t="s">
        <v>1040</v>
      </c>
      <c r="M634" t="s">
        <v>1029</v>
      </c>
      <c r="N634" t="s">
        <v>1041</v>
      </c>
      <c r="O634" t="s">
        <v>994</v>
      </c>
      <c r="P634" t="s">
        <v>1043</v>
      </c>
      <c r="Q634" t="b">
        <v>1</v>
      </c>
      <c r="R634" t="b">
        <v>0</v>
      </c>
      <c r="S634" t="s">
        <v>1033</v>
      </c>
      <c r="T634" t="s">
        <v>994</v>
      </c>
      <c r="U634" t="s">
        <v>1034</v>
      </c>
      <c r="V634" t="s">
        <v>997</v>
      </c>
      <c r="W634" t="s">
        <v>1035</v>
      </c>
      <c r="X634" t="s">
        <v>1435</v>
      </c>
    </row>
    <row r="635" spans="1:24" x14ac:dyDescent="0.25">
      <c r="A635" t="s">
        <v>42</v>
      </c>
      <c r="B635" t="s">
        <v>1438</v>
      </c>
      <c r="C635" t="s">
        <v>331</v>
      </c>
      <c r="E635" t="s">
        <v>1002</v>
      </c>
      <c r="F635">
        <v>41020</v>
      </c>
      <c r="G635" t="s">
        <v>1052</v>
      </c>
      <c r="H635" t="s">
        <v>1439</v>
      </c>
      <c r="I635" t="s">
        <v>1430</v>
      </c>
      <c r="J635" t="s">
        <v>1401</v>
      </c>
      <c r="K635" t="s">
        <v>1046</v>
      </c>
      <c r="L635" t="s">
        <v>1047</v>
      </c>
      <c r="M635" t="s">
        <v>1029</v>
      </c>
      <c r="N635" t="s">
        <v>1048</v>
      </c>
      <c r="O635" t="s">
        <v>994</v>
      </c>
      <c r="P635" t="s">
        <v>1050</v>
      </c>
      <c r="Q635" t="b">
        <v>1</v>
      </c>
      <c r="R635" t="b">
        <v>0</v>
      </c>
      <c r="S635" t="s">
        <v>1033</v>
      </c>
      <c r="T635" t="s">
        <v>994</v>
      </c>
      <c r="U635" t="s">
        <v>1034</v>
      </c>
      <c r="V635" t="s">
        <v>997</v>
      </c>
      <c r="W635" t="s">
        <v>1035</v>
      </c>
      <c r="X635" t="s">
        <v>1435</v>
      </c>
    </row>
    <row r="636" spans="1:24" x14ac:dyDescent="0.25">
      <c r="A636" t="s">
        <v>42</v>
      </c>
      <c r="B636" t="s">
        <v>1440</v>
      </c>
      <c r="C636" t="s">
        <v>331</v>
      </c>
      <c r="E636" t="s">
        <v>1004</v>
      </c>
      <c r="F636">
        <v>47964</v>
      </c>
      <c r="G636" t="s">
        <v>1052</v>
      </c>
      <c r="H636" t="s">
        <v>1441</v>
      </c>
      <c r="I636" t="s">
        <v>1430</v>
      </c>
      <c r="J636" t="s">
        <v>1401</v>
      </c>
      <c r="K636" t="s">
        <v>1055</v>
      </c>
      <c r="L636" t="s">
        <v>1056</v>
      </c>
      <c r="M636" t="s">
        <v>1057</v>
      </c>
      <c r="N636" t="s">
        <v>1058</v>
      </c>
      <c r="O636" t="s">
        <v>994</v>
      </c>
      <c r="P636" t="s">
        <v>1059</v>
      </c>
      <c r="Q636" t="b">
        <v>1</v>
      </c>
      <c r="R636" t="b">
        <v>0</v>
      </c>
      <c r="S636" t="s">
        <v>1033</v>
      </c>
      <c r="T636" t="s">
        <v>994</v>
      </c>
      <c r="U636" t="s">
        <v>1034</v>
      </c>
      <c r="V636" t="s">
        <v>997</v>
      </c>
      <c r="W636" t="s">
        <v>1035</v>
      </c>
      <c r="X636" t="s">
        <v>1435</v>
      </c>
    </row>
    <row r="637" spans="1:24" x14ac:dyDescent="0.25">
      <c r="A637" t="s">
        <v>42</v>
      </c>
      <c r="B637" t="s">
        <v>2152</v>
      </c>
      <c r="C637" t="s">
        <v>331</v>
      </c>
      <c r="E637" t="s">
        <v>2036</v>
      </c>
      <c r="F637">
        <v>47964</v>
      </c>
      <c r="G637" t="s">
        <v>1052</v>
      </c>
      <c r="H637" t="s">
        <v>1441</v>
      </c>
      <c r="I637" t="s">
        <v>1430</v>
      </c>
      <c r="J637" t="s">
        <v>1401</v>
      </c>
      <c r="K637" t="s">
        <v>1055</v>
      </c>
      <c r="L637" t="s">
        <v>1056</v>
      </c>
      <c r="M637" t="s">
        <v>1057</v>
      </c>
      <c r="N637" t="s">
        <v>1058</v>
      </c>
      <c r="O637" t="s">
        <v>994</v>
      </c>
      <c r="P637" t="s">
        <v>1059</v>
      </c>
      <c r="Q637" t="b">
        <v>1</v>
      </c>
      <c r="R637" t="b">
        <v>0</v>
      </c>
      <c r="S637" t="s">
        <v>2149</v>
      </c>
      <c r="T637" t="s">
        <v>994</v>
      </c>
      <c r="U637" t="s">
        <v>1034</v>
      </c>
      <c r="V637" t="s">
        <v>997</v>
      </c>
      <c r="W637" t="s">
        <v>1035</v>
      </c>
      <c r="X637" t="s">
        <v>1435</v>
      </c>
    </row>
    <row r="638" spans="1:24" x14ac:dyDescent="0.25">
      <c r="A638" t="s">
        <v>42</v>
      </c>
      <c r="B638" t="s">
        <v>1442</v>
      </c>
      <c r="C638" t="s">
        <v>331</v>
      </c>
      <c r="E638" t="s">
        <v>1006</v>
      </c>
      <c r="F638">
        <v>44552</v>
      </c>
      <c r="G638" t="s">
        <v>1052</v>
      </c>
      <c r="H638" t="s">
        <v>1443</v>
      </c>
      <c r="I638" t="s">
        <v>1430</v>
      </c>
      <c r="J638" t="s">
        <v>1401</v>
      </c>
      <c r="K638" t="s">
        <v>1065</v>
      </c>
      <c r="L638" t="s">
        <v>1066</v>
      </c>
      <c r="M638" t="s">
        <v>1029</v>
      </c>
      <c r="N638" t="s">
        <v>1067</v>
      </c>
      <c r="O638" t="s">
        <v>994</v>
      </c>
      <c r="P638" t="s">
        <v>1069</v>
      </c>
      <c r="Q638" t="b">
        <v>1</v>
      </c>
      <c r="R638" t="b">
        <v>0</v>
      </c>
      <c r="S638" t="s">
        <v>1033</v>
      </c>
      <c r="T638" t="s">
        <v>994</v>
      </c>
      <c r="U638" t="s">
        <v>1034</v>
      </c>
      <c r="V638" t="s">
        <v>997</v>
      </c>
      <c r="W638" t="s">
        <v>1035</v>
      </c>
      <c r="X638" t="s">
        <v>1435</v>
      </c>
    </row>
    <row r="639" spans="1:24" x14ac:dyDescent="0.25">
      <c r="A639" t="s">
        <v>42</v>
      </c>
      <c r="B639" t="s">
        <v>1444</v>
      </c>
      <c r="C639" t="s">
        <v>331</v>
      </c>
      <c r="E639" t="s">
        <v>1008</v>
      </c>
      <c r="F639">
        <v>47087</v>
      </c>
      <c r="G639" t="s">
        <v>1052</v>
      </c>
      <c r="H639" t="s">
        <v>1445</v>
      </c>
      <c r="I639" t="s">
        <v>1430</v>
      </c>
      <c r="J639" t="s">
        <v>1401</v>
      </c>
      <c r="K639" t="s">
        <v>1072</v>
      </c>
      <c r="L639" t="s">
        <v>1073</v>
      </c>
      <c r="M639" t="s">
        <v>1029</v>
      </c>
      <c r="N639" t="s">
        <v>1074</v>
      </c>
      <c r="O639" t="s">
        <v>994</v>
      </c>
      <c r="P639" t="s">
        <v>1076</v>
      </c>
      <c r="Q639" t="b">
        <v>1</v>
      </c>
      <c r="R639" t="b">
        <v>0</v>
      </c>
      <c r="S639" t="s">
        <v>1033</v>
      </c>
      <c r="T639" t="s">
        <v>994</v>
      </c>
      <c r="U639" t="s">
        <v>1034</v>
      </c>
      <c r="V639" t="s">
        <v>997</v>
      </c>
      <c r="W639" t="s">
        <v>1035</v>
      </c>
      <c r="X639" t="s">
        <v>1435</v>
      </c>
    </row>
    <row r="640" spans="1:24" x14ac:dyDescent="0.25">
      <c r="A640" t="s">
        <v>42</v>
      </c>
      <c r="B640" t="s">
        <v>1446</v>
      </c>
      <c r="C640" t="s">
        <v>331</v>
      </c>
      <c r="E640" t="s">
        <v>1010</v>
      </c>
      <c r="F640">
        <v>49104</v>
      </c>
      <c r="G640" t="s">
        <v>1052</v>
      </c>
      <c r="H640" t="s">
        <v>1447</v>
      </c>
      <c r="I640" t="s">
        <v>1430</v>
      </c>
      <c r="J640" t="s">
        <v>1401</v>
      </c>
      <c r="K640" t="s">
        <v>1079</v>
      </c>
      <c r="L640" t="s">
        <v>1080</v>
      </c>
      <c r="M640" t="s">
        <v>1029</v>
      </c>
      <c r="N640" t="s">
        <v>1081</v>
      </c>
      <c r="O640" t="s">
        <v>994</v>
      </c>
      <c r="P640" t="s">
        <v>1083</v>
      </c>
      <c r="Q640" t="b">
        <v>1</v>
      </c>
      <c r="R640" t="b">
        <v>0</v>
      </c>
      <c r="S640" t="s">
        <v>1033</v>
      </c>
      <c r="T640" t="s">
        <v>994</v>
      </c>
      <c r="U640" t="s">
        <v>1034</v>
      </c>
      <c r="V640" t="s">
        <v>997</v>
      </c>
      <c r="W640" t="s">
        <v>1035</v>
      </c>
      <c r="X640" t="s">
        <v>1435</v>
      </c>
    </row>
    <row r="641" spans="1:24" x14ac:dyDescent="0.25">
      <c r="A641" t="s">
        <v>42</v>
      </c>
      <c r="B641" t="s">
        <v>1448</v>
      </c>
      <c r="C641" t="s">
        <v>331</v>
      </c>
      <c r="E641" t="s">
        <v>1012</v>
      </c>
      <c r="F641">
        <v>52340</v>
      </c>
      <c r="G641" t="s">
        <v>1052</v>
      </c>
      <c r="H641" t="s">
        <v>1449</v>
      </c>
      <c r="I641" t="s">
        <v>1430</v>
      </c>
      <c r="J641" t="s">
        <v>1401</v>
      </c>
      <c r="K641" t="s">
        <v>1086</v>
      </c>
      <c r="L641" t="s">
        <v>1087</v>
      </c>
      <c r="M641" t="s">
        <v>1057</v>
      </c>
      <c r="N641" t="s">
        <v>1088</v>
      </c>
      <c r="O641" t="s">
        <v>994</v>
      </c>
      <c r="P641" t="s">
        <v>1089</v>
      </c>
      <c r="Q641" t="b">
        <v>1</v>
      </c>
      <c r="R641" t="b">
        <v>0</v>
      </c>
      <c r="S641" t="s">
        <v>1033</v>
      </c>
      <c r="T641" t="s">
        <v>994</v>
      </c>
      <c r="U641" t="s">
        <v>1034</v>
      </c>
      <c r="V641" t="s">
        <v>997</v>
      </c>
      <c r="W641" t="s">
        <v>1035</v>
      </c>
      <c r="X641" t="s">
        <v>1435</v>
      </c>
    </row>
    <row r="642" spans="1:24" x14ac:dyDescent="0.25">
      <c r="A642" t="s">
        <v>42</v>
      </c>
      <c r="B642" t="s">
        <v>2153</v>
      </c>
      <c r="C642" t="s">
        <v>331</v>
      </c>
      <c r="E642" t="s">
        <v>2042</v>
      </c>
      <c r="F642">
        <v>52340</v>
      </c>
      <c r="G642" t="s">
        <v>1052</v>
      </c>
      <c r="H642" t="s">
        <v>1449</v>
      </c>
      <c r="I642" t="s">
        <v>1430</v>
      </c>
      <c r="J642" t="s">
        <v>1401</v>
      </c>
      <c r="K642" t="s">
        <v>1086</v>
      </c>
      <c r="L642" t="s">
        <v>1087</v>
      </c>
      <c r="M642" t="s">
        <v>1057</v>
      </c>
      <c r="N642" t="s">
        <v>1088</v>
      </c>
      <c r="O642" t="s">
        <v>994</v>
      </c>
      <c r="P642" t="s">
        <v>1089</v>
      </c>
      <c r="Q642" t="b">
        <v>1</v>
      </c>
      <c r="R642" t="b">
        <v>0</v>
      </c>
      <c r="S642" t="s">
        <v>2149</v>
      </c>
      <c r="T642" t="s">
        <v>994</v>
      </c>
      <c r="U642" t="s">
        <v>1034</v>
      </c>
      <c r="V642" t="s">
        <v>997</v>
      </c>
      <c r="W642" t="s">
        <v>1035</v>
      </c>
      <c r="X642" t="s">
        <v>1435</v>
      </c>
    </row>
    <row r="643" spans="1:24" x14ac:dyDescent="0.25">
      <c r="A643" t="s">
        <v>42</v>
      </c>
      <c r="B643" t="s">
        <v>1450</v>
      </c>
      <c r="C643" t="s">
        <v>331</v>
      </c>
      <c r="E643" t="s">
        <v>1014</v>
      </c>
      <c r="F643">
        <v>51000</v>
      </c>
      <c r="G643" t="s">
        <v>1052</v>
      </c>
      <c r="H643" t="s">
        <v>1451</v>
      </c>
      <c r="I643" t="s">
        <v>1430</v>
      </c>
      <c r="J643" t="s">
        <v>1401</v>
      </c>
      <c r="K643" t="s">
        <v>1092</v>
      </c>
      <c r="L643" t="s">
        <v>1093</v>
      </c>
      <c r="M643" t="s">
        <v>1029</v>
      </c>
      <c r="N643" t="s">
        <v>1094</v>
      </c>
      <c r="O643" t="s">
        <v>994</v>
      </c>
      <c r="P643" t="s">
        <v>1096</v>
      </c>
      <c r="Q643" t="b">
        <v>1</v>
      </c>
      <c r="R643" t="b">
        <v>0</v>
      </c>
      <c r="S643" t="s">
        <v>1033</v>
      </c>
      <c r="T643" t="s">
        <v>994</v>
      </c>
      <c r="U643" t="s">
        <v>1034</v>
      </c>
      <c r="V643" t="s">
        <v>997</v>
      </c>
      <c r="W643" t="s">
        <v>1035</v>
      </c>
      <c r="X643" t="s">
        <v>1435</v>
      </c>
    </row>
    <row r="644" spans="1:24" x14ac:dyDescent="0.25">
      <c r="A644" t="s">
        <v>42</v>
      </c>
      <c r="B644" t="s">
        <v>1452</v>
      </c>
      <c r="C644" t="s">
        <v>331</v>
      </c>
      <c r="E644" t="s">
        <v>1016</v>
      </c>
      <c r="F644">
        <v>55048</v>
      </c>
      <c r="G644" t="s">
        <v>1052</v>
      </c>
      <c r="H644" t="s">
        <v>1453</v>
      </c>
      <c r="I644" t="s">
        <v>1430</v>
      </c>
      <c r="J644" t="s">
        <v>1401</v>
      </c>
      <c r="K644" t="s">
        <v>1100</v>
      </c>
      <c r="L644" t="s">
        <v>1101</v>
      </c>
      <c r="M644" t="s">
        <v>1029</v>
      </c>
      <c r="N644" t="s">
        <v>1102</v>
      </c>
      <c r="O644" t="s">
        <v>994</v>
      </c>
      <c r="P644" t="s">
        <v>1104</v>
      </c>
      <c r="Q644" t="b">
        <v>1</v>
      </c>
      <c r="R644" t="b">
        <v>0</v>
      </c>
      <c r="S644" t="s">
        <v>1033</v>
      </c>
      <c r="T644" t="s">
        <v>994</v>
      </c>
      <c r="U644" t="s">
        <v>1034</v>
      </c>
      <c r="V644" t="s">
        <v>997</v>
      </c>
      <c r="W644" t="s">
        <v>1035</v>
      </c>
      <c r="X644" t="s">
        <v>1435</v>
      </c>
    </row>
    <row r="645" spans="1:24" x14ac:dyDescent="0.25">
      <c r="A645" t="s">
        <v>42</v>
      </c>
      <c r="B645" t="s">
        <v>1454</v>
      </c>
      <c r="C645" t="s">
        <v>331</v>
      </c>
      <c r="E645" t="s">
        <v>1018</v>
      </c>
      <c r="F645">
        <v>57148</v>
      </c>
      <c r="G645" t="s">
        <v>1052</v>
      </c>
      <c r="H645" t="s">
        <v>1455</v>
      </c>
      <c r="I645" t="s">
        <v>1430</v>
      </c>
      <c r="J645" t="s">
        <v>1401</v>
      </c>
      <c r="K645" t="s">
        <v>1107</v>
      </c>
      <c r="L645" t="s">
        <v>1108</v>
      </c>
      <c r="M645" t="s">
        <v>1029</v>
      </c>
      <c r="N645" t="s">
        <v>1109</v>
      </c>
      <c r="O645" t="s">
        <v>994</v>
      </c>
      <c r="P645" t="s">
        <v>1111</v>
      </c>
      <c r="Q645" t="b">
        <v>1</v>
      </c>
      <c r="R645" t="b">
        <v>0</v>
      </c>
      <c r="S645" t="s">
        <v>1033</v>
      </c>
      <c r="T645" t="s">
        <v>994</v>
      </c>
      <c r="U645" t="s">
        <v>1034</v>
      </c>
      <c r="V645" t="s">
        <v>997</v>
      </c>
      <c r="W645" t="s">
        <v>1035</v>
      </c>
      <c r="X645" t="s">
        <v>1435</v>
      </c>
    </row>
    <row r="646" spans="1:24" x14ac:dyDescent="0.25">
      <c r="A646" t="s">
        <v>42</v>
      </c>
      <c r="B646" t="s">
        <v>1456</v>
      </c>
      <c r="C646" t="s">
        <v>331</v>
      </c>
      <c r="E646" t="s">
        <v>1020</v>
      </c>
      <c r="F646">
        <v>62886</v>
      </c>
      <c r="G646" t="s">
        <v>1052</v>
      </c>
      <c r="H646" t="s">
        <v>1457</v>
      </c>
      <c r="I646" t="s">
        <v>1430</v>
      </c>
      <c r="J646" t="s">
        <v>1401</v>
      </c>
      <c r="K646" t="s">
        <v>1114</v>
      </c>
      <c r="L646" t="s">
        <v>1115</v>
      </c>
      <c r="M646" t="s">
        <v>1057</v>
      </c>
      <c r="N646" t="s">
        <v>1116</v>
      </c>
      <c r="O646" t="s">
        <v>994</v>
      </c>
      <c r="P646" t="s">
        <v>1117</v>
      </c>
      <c r="Q646" t="b">
        <v>1</v>
      </c>
      <c r="R646" t="b">
        <v>0</v>
      </c>
      <c r="S646" t="s">
        <v>1033</v>
      </c>
      <c r="T646" t="s">
        <v>994</v>
      </c>
      <c r="U646" t="s">
        <v>1034</v>
      </c>
      <c r="V646" t="s">
        <v>997</v>
      </c>
      <c r="W646" t="s">
        <v>1035</v>
      </c>
      <c r="X646" t="s">
        <v>1435</v>
      </c>
    </row>
    <row r="647" spans="1:24" x14ac:dyDescent="0.25">
      <c r="A647" t="s">
        <v>42</v>
      </c>
      <c r="B647" t="s">
        <v>2154</v>
      </c>
      <c r="C647" t="s">
        <v>331</v>
      </c>
      <c r="E647" t="s">
        <v>2048</v>
      </c>
      <c r="F647">
        <v>62886</v>
      </c>
      <c r="G647" t="s">
        <v>1052</v>
      </c>
      <c r="H647" t="s">
        <v>1457</v>
      </c>
      <c r="I647" t="s">
        <v>1430</v>
      </c>
      <c r="J647" t="s">
        <v>1401</v>
      </c>
      <c r="K647" t="s">
        <v>1114</v>
      </c>
      <c r="L647" t="s">
        <v>1115</v>
      </c>
      <c r="M647" t="s">
        <v>1057</v>
      </c>
      <c r="N647" t="s">
        <v>1116</v>
      </c>
      <c r="O647" t="s">
        <v>994</v>
      </c>
      <c r="P647" t="s">
        <v>1117</v>
      </c>
      <c r="Q647" t="b">
        <v>1</v>
      </c>
      <c r="R647" t="b">
        <v>0</v>
      </c>
      <c r="S647" t="s">
        <v>2149</v>
      </c>
      <c r="T647" t="s">
        <v>994</v>
      </c>
      <c r="U647" t="s">
        <v>1034</v>
      </c>
      <c r="V647" t="s">
        <v>997</v>
      </c>
      <c r="W647" t="s">
        <v>1035</v>
      </c>
      <c r="X647" t="s">
        <v>1435</v>
      </c>
    </row>
    <row r="648" spans="1:24" x14ac:dyDescent="0.25">
      <c r="A648" t="s">
        <v>42</v>
      </c>
      <c r="B648" t="s">
        <v>1458</v>
      </c>
      <c r="C648" t="s">
        <v>331</v>
      </c>
      <c r="E648" t="s">
        <v>1022</v>
      </c>
      <c r="F648">
        <v>62999</v>
      </c>
      <c r="G648" t="s">
        <v>1052</v>
      </c>
      <c r="H648" t="s">
        <v>1459</v>
      </c>
      <c r="I648" t="s">
        <v>1430</v>
      </c>
      <c r="J648" t="s">
        <v>1401</v>
      </c>
      <c r="K648" t="s">
        <v>1120</v>
      </c>
      <c r="L648" t="s">
        <v>1121</v>
      </c>
      <c r="M648" t="s">
        <v>1029</v>
      </c>
      <c r="N648" t="s">
        <v>1122</v>
      </c>
      <c r="O648" t="s">
        <v>994</v>
      </c>
      <c r="P648" t="s">
        <v>1124</v>
      </c>
      <c r="Q648" t="b">
        <v>1</v>
      </c>
      <c r="R648" t="b">
        <v>0</v>
      </c>
      <c r="S648" t="s">
        <v>1033</v>
      </c>
      <c r="T648" t="s">
        <v>994</v>
      </c>
      <c r="U648" t="s">
        <v>1034</v>
      </c>
      <c r="V648" t="s">
        <v>997</v>
      </c>
      <c r="W648" t="s">
        <v>1035</v>
      </c>
      <c r="X648" t="s">
        <v>1435</v>
      </c>
    </row>
    <row r="649" spans="1:24" x14ac:dyDescent="0.25">
      <c r="A649" t="s">
        <v>42</v>
      </c>
      <c r="B649" t="s">
        <v>2155</v>
      </c>
      <c r="C649" t="s">
        <v>332</v>
      </c>
      <c r="E649" t="s">
        <v>2036</v>
      </c>
      <c r="F649">
        <v>0</v>
      </c>
      <c r="G649" t="s">
        <v>1052</v>
      </c>
      <c r="H649" t="s">
        <v>1469</v>
      </c>
      <c r="I649" t="s">
        <v>1470</v>
      </c>
      <c r="J649" t="s">
        <v>1401</v>
      </c>
      <c r="K649" t="s">
        <v>994</v>
      </c>
      <c r="L649" t="s">
        <v>994</v>
      </c>
      <c r="M649" t="s">
        <v>994</v>
      </c>
      <c r="N649" t="s">
        <v>994</v>
      </c>
      <c r="O649" t="s">
        <v>994</v>
      </c>
      <c r="P649" t="s">
        <v>994</v>
      </c>
      <c r="Q649" t="b">
        <v>1</v>
      </c>
      <c r="R649" t="b">
        <v>0</v>
      </c>
      <c r="S649" t="s">
        <v>2149</v>
      </c>
      <c r="T649" t="s">
        <v>994</v>
      </c>
      <c r="U649" t="s">
        <v>1034</v>
      </c>
      <c r="V649" t="s">
        <v>997</v>
      </c>
      <c r="W649" t="s">
        <v>1035</v>
      </c>
      <c r="X649" t="s">
        <v>994</v>
      </c>
    </row>
    <row r="650" spans="1:24" x14ac:dyDescent="0.25">
      <c r="A650" t="s">
        <v>42</v>
      </c>
      <c r="B650" t="s">
        <v>2156</v>
      </c>
      <c r="C650" t="s">
        <v>332</v>
      </c>
      <c r="E650" t="s">
        <v>2042</v>
      </c>
      <c r="F650">
        <v>0</v>
      </c>
      <c r="G650" t="s">
        <v>1052</v>
      </c>
      <c r="H650" t="s">
        <v>1469</v>
      </c>
      <c r="I650" t="s">
        <v>1470</v>
      </c>
      <c r="J650" t="s">
        <v>1401</v>
      </c>
      <c r="K650" t="s">
        <v>994</v>
      </c>
      <c r="L650" t="s">
        <v>994</v>
      </c>
      <c r="M650" t="s">
        <v>994</v>
      </c>
      <c r="N650" t="s">
        <v>994</v>
      </c>
      <c r="O650" t="s">
        <v>994</v>
      </c>
      <c r="P650" t="s">
        <v>994</v>
      </c>
      <c r="Q650" t="b">
        <v>1</v>
      </c>
      <c r="R650" t="b">
        <v>0</v>
      </c>
      <c r="S650" t="s">
        <v>2149</v>
      </c>
      <c r="T650" t="s">
        <v>994</v>
      </c>
      <c r="U650" t="s">
        <v>1034</v>
      </c>
      <c r="V650" t="s">
        <v>997</v>
      </c>
      <c r="W650" t="s">
        <v>1035</v>
      </c>
      <c r="X650" t="s">
        <v>994</v>
      </c>
    </row>
    <row r="651" spans="1:24" x14ac:dyDescent="0.25">
      <c r="A651" t="s">
        <v>42</v>
      </c>
      <c r="B651" t="s">
        <v>2157</v>
      </c>
      <c r="C651" t="s">
        <v>332</v>
      </c>
      <c r="E651" t="s">
        <v>2048</v>
      </c>
      <c r="F651">
        <v>0</v>
      </c>
      <c r="G651" t="s">
        <v>1052</v>
      </c>
      <c r="H651" t="s">
        <v>1469</v>
      </c>
      <c r="I651" t="s">
        <v>1470</v>
      </c>
      <c r="J651" t="s">
        <v>1401</v>
      </c>
      <c r="K651" t="s">
        <v>994</v>
      </c>
      <c r="L651" t="s">
        <v>994</v>
      </c>
      <c r="M651" t="s">
        <v>994</v>
      </c>
      <c r="N651" t="s">
        <v>994</v>
      </c>
      <c r="O651" t="s">
        <v>994</v>
      </c>
      <c r="P651" t="s">
        <v>994</v>
      </c>
      <c r="Q651" t="b">
        <v>1</v>
      </c>
      <c r="R651" t="b">
        <v>0</v>
      </c>
      <c r="S651" t="s">
        <v>2149</v>
      </c>
      <c r="T651" t="s">
        <v>994</v>
      </c>
      <c r="U651" t="s">
        <v>1034</v>
      </c>
      <c r="V651" t="s">
        <v>997</v>
      </c>
      <c r="W651" t="s">
        <v>1035</v>
      </c>
      <c r="X651" t="s">
        <v>994</v>
      </c>
    </row>
    <row r="652" spans="1:24" x14ac:dyDescent="0.25">
      <c r="A652" t="s">
        <v>42</v>
      </c>
      <c r="B652" t="s">
        <v>1508</v>
      </c>
      <c r="C652" t="s">
        <v>335</v>
      </c>
      <c r="E652" t="s">
        <v>992</v>
      </c>
      <c r="F652">
        <v>117560</v>
      </c>
      <c r="G652" t="s">
        <v>1052</v>
      </c>
      <c r="H652" t="s">
        <v>1509</v>
      </c>
      <c r="I652" t="s">
        <v>1510</v>
      </c>
      <c r="J652" t="s">
        <v>1401</v>
      </c>
      <c r="K652" t="s">
        <v>1027</v>
      </c>
      <c r="L652" t="s">
        <v>1028</v>
      </c>
      <c r="M652" t="s">
        <v>1029</v>
      </c>
      <c r="N652" t="s">
        <v>1030</v>
      </c>
      <c r="O652" t="s">
        <v>994</v>
      </c>
      <c r="P652" t="s">
        <v>1032</v>
      </c>
      <c r="Q652" t="b">
        <v>1</v>
      </c>
      <c r="R652" t="b">
        <v>0</v>
      </c>
      <c r="S652" t="s">
        <v>1033</v>
      </c>
      <c r="T652" t="s">
        <v>994</v>
      </c>
      <c r="U652" t="s">
        <v>1034</v>
      </c>
      <c r="V652" t="s">
        <v>997</v>
      </c>
      <c r="W652" t="s">
        <v>1035</v>
      </c>
      <c r="X652" t="s">
        <v>1513</v>
      </c>
    </row>
    <row r="653" spans="1:24" x14ac:dyDescent="0.25">
      <c r="A653" t="s">
        <v>42</v>
      </c>
      <c r="B653" t="s">
        <v>1514</v>
      </c>
      <c r="C653" t="s">
        <v>335</v>
      </c>
      <c r="E653" t="s">
        <v>1000</v>
      </c>
      <c r="F653">
        <v>121208</v>
      </c>
      <c r="G653" t="s">
        <v>1052</v>
      </c>
      <c r="H653" t="s">
        <v>1515</v>
      </c>
      <c r="I653" t="s">
        <v>1510</v>
      </c>
      <c r="J653" t="s">
        <v>1401</v>
      </c>
      <c r="K653" t="s">
        <v>1039</v>
      </c>
      <c r="L653" t="s">
        <v>1040</v>
      </c>
      <c r="M653" t="s">
        <v>1029</v>
      </c>
      <c r="N653" t="s">
        <v>1041</v>
      </c>
      <c r="O653" t="s">
        <v>994</v>
      </c>
      <c r="P653" t="s">
        <v>1043</v>
      </c>
      <c r="Q653" t="b">
        <v>1</v>
      </c>
      <c r="R653" t="b">
        <v>0</v>
      </c>
      <c r="S653" t="s">
        <v>1033</v>
      </c>
      <c r="T653" t="s">
        <v>994</v>
      </c>
      <c r="U653" t="s">
        <v>1034</v>
      </c>
      <c r="V653" t="s">
        <v>997</v>
      </c>
      <c r="W653" t="s">
        <v>1035</v>
      </c>
      <c r="X653" t="s">
        <v>1513</v>
      </c>
    </row>
    <row r="654" spans="1:24" x14ac:dyDescent="0.25">
      <c r="A654" t="s">
        <v>42</v>
      </c>
      <c r="B654" t="s">
        <v>1516</v>
      </c>
      <c r="C654" t="s">
        <v>335</v>
      </c>
      <c r="E654" t="s">
        <v>1002</v>
      </c>
      <c r="F654">
        <v>125705</v>
      </c>
      <c r="G654" t="s">
        <v>1052</v>
      </c>
      <c r="H654" t="s">
        <v>1517</v>
      </c>
      <c r="I654" t="s">
        <v>1510</v>
      </c>
      <c r="J654" t="s">
        <v>1401</v>
      </c>
      <c r="K654" t="s">
        <v>1046</v>
      </c>
      <c r="L654" t="s">
        <v>1047</v>
      </c>
      <c r="M654" t="s">
        <v>1029</v>
      </c>
      <c r="N654" t="s">
        <v>1048</v>
      </c>
      <c r="O654" t="s">
        <v>994</v>
      </c>
      <c r="P654" t="s">
        <v>1050</v>
      </c>
      <c r="Q654" t="b">
        <v>1</v>
      </c>
      <c r="R654" t="b">
        <v>0</v>
      </c>
      <c r="S654" t="s">
        <v>1033</v>
      </c>
      <c r="T654" t="s">
        <v>994</v>
      </c>
      <c r="U654" t="s">
        <v>1034</v>
      </c>
      <c r="V654" t="s">
        <v>997</v>
      </c>
      <c r="W654" t="s">
        <v>1035</v>
      </c>
      <c r="X654" t="s">
        <v>1513</v>
      </c>
    </row>
    <row r="655" spans="1:24" x14ac:dyDescent="0.25">
      <c r="A655" t="s">
        <v>42</v>
      </c>
      <c r="B655" t="s">
        <v>1518</v>
      </c>
      <c r="C655" t="s">
        <v>335</v>
      </c>
      <c r="E655" t="s">
        <v>1004</v>
      </c>
      <c r="F655">
        <v>134345</v>
      </c>
      <c r="G655" t="s">
        <v>1052</v>
      </c>
      <c r="H655" t="s">
        <v>1519</v>
      </c>
      <c r="I655" t="s">
        <v>1510</v>
      </c>
      <c r="J655" t="s">
        <v>1401</v>
      </c>
      <c r="K655" t="s">
        <v>1079</v>
      </c>
      <c r="L655" t="s">
        <v>1080</v>
      </c>
      <c r="M655" t="s">
        <v>1029</v>
      </c>
      <c r="N655" t="s">
        <v>1081</v>
      </c>
      <c r="O655" t="s">
        <v>994</v>
      </c>
      <c r="P655" t="s">
        <v>1059</v>
      </c>
      <c r="Q655" t="b">
        <v>1</v>
      </c>
      <c r="R655" t="b">
        <v>0</v>
      </c>
      <c r="S655" t="s">
        <v>1033</v>
      </c>
      <c r="T655" t="s">
        <v>994</v>
      </c>
      <c r="U655" t="s">
        <v>1034</v>
      </c>
      <c r="V655" t="s">
        <v>997</v>
      </c>
      <c r="W655" t="s">
        <v>1035</v>
      </c>
      <c r="X655" t="s">
        <v>1513</v>
      </c>
    </row>
    <row r="656" spans="1:24" x14ac:dyDescent="0.25">
      <c r="A656" t="s">
        <v>42</v>
      </c>
      <c r="B656" t="s">
        <v>2158</v>
      </c>
      <c r="C656" t="s">
        <v>335</v>
      </c>
      <c r="E656" t="s">
        <v>2036</v>
      </c>
      <c r="F656">
        <v>134345</v>
      </c>
      <c r="G656" t="s">
        <v>1052</v>
      </c>
      <c r="H656" t="s">
        <v>1519</v>
      </c>
      <c r="I656" t="s">
        <v>1510</v>
      </c>
      <c r="J656" t="s">
        <v>1401</v>
      </c>
      <c r="K656" t="s">
        <v>1079</v>
      </c>
      <c r="L656" t="s">
        <v>1080</v>
      </c>
      <c r="M656" t="s">
        <v>1029</v>
      </c>
      <c r="N656" t="s">
        <v>1081</v>
      </c>
      <c r="O656" t="s">
        <v>994</v>
      </c>
      <c r="P656" t="s">
        <v>1059</v>
      </c>
      <c r="Q656" t="b">
        <v>1</v>
      </c>
      <c r="R656" t="b">
        <v>0</v>
      </c>
      <c r="S656" t="s">
        <v>2149</v>
      </c>
      <c r="T656" t="s">
        <v>994</v>
      </c>
      <c r="U656" t="s">
        <v>1034</v>
      </c>
      <c r="V656" t="s">
        <v>997</v>
      </c>
      <c r="W656" t="s">
        <v>1035</v>
      </c>
      <c r="X656" t="s">
        <v>1513</v>
      </c>
    </row>
    <row r="657" spans="1:24" x14ac:dyDescent="0.25">
      <c r="A657" t="s">
        <v>42</v>
      </c>
      <c r="B657" t="s">
        <v>1526</v>
      </c>
      <c r="C657" t="s">
        <v>335</v>
      </c>
      <c r="E657" t="s">
        <v>1010</v>
      </c>
      <c r="F657">
        <v>161270</v>
      </c>
      <c r="G657" t="s">
        <v>1052</v>
      </c>
      <c r="H657" t="s">
        <v>1527</v>
      </c>
      <c r="I657" t="s">
        <v>1510</v>
      </c>
      <c r="J657" t="s">
        <v>1401</v>
      </c>
      <c r="K657" t="s">
        <v>1079</v>
      </c>
      <c r="L657" t="s">
        <v>1080</v>
      </c>
      <c r="M657" t="s">
        <v>1029</v>
      </c>
      <c r="N657" t="s">
        <v>1081</v>
      </c>
      <c r="O657" t="s">
        <v>994</v>
      </c>
      <c r="P657" t="s">
        <v>1083</v>
      </c>
      <c r="Q657" t="b">
        <v>1</v>
      </c>
      <c r="R657" t="b">
        <v>0</v>
      </c>
      <c r="S657" t="s">
        <v>1033</v>
      </c>
      <c r="T657" t="s">
        <v>994</v>
      </c>
      <c r="U657" t="s">
        <v>1034</v>
      </c>
      <c r="V657" t="s">
        <v>997</v>
      </c>
      <c r="W657" t="s">
        <v>1035</v>
      </c>
      <c r="X657" t="s">
        <v>1513</v>
      </c>
    </row>
    <row r="658" spans="1:24" x14ac:dyDescent="0.25">
      <c r="A658" t="s">
        <v>42</v>
      </c>
      <c r="B658" t="s">
        <v>1528</v>
      </c>
      <c r="C658" t="s">
        <v>335</v>
      </c>
      <c r="E658" t="s">
        <v>1012</v>
      </c>
      <c r="F658">
        <v>171036</v>
      </c>
      <c r="G658" t="s">
        <v>1052</v>
      </c>
      <c r="H658" t="s">
        <v>1529</v>
      </c>
      <c r="I658" t="s">
        <v>1510</v>
      </c>
      <c r="J658" t="s">
        <v>1401</v>
      </c>
      <c r="K658" t="s">
        <v>1114</v>
      </c>
      <c r="L658" t="s">
        <v>1115</v>
      </c>
      <c r="M658" t="s">
        <v>1057</v>
      </c>
      <c r="N658" t="s">
        <v>1116</v>
      </c>
      <c r="O658" t="s">
        <v>994</v>
      </c>
      <c r="P658" t="s">
        <v>1089</v>
      </c>
      <c r="Q658" t="b">
        <v>1</v>
      </c>
      <c r="R658" t="b">
        <v>0</v>
      </c>
      <c r="S658" t="s">
        <v>1033</v>
      </c>
      <c r="T658" t="s">
        <v>994</v>
      </c>
      <c r="U658" t="s">
        <v>1034</v>
      </c>
      <c r="V658" t="s">
        <v>997</v>
      </c>
      <c r="W658" t="s">
        <v>1035</v>
      </c>
      <c r="X658" t="s">
        <v>1513</v>
      </c>
    </row>
    <row r="659" spans="1:24" x14ac:dyDescent="0.25">
      <c r="A659" t="s">
        <v>42</v>
      </c>
      <c r="B659" t="s">
        <v>2159</v>
      </c>
      <c r="C659" t="s">
        <v>335</v>
      </c>
      <c r="E659" t="s">
        <v>2042</v>
      </c>
      <c r="F659">
        <v>171036</v>
      </c>
      <c r="G659" t="s">
        <v>1052</v>
      </c>
      <c r="H659" t="s">
        <v>1529</v>
      </c>
      <c r="I659" t="s">
        <v>1510</v>
      </c>
      <c r="J659" t="s">
        <v>1401</v>
      </c>
      <c r="K659" t="s">
        <v>1114</v>
      </c>
      <c r="L659" t="s">
        <v>1115</v>
      </c>
      <c r="M659" t="s">
        <v>1057</v>
      </c>
      <c r="N659" t="s">
        <v>1116</v>
      </c>
      <c r="O659" t="s">
        <v>994</v>
      </c>
      <c r="P659" t="s">
        <v>1089</v>
      </c>
      <c r="Q659" t="b">
        <v>1</v>
      </c>
      <c r="R659" t="b">
        <v>0</v>
      </c>
      <c r="S659" t="s">
        <v>2149</v>
      </c>
      <c r="T659" t="s">
        <v>994</v>
      </c>
      <c r="U659" t="s">
        <v>1034</v>
      </c>
      <c r="V659" t="s">
        <v>997</v>
      </c>
      <c r="W659" t="s">
        <v>1035</v>
      </c>
      <c r="X659" t="s">
        <v>1513</v>
      </c>
    </row>
    <row r="660" spans="1:24" x14ac:dyDescent="0.25">
      <c r="A660" t="s">
        <v>42</v>
      </c>
      <c r="B660" t="s">
        <v>1532</v>
      </c>
      <c r="C660" t="s">
        <v>335</v>
      </c>
      <c r="E660" t="s">
        <v>1016</v>
      </c>
      <c r="F660">
        <v>203231</v>
      </c>
      <c r="G660" t="s">
        <v>1052</v>
      </c>
      <c r="H660" t="s">
        <v>1533</v>
      </c>
      <c r="I660" t="s">
        <v>1510</v>
      </c>
      <c r="J660" t="s">
        <v>1401</v>
      </c>
      <c r="K660" t="s">
        <v>1100</v>
      </c>
      <c r="L660" t="s">
        <v>1101</v>
      </c>
      <c r="M660" t="s">
        <v>1029</v>
      </c>
      <c r="N660" t="s">
        <v>1102</v>
      </c>
      <c r="O660" t="s">
        <v>994</v>
      </c>
      <c r="P660" t="s">
        <v>1104</v>
      </c>
      <c r="Q660" t="b">
        <v>1</v>
      </c>
      <c r="R660" t="b">
        <v>0</v>
      </c>
      <c r="S660" t="s">
        <v>1033</v>
      </c>
      <c r="T660" t="s">
        <v>994</v>
      </c>
      <c r="U660" t="s">
        <v>1034</v>
      </c>
      <c r="V660" t="s">
        <v>997</v>
      </c>
      <c r="W660" t="s">
        <v>1035</v>
      </c>
      <c r="X660" t="s">
        <v>1513</v>
      </c>
    </row>
    <row r="661" spans="1:24" x14ac:dyDescent="0.25">
      <c r="A661" t="s">
        <v>42</v>
      </c>
      <c r="B661" t="s">
        <v>1534</v>
      </c>
      <c r="C661" t="s">
        <v>335</v>
      </c>
      <c r="E661" t="s">
        <v>1018</v>
      </c>
      <c r="F661">
        <v>223787</v>
      </c>
      <c r="G661" t="s">
        <v>1052</v>
      </c>
      <c r="H661" t="s">
        <v>1535</v>
      </c>
      <c r="I661" t="s">
        <v>1510</v>
      </c>
      <c r="J661" t="s">
        <v>1401</v>
      </c>
      <c r="K661" t="s">
        <v>1107</v>
      </c>
      <c r="L661" t="s">
        <v>1108</v>
      </c>
      <c r="M661" t="s">
        <v>1029</v>
      </c>
      <c r="N661" t="s">
        <v>1109</v>
      </c>
      <c r="O661" t="s">
        <v>994</v>
      </c>
      <c r="P661" t="s">
        <v>1111</v>
      </c>
      <c r="Q661" t="b">
        <v>1</v>
      </c>
      <c r="R661" t="b">
        <v>0</v>
      </c>
      <c r="S661" t="s">
        <v>1033</v>
      </c>
      <c r="T661" t="s">
        <v>994</v>
      </c>
      <c r="U661" t="s">
        <v>1034</v>
      </c>
      <c r="V661" t="s">
        <v>997</v>
      </c>
      <c r="W661" t="s">
        <v>1035</v>
      </c>
      <c r="X661" t="s">
        <v>1513</v>
      </c>
    </row>
    <row r="662" spans="1:24" x14ac:dyDescent="0.25">
      <c r="A662" t="s">
        <v>42</v>
      </c>
      <c r="B662" t="s">
        <v>1536</v>
      </c>
      <c r="C662" t="s">
        <v>335</v>
      </c>
      <c r="E662" t="s">
        <v>1020</v>
      </c>
      <c r="F662">
        <v>246597</v>
      </c>
      <c r="G662" t="s">
        <v>1052</v>
      </c>
      <c r="H662" t="s">
        <v>1537</v>
      </c>
      <c r="I662" t="s">
        <v>1510</v>
      </c>
      <c r="J662" t="s">
        <v>1401</v>
      </c>
      <c r="K662" t="s">
        <v>1114</v>
      </c>
      <c r="L662" t="s">
        <v>1115</v>
      </c>
      <c r="M662" t="s">
        <v>1057</v>
      </c>
      <c r="N662" t="s">
        <v>1116</v>
      </c>
      <c r="O662" t="s">
        <v>994</v>
      </c>
      <c r="P662" t="s">
        <v>1117</v>
      </c>
      <c r="Q662" t="b">
        <v>1</v>
      </c>
      <c r="R662" t="b">
        <v>0</v>
      </c>
      <c r="S662" t="s">
        <v>1033</v>
      </c>
      <c r="T662" t="s">
        <v>994</v>
      </c>
      <c r="U662" t="s">
        <v>1034</v>
      </c>
      <c r="V662" t="s">
        <v>997</v>
      </c>
      <c r="W662" t="s">
        <v>1035</v>
      </c>
      <c r="X662" t="s">
        <v>1513</v>
      </c>
    </row>
    <row r="663" spans="1:24" x14ac:dyDescent="0.25">
      <c r="A663" t="s">
        <v>42</v>
      </c>
      <c r="B663" t="s">
        <v>2160</v>
      </c>
      <c r="C663" t="s">
        <v>335</v>
      </c>
      <c r="E663" t="s">
        <v>2048</v>
      </c>
      <c r="F663">
        <v>246597</v>
      </c>
      <c r="G663" t="s">
        <v>1052</v>
      </c>
      <c r="H663" t="s">
        <v>1537</v>
      </c>
      <c r="I663" t="s">
        <v>1510</v>
      </c>
      <c r="J663" t="s">
        <v>1401</v>
      </c>
      <c r="K663" t="s">
        <v>1114</v>
      </c>
      <c r="L663" t="s">
        <v>1115</v>
      </c>
      <c r="M663" t="s">
        <v>1057</v>
      </c>
      <c r="N663" t="s">
        <v>1116</v>
      </c>
      <c r="O663" t="s">
        <v>994</v>
      </c>
      <c r="P663" t="s">
        <v>1117</v>
      </c>
      <c r="Q663" t="b">
        <v>1</v>
      </c>
      <c r="R663" t="b">
        <v>0</v>
      </c>
      <c r="S663" t="s">
        <v>2149</v>
      </c>
      <c r="T663" t="s">
        <v>994</v>
      </c>
      <c r="U663" t="s">
        <v>1034</v>
      </c>
      <c r="V663" t="s">
        <v>997</v>
      </c>
      <c r="W663" t="s">
        <v>1035</v>
      </c>
      <c r="X663" t="s">
        <v>1513</v>
      </c>
    </row>
    <row r="664" spans="1:24" x14ac:dyDescent="0.25">
      <c r="A664" t="s">
        <v>42</v>
      </c>
      <c r="B664" t="s">
        <v>1538</v>
      </c>
      <c r="C664" t="s">
        <v>335</v>
      </c>
      <c r="E664" t="s">
        <v>1022</v>
      </c>
      <c r="F664">
        <v>281020</v>
      </c>
      <c r="G664" t="s">
        <v>1052</v>
      </c>
      <c r="H664" t="s">
        <v>1539</v>
      </c>
      <c r="I664" t="s">
        <v>1510</v>
      </c>
      <c r="J664" t="s">
        <v>1401</v>
      </c>
      <c r="K664" t="s">
        <v>1120</v>
      </c>
      <c r="L664" t="s">
        <v>1121</v>
      </c>
      <c r="M664" t="s">
        <v>1029</v>
      </c>
      <c r="N664" t="s">
        <v>1122</v>
      </c>
      <c r="O664" t="s">
        <v>994</v>
      </c>
      <c r="P664" t="s">
        <v>1124</v>
      </c>
      <c r="Q664" t="b">
        <v>1</v>
      </c>
      <c r="R664" t="b">
        <v>0</v>
      </c>
      <c r="S664" t="s">
        <v>1033</v>
      </c>
      <c r="T664" t="s">
        <v>994</v>
      </c>
      <c r="U664" t="s">
        <v>1034</v>
      </c>
      <c r="V664" t="s">
        <v>997</v>
      </c>
      <c r="W664" t="s">
        <v>1035</v>
      </c>
      <c r="X664" t="s">
        <v>1513</v>
      </c>
    </row>
    <row r="665" spans="1:24" x14ac:dyDescent="0.25">
      <c r="A665" t="s">
        <v>42</v>
      </c>
      <c r="B665" t="s">
        <v>2161</v>
      </c>
      <c r="C665" t="s">
        <v>336</v>
      </c>
      <c r="E665" t="s">
        <v>2036</v>
      </c>
      <c r="F665">
        <v>0</v>
      </c>
      <c r="G665" t="s">
        <v>1052</v>
      </c>
      <c r="H665" t="s">
        <v>1549</v>
      </c>
      <c r="I665" t="s">
        <v>1550</v>
      </c>
      <c r="J665" t="s">
        <v>1401</v>
      </c>
      <c r="K665" t="s">
        <v>994</v>
      </c>
      <c r="L665" t="s">
        <v>994</v>
      </c>
      <c r="M665" t="s">
        <v>994</v>
      </c>
      <c r="N665" t="s">
        <v>994</v>
      </c>
      <c r="O665" t="s">
        <v>994</v>
      </c>
      <c r="P665" t="s">
        <v>994</v>
      </c>
      <c r="Q665" t="b">
        <v>1</v>
      </c>
      <c r="R665" t="b">
        <v>0</v>
      </c>
      <c r="S665" t="s">
        <v>2149</v>
      </c>
      <c r="T665" t="s">
        <v>994</v>
      </c>
      <c r="U665" t="s">
        <v>1034</v>
      </c>
      <c r="V665" t="s">
        <v>997</v>
      </c>
      <c r="W665" t="s">
        <v>1035</v>
      </c>
      <c r="X665" t="s">
        <v>994</v>
      </c>
    </row>
    <row r="666" spans="1:24" x14ac:dyDescent="0.25">
      <c r="A666" t="s">
        <v>42</v>
      </c>
      <c r="B666" t="s">
        <v>2162</v>
      </c>
      <c r="C666" t="s">
        <v>336</v>
      </c>
      <c r="E666" t="s">
        <v>2042</v>
      </c>
      <c r="F666">
        <v>0</v>
      </c>
      <c r="G666" t="s">
        <v>1052</v>
      </c>
      <c r="H666" t="s">
        <v>1549</v>
      </c>
      <c r="I666" t="s">
        <v>1550</v>
      </c>
      <c r="J666" t="s">
        <v>1401</v>
      </c>
      <c r="K666" t="s">
        <v>994</v>
      </c>
      <c r="L666" t="s">
        <v>994</v>
      </c>
      <c r="M666" t="s">
        <v>994</v>
      </c>
      <c r="N666" t="s">
        <v>994</v>
      </c>
      <c r="O666" t="s">
        <v>994</v>
      </c>
      <c r="P666" t="s">
        <v>994</v>
      </c>
      <c r="Q666" t="b">
        <v>1</v>
      </c>
      <c r="R666" t="b">
        <v>0</v>
      </c>
      <c r="S666" t="s">
        <v>2149</v>
      </c>
      <c r="T666" t="s">
        <v>994</v>
      </c>
      <c r="U666" t="s">
        <v>1034</v>
      </c>
      <c r="V666" t="s">
        <v>997</v>
      </c>
      <c r="W666" t="s">
        <v>1035</v>
      </c>
      <c r="X666" t="s">
        <v>994</v>
      </c>
    </row>
    <row r="667" spans="1:24" x14ac:dyDescent="0.25">
      <c r="A667" t="s">
        <v>42</v>
      </c>
      <c r="B667" t="s">
        <v>2163</v>
      </c>
      <c r="C667" t="s">
        <v>336</v>
      </c>
      <c r="E667" t="s">
        <v>2048</v>
      </c>
      <c r="F667">
        <v>1088</v>
      </c>
      <c r="G667" t="s">
        <v>1052</v>
      </c>
      <c r="H667" t="s">
        <v>1559</v>
      </c>
      <c r="I667" t="s">
        <v>1542</v>
      </c>
      <c r="J667" t="s">
        <v>1401</v>
      </c>
      <c r="K667" t="s">
        <v>1120</v>
      </c>
      <c r="L667" t="s">
        <v>1121</v>
      </c>
      <c r="M667" t="s">
        <v>1029</v>
      </c>
      <c r="N667" t="s">
        <v>1122</v>
      </c>
      <c r="O667" t="s">
        <v>994</v>
      </c>
      <c r="P667" t="s">
        <v>1117</v>
      </c>
      <c r="Q667" t="b">
        <v>1</v>
      </c>
      <c r="R667" t="b">
        <v>0</v>
      </c>
      <c r="S667" t="s">
        <v>2149</v>
      </c>
      <c r="T667" t="s">
        <v>994</v>
      </c>
      <c r="U667" t="s">
        <v>1034</v>
      </c>
      <c r="V667" t="s">
        <v>997</v>
      </c>
      <c r="W667" t="s">
        <v>1035</v>
      </c>
      <c r="X667" t="s">
        <v>1543</v>
      </c>
    </row>
    <row r="668" spans="1:24" x14ac:dyDescent="0.25">
      <c r="A668" t="s">
        <v>42</v>
      </c>
      <c r="B668" t="s">
        <v>2164</v>
      </c>
      <c r="C668" t="s">
        <v>337</v>
      </c>
      <c r="E668" t="s">
        <v>2036</v>
      </c>
      <c r="F668">
        <v>29198</v>
      </c>
      <c r="G668" t="s">
        <v>1052</v>
      </c>
      <c r="H668" t="s">
        <v>1569</v>
      </c>
      <c r="I668" t="s">
        <v>337</v>
      </c>
      <c r="J668" t="s">
        <v>1401</v>
      </c>
      <c r="K668" t="s">
        <v>1055</v>
      </c>
      <c r="L668" t="s">
        <v>1056</v>
      </c>
      <c r="M668" t="s">
        <v>1057</v>
      </c>
      <c r="N668" t="s">
        <v>1058</v>
      </c>
      <c r="O668" t="s">
        <v>994</v>
      </c>
      <c r="P668" t="s">
        <v>1059</v>
      </c>
      <c r="Q668" t="b">
        <v>1</v>
      </c>
      <c r="R668" t="b">
        <v>0</v>
      </c>
      <c r="S668" t="s">
        <v>2149</v>
      </c>
      <c r="T668" t="s">
        <v>994</v>
      </c>
      <c r="U668" t="s">
        <v>1034</v>
      </c>
      <c r="V668" t="s">
        <v>997</v>
      </c>
      <c r="W668" t="s">
        <v>1035</v>
      </c>
      <c r="X668" t="s">
        <v>994</v>
      </c>
    </row>
    <row r="669" spans="1:24" x14ac:dyDescent="0.25">
      <c r="A669" t="s">
        <v>42</v>
      </c>
      <c r="B669" t="s">
        <v>2165</v>
      </c>
      <c r="C669" t="s">
        <v>337</v>
      </c>
      <c r="E669" t="s">
        <v>2042</v>
      </c>
      <c r="F669">
        <v>31885</v>
      </c>
      <c r="G669" t="s">
        <v>1052</v>
      </c>
      <c r="H669" t="s">
        <v>1577</v>
      </c>
      <c r="I669" t="s">
        <v>337</v>
      </c>
      <c r="J669" t="s">
        <v>1401</v>
      </c>
      <c r="K669" t="s">
        <v>1086</v>
      </c>
      <c r="L669" t="s">
        <v>1087</v>
      </c>
      <c r="M669" t="s">
        <v>1057</v>
      </c>
      <c r="N669" t="s">
        <v>1088</v>
      </c>
      <c r="O669" t="s">
        <v>994</v>
      </c>
      <c r="P669" t="s">
        <v>1089</v>
      </c>
      <c r="Q669" t="b">
        <v>1</v>
      </c>
      <c r="R669" t="b">
        <v>0</v>
      </c>
      <c r="S669" t="s">
        <v>2149</v>
      </c>
      <c r="T669" t="s">
        <v>994</v>
      </c>
      <c r="U669" t="s">
        <v>1034</v>
      </c>
      <c r="V669" t="s">
        <v>997</v>
      </c>
      <c r="W669" t="s">
        <v>1035</v>
      </c>
      <c r="X669" t="s">
        <v>994</v>
      </c>
    </row>
    <row r="670" spans="1:24" x14ac:dyDescent="0.25">
      <c r="A670" t="s">
        <v>42</v>
      </c>
      <c r="B670" t="s">
        <v>2166</v>
      </c>
      <c r="C670" t="s">
        <v>337</v>
      </c>
      <c r="E670" t="s">
        <v>2048</v>
      </c>
      <c r="F670">
        <v>33380</v>
      </c>
      <c r="G670" t="s">
        <v>1052</v>
      </c>
      <c r="H670" t="s">
        <v>1585</v>
      </c>
      <c r="I670" t="s">
        <v>337</v>
      </c>
      <c r="J670" t="s">
        <v>1401</v>
      </c>
      <c r="K670" t="s">
        <v>1114</v>
      </c>
      <c r="L670" t="s">
        <v>1115</v>
      </c>
      <c r="M670" t="s">
        <v>1057</v>
      </c>
      <c r="N670" t="s">
        <v>1116</v>
      </c>
      <c r="O670" t="s">
        <v>994</v>
      </c>
      <c r="P670" t="s">
        <v>1117</v>
      </c>
      <c r="Q670" t="b">
        <v>1</v>
      </c>
      <c r="R670" t="b">
        <v>0</v>
      </c>
      <c r="S670" t="s">
        <v>2149</v>
      </c>
      <c r="T670" t="s">
        <v>994</v>
      </c>
      <c r="U670" t="s">
        <v>1034</v>
      </c>
      <c r="V670" t="s">
        <v>997</v>
      </c>
      <c r="W670" t="s">
        <v>1035</v>
      </c>
      <c r="X670" t="s">
        <v>994</v>
      </c>
    </row>
    <row r="671" spans="1:24" x14ac:dyDescent="0.25">
      <c r="A671" t="s">
        <v>42</v>
      </c>
      <c r="B671" t="s">
        <v>2167</v>
      </c>
      <c r="C671" t="s">
        <v>341</v>
      </c>
      <c r="E671" t="s">
        <v>2036</v>
      </c>
      <c r="F671">
        <v>7493</v>
      </c>
      <c r="G671" t="s">
        <v>1052</v>
      </c>
      <c r="H671" t="s">
        <v>1646</v>
      </c>
      <c r="I671" t="s">
        <v>1639</v>
      </c>
      <c r="J671" t="s">
        <v>1401</v>
      </c>
      <c r="K671" t="s">
        <v>1055</v>
      </c>
      <c r="L671" t="s">
        <v>1056</v>
      </c>
      <c r="M671" t="s">
        <v>1057</v>
      </c>
      <c r="N671" t="s">
        <v>1058</v>
      </c>
      <c r="O671" t="s">
        <v>994</v>
      </c>
      <c r="P671" t="s">
        <v>1059</v>
      </c>
      <c r="Q671" t="b">
        <v>1</v>
      </c>
      <c r="R671" t="b">
        <v>0</v>
      </c>
      <c r="S671" t="s">
        <v>2149</v>
      </c>
      <c r="T671" t="s">
        <v>994</v>
      </c>
      <c r="U671" t="s">
        <v>1034</v>
      </c>
      <c r="V671" t="s">
        <v>997</v>
      </c>
      <c r="W671" t="s">
        <v>1035</v>
      </c>
      <c r="X671" t="s">
        <v>1640</v>
      </c>
    </row>
    <row r="672" spans="1:24" x14ac:dyDescent="0.25">
      <c r="A672" t="s">
        <v>42</v>
      </c>
      <c r="B672" t="s">
        <v>2168</v>
      </c>
      <c r="C672" t="s">
        <v>341</v>
      </c>
      <c r="E672" t="s">
        <v>2042</v>
      </c>
      <c r="F672">
        <v>7987</v>
      </c>
      <c r="G672" t="s">
        <v>1052</v>
      </c>
      <c r="H672" t="s">
        <v>1654</v>
      </c>
      <c r="I672" t="s">
        <v>1639</v>
      </c>
      <c r="J672" t="s">
        <v>1401</v>
      </c>
      <c r="K672" t="s">
        <v>1086</v>
      </c>
      <c r="L672" t="s">
        <v>1087</v>
      </c>
      <c r="M672" t="s">
        <v>1057</v>
      </c>
      <c r="N672" t="s">
        <v>1088</v>
      </c>
      <c r="O672" t="s">
        <v>994</v>
      </c>
      <c r="P672" t="s">
        <v>1089</v>
      </c>
      <c r="Q672" t="b">
        <v>1</v>
      </c>
      <c r="R672" t="b">
        <v>0</v>
      </c>
      <c r="S672" t="s">
        <v>2149</v>
      </c>
      <c r="T672" t="s">
        <v>994</v>
      </c>
      <c r="U672" t="s">
        <v>1034</v>
      </c>
      <c r="V672" t="s">
        <v>997</v>
      </c>
      <c r="W672" t="s">
        <v>1035</v>
      </c>
      <c r="X672" t="s">
        <v>1640</v>
      </c>
    </row>
    <row r="673" spans="1:24" x14ac:dyDescent="0.25">
      <c r="A673" t="s">
        <v>42</v>
      </c>
      <c r="B673" t="s">
        <v>2169</v>
      </c>
      <c r="C673" t="s">
        <v>341</v>
      </c>
      <c r="E673" t="s">
        <v>2048</v>
      </c>
      <c r="F673">
        <v>12200</v>
      </c>
      <c r="G673" t="s">
        <v>1052</v>
      </c>
      <c r="H673" t="s">
        <v>1662</v>
      </c>
      <c r="I673" t="s">
        <v>1639</v>
      </c>
      <c r="J673" t="s">
        <v>1401</v>
      </c>
      <c r="K673" t="s">
        <v>1114</v>
      </c>
      <c r="L673" t="s">
        <v>1115</v>
      </c>
      <c r="M673" t="s">
        <v>1057</v>
      </c>
      <c r="N673" t="s">
        <v>1116</v>
      </c>
      <c r="O673" t="s">
        <v>994</v>
      </c>
      <c r="P673" t="s">
        <v>1117</v>
      </c>
      <c r="Q673" t="b">
        <v>1</v>
      </c>
      <c r="R673" t="b">
        <v>0</v>
      </c>
      <c r="S673" t="s">
        <v>2149</v>
      </c>
      <c r="T673" t="s">
        <v>994</v>
      </c>
      <c r="U673" t="s">
        <v>1034</v>
      </c>
      <c r="V673" t="s">
        <v>997</v>
      </c>
      <c r="W673" t="s">
        <v>1035</v>
      </c>
      <c r="X673" t="s">
        <v>1640</v>
      </c>
    </row>
    <row r="674" spans="1:24" x14ac:dyDescent="0.25">
      <c r="A674" t="s">
        <v>42</v>
      </c>
      <c r="B674" t="s">
        <v>2170</v>
      </c>
      <c r="C674" t="s">
        <v>333</v>
      </c>
      <c r="E674" t="s">
        <v>2036</v>
      </c>
      <c r="F674">
        <v>12650</v>
      </c>
      <c r="G674" t="s">
        <v>1052</v>
      </c>
      <c r="H674" t="s">
        <v>1489</v>
      </c>
      <c r="I674" t="s">
        <v>1482</v>
      </c>
      <c r="J674" t="s">
        <v>1401</v>
      </c>
      <c r="K674" t="s">
        <v>1055</v>
      </c>
      <c r="L674" t="s">
        <v>1056</v>
      </c>
      <c r="M674" t="s">
        <v>1057</v>
      </c>
      <c r="N674" t="s">
        <v>1058</v>
      </c>
      <c r="O674" t="s">
        <v>994</v>
      </c>
      <c r="P674" t="s">
        <v>1059</v>
      </c>
      <c r="Q674" t="b">
        <v>1</v>
      </c>
      <c r="R674" t="b">
        <v>0</v>
      </c>
      <c r="S674" t="s">
        <v>2149</v>
      </c>
      <c r="T674" t="s">
        <v>994</v>
      </c>
      <c r="U674" t="s">
        <v>1034</v>
      </c>
      <c r="V674" t="s">
        <v>997</v>
      </c>
      <c r="W674" t="s">
        <v>1035</v>
      </c>
      <c r="X674" t="s">
        <v>1483</v>
      </c>
    </row>
    <row r="675" spans="1:24" x14ac:dyDescent="0.25">
      <c r="A675" t="s">
        <v>42</v>
      </c>
      <c r="B675" t="s">
        <v>2171</v>
      </c>
      <c r="C675" t="s">
        <v>333</v>
      </c>
      <c r="E675" t="s">
        <v>2042</v>
      </c>
      <c r="F675">
        <v>15714</v>
      </c>
      <c r="G675" t="s">
        <v>1052</v>
      </c>
      <c r="H675" t="s">
        <v>1497</v>
      </c>
      <c r="I675" t="s">
        <v>1482</v>
      </c>
      <c r="J675" t="s">
        <v>1401</v>
      </c>
      <c r="K675" t="s">
        <v>1086</v>
      </c>
      <c r="L675" t="s">
        <v>1087</v>
      </c>
      <c r="M675" t="s">
        <v>1057</v>
      </c>
      <c r="N675" t="s">
        <v>1088</v>
      </c>
      <c r="O675" t="s">
        <v>994</v>
      </c>
      <c r="P675" t="s">
        <v>1089</v>
      </c>
      <c r="Q675" t="b">
        <v>1</v>
      </c>
      <c r="R675" t="b">
        <v>0</v>
      </c>
      <c r="S675" t="s">
        <v>2149</v>
      </c>
      <c r="T675" t="s">
        <v>994</v>
      </c>
      <c r="U675" t="s">
        <v>1034</v>
      </c>
      <c r="V675" t="s">
        <v>997</v>
      </c>
      <c r="W675" t="s">
        <v>1035</v>
      </c>
      <c r="X675" t="s">
        <v>1483</v>
      </c>
    </row>
    <row r="676" spans="1:24" x14ac:dyDescent="0.25">
      <c r="A676" t="s">
        <v>42</v>
      </c>
      <c r="B676" t="s">
        <v>2172</v>
      </c>
      <c r="C676" t="s">
        <v>333</v>
      </c>
      <c r="E676" t="s">
        <v>2048</v>
      </c>
      <c r="F676">
        <v>16309</v>
      </c>
      <c r="G676" t="s">
        <v>1052</v>
      </c>
      <c r="H676" t="s">
        <v>1505</v>
      </c>
      <c r="I676" t="s">
        <v>1482</v>
      </c>
      <c r="J676" t="s">
        <v>1401</v>
      </c>
      <c r="K676" t="s">
        <v>1114</v>
      </c>
      <c r="L676" t="s">
        <v>1115</v>
      </c>
      <c r="M676" t="s">
        <v>1057</v>
      </c>
      <c r="N676" t="s">
        <v>1116</v>
      </c>
      <c r="O676" t="s">
        <v>994</v>
      </c>
      <c r="P676" t="s">
        <v>1117</v>
      </c>
      <c r="Q676" t="b">
        <v>1</v>
      </c>
      <c r="R676" t="b">
        <v>0</v>
      </c>
      <c r="S676" t="s">
        <v>2149</v>
      </c>
      <c r="T676" t="s">
        <v>994</v>
      </c>
      <c r="U676" t="s">
        <v>1034</v>
      </c>
      <c r="V676" t="s">
        <v>997</v>
      </c>
      <c r="W676" t="s">
        <v>1035</v>
      </c>
      <c r="X676" t="s">
        <v>1483</v>
      </c>
    </row>
    <row r="677" spans="1:24" x14ac:dyDescent="0.25">
      <c r="A677" t="s">
        <v>42</v>
      </c>
      <c r="B677" t="s">
        <v>1588</v>
      </c>
      <c r="C677" t="s">
        <v>338</v>
      </c>
      <c r="E677" t="s">
        <v>992</v>
      </c>
      <c r="F677">
        <v>59226</v>
      </c>
      <c r="G677" t="s">
        <v>1052</v>
      </c>
      <c r="H677" t="s">
        <v>1589</v>
      </c>
      <c r="I677" t="s">
        <v>1590</v>
      </c>
      <c r="J677" t="s">
        <v>1401</v>
      </c>
      <c r="K677" t="s">
        <v>1027</v>
      </c>
      <c r="L677" t="s">
        <v>1028</v>
      </c>
      <c r="M677" t="s">
        <v>1029</v>
      </c>
      <c r="N677" t="s">
        <v>1030</v>
      </c>
      <c r="O677" t="s">
        <v>994</v>
      </c>
      <c r="P677" t="s">
        <v>1032</v>
      </c>
      <c r="Q677" t="b">
        <v>1</v>
      </c>
      <c r="R677" t="b">
        <v>0</v>
      </c>
      <c r="S677" t="s">
        <v>2149</v>
      </c>
      <c r="T677" t="s">
        <v>994</v>
      </c>
      <c r="U677" t="s">
        <v>1034</v>
      </c>
      <c r="V677" t="s">
        <v>997</v>
      </c>
      <c r="W677" t="s">
        <v>1035</v>
      </c>
      <c r="X677" t="s">
        <v>1594</v>
      </c>
    </row>
    <row r="678" spans="1:24" x14ac:dyDescent="0.25">
      <c r="A678" t="s">
        <v>42</v>
      </c>
      <c r="B678" t="s">
        <v>1595</v>
      </c>
      <c r="C678" t="s">
        <v>338</v>
      </c>
      <c r="E678" t="s">
        <v>1000</v>
      </c>
      <c r="F678">
        <v>62108</v>
      </c>
      <c r="G678" t="s">
        <v>1052</v>
      </c>
      <c r="H678" t="s">
        <v>1596</v>
      </c>
      <c r="I678" t="s">
        <v>1590</v>
      </c>
      <c r="J678" t="s">
        <v>1401</v>
      </c>
      <c r="K678" t="s">
        <v>1039</v>
      </c>
      <c r="L678" t="s">
        <v>1040</v>
      </c>
      <c r="M678" t="s">
        <v>1029</v>
      </c>
      <c r="N678" t="s">
        <v>1041</v>
      </c>
      <c r="O678" t="s">
        <v>994</v>
      </c>
      <c r="P678" t="s">
        <v>1043</v>
      </c>
      <c r="Q678" t="b">
        <v>1</v>
      </c>
      <c r="R678" t="b">
        <v>0</v>
      </c>
      <c r="S678" t="s">
        <v>2149</v>
      </c>
      <c r="T678" t="s">
        <v>994</v>
      </c>
      <c r="U678" t="s">
        <v>1034</v>
      </c>
      <c r="V678" t="s">
        <v>997</v>
      </c>
      <c r="W678" t="s">
        <v>1035</v>
      </c>
      <c r="X678" t="s">
        <v>1594</v>
      </c>
    </row>
    <row r="679" spans="1:24" x14ac:dyDescent="0.25">
      <c r="A679" t="s">
        <v>42</v>
      </c>
      <c r="B679" t="s">
        <v>1597</v>
      </c>
      <c r="C679" t="s">
        <v>338</v>
      </c>
      <c r="E679" t="s">
        <v>1002</v>
      </c>
      <c r="F679">
        <v>63951</v>
      </c>
      <c r="G679" t="s">
        <v>1052</v>
      </c>
      <c r="H679" t="s">
        <v>1598</v>
      </c>
      <c r="I679" t="s">
        <v>1590</v>
      </c>
      <c r="J679" t="s">
        <v>1401</v>
      </c>
      <c r="K679" t="s">
        <v>1046</v>
      </c>
      <c r="L679" t="s">
        <v>1047</v>
      </c>
      <c r="M679" t="s">
        <v>1029</v>
      </c>
      <c r="N679" t="s">
        <v>1048</v>
      </c>
      <c r="O679" t="s">
        <v>994</v>
      </c>
      <c r="P679" t="s">
        <v>1050</v>
      </c>
      <c r="Q679" t="b">
        <v>1</v>
      </c>
      <c r="R679" t="b">
        <v>0</v>
      </c>
      <c r="S679" t="s">
        <v>2149</v>
      </c>
      <c r="T679" t="s">
        <v>994</v>
      </c>
      <c r="U679" t="s">
        <v>1034</v>
      </c>
      <c r="V679" t="s">
        <v>997</v>
      </c>
      <c r="W679" t="s">
        <v>1035</v>
      </c>
      <c r="X679" t="s">
        <v>1594</v>
      </c>
    </row>
    <row r="680" spans="1:24" x14ac:dyDescent="0.25">
      <c r="A680" t="s">
        <v>42</v>
      </c>
      <c r="B680" t="s">
        <v>1599</v>
      </c>
      <c r="C680" t="s">
        <v>338</v>
      </c>
      <c r="E680" t="s">
        <v>1004</v>
      </c>
      <c r="F680">
        <v>67319</v>
      </c>
      <c r="G680" t="s">
        <v>1052</v>
      </c>
      <c r="H680" t="s">
        <v>1600</v>
      </c>
      <c r="I680" t="s">
        <v>1601</v>
      </c>
      <c r="J680" t="s">
        <v>1401</v>
      </c>
      <c r="K680" t="s">
        <v>1602</v>
      </c>
      <c r="L680" t="s">
        <v>1603</v>
      </c>
      <c r="M680" t="s">
        <v>1604</v>
      </c>
      <c r="N680" t="s">
        <v>1605</v>
      </c>
      <c r="O680" t="s">
        <v>994</v>
      </c>
      <c r="P680" t="s">
        <v>1059</v>
      </c>
      <c r="Q680" t="b">
        <v>1</v>
      </c>
      <c r="R680" t="b">
        <v>0</v>
      </c>
      <c r="S680" t="s">
        <v>2149</v>
      </c>
      <c r="T680" t="s">
        <v>994</v>
      </c>
      <c r="U680" t="s">
        <v>1034</v>
      </c>
      <c r="V680" t="s">
        <v>997</v>
      </c>
      <c r="W680" t="s">
        <v>1035</v>
      </c>
      <c r="X680" t="s">
        <v>1608</v>
      </c>
    </row>
    <row r="681" spans="1:24" x14ac:dyDescent="0.25">
      <c r="A681" t="s">
        <v>42</v>
      </c>
      <c r="B681" t="s">
        <v>2173</v>
      </c>
      <c r="C681" t="s">
        <v>338</v>
      </c>
      <c r="E681" t="s">
        <v>2036</v>
      </c>
      <c r="F681">
        <v>67319</v>
      </c>
      <c r="G681" t="s">
        <v>1052</v>
      </c>
      <c r="H681" t="s">
        <v>1600</v>
      </c>
      <c r="I681" t="s">
        <v>1601</v>
      </c>
      <c r="J681" t="s">
        <v>1401</v>
      </c>
      <c r="K681" t="s">
        <v>1602</v>
      </c>
      <c r="L681" t="s">
        <v>1603</v>
      </c>
      <c r="M681" t="s">
        <v>1604</v>
      </c>
      <c r="N681" t="s">
        <v>1605</v>
      </c>
      <c r="O681" t="s">
        <v>994</v>
      </c>
      <c r="P681" t="s">
        <v>1059</v>
      </c>
      <c r="Q681" t="b">
        <v>1</v>
      </c>
      <c r="R681" t="b">
        <v>0</v>
      </c>
      <c r="S681" t="s">
        <v>2149</v>
      </c>
      <c r="T681" t="s">
        <v>994</v>
      </c>
      <c r="U681" t="s">
        <v>1034</v>
      </c>
      <c r="V681" t="s">
        <v>997</v>
      </c>
      <c r="W681" t="s">
        <v>1035</v>
      </c>
      <c r="X681" t="s">
        <v>1608</v>
      </c>
    </row>
    <row r="682" spans="1:24" x14ac:dyDescent="0.25">
      <c r="A682" t="s">
        <v>42</v>
      </c>
      <c r="B682" t="s">
        <v>1609</v>
      </c>
      <c r="C682" t="s">
        <v>338</v>
      </c>
      <c r="E682" t="s">
        <v>1006</v>
      </c>
      <c r="F682">
        <v>69514</v>
      </c>
      <c r="G682" t="s">
        <v>1052</v>
      </c>
      <c r="H682" t="s">
        <v>1610</v>
      </c>
      <c r="I682" t="s">
        <v>1611</v>
      </c>
      <c r="J682" t="s">
        <v>1401</v>
      </c>
      <c r="K682" t="s">
        <v>1065</v>
      </c>
      <c r="L682" t="s">
        <v>1066</v>
      </c>
      <c r="M682" t="s">
        <v>1029</v>
      </c>
      <c r="N682" t="s">
        <v>1067</v>
      </c>
      <c r="O682" t="s">
        <v>994</v>
      </c>
      <c r="P682" t="s">
        <v>1069</v>
      </c>
      <c r="Q682" t="b">
        <v>1</v>
      </c>
      <c r="R682" t="b">
        <v>0</v>
      </c>
      <c r="S682" t="s">
        <v>2149</v>
      </c>
      <c r="T682" t="s">
        <v>994</v>
      </c>
      <c r="U682" t="s">
        <v>1034</v>
      </c>
      <c r="V682" t="s">
        <v>997</v>
      </c>
      <c r="W682" t="s">
        <v>1035</v>
      </c>
      <c r="X682" t="s">
        <v>1614</v>
      </c>
    </row>
    <row r="683" spans="1:24" x14ac:dyDescent="0.25">
      <c r="A683" t="s">
        <v>42</v>
      </c>
      <c r="B683" t="s">
        <v>1615</v>
      </c>
      <c r="C683" t="s">
        <v>338</v>
      </c>
      <c r="E683" t="s">
        <v>1008</v>
      </c>
      <c r="F683">
        <v>72435</v>
      </c>
      <c r="G683" t="s">
        <v>1052</v>
      </c>
      <c r="H683" t="s">
        <v>1616</v>
      </c>
      <c r="I683" t="s">
        <v>1611</v>
      </c>
      <c r="J683" t="s">
        <v>1401</v>
      </c>
      <c r="K683" t="s">
        <v>1072</v>
      </c>
      <c r="L683" t="s">
        <v>1073</v>
      </c>
      <c r="M683" t="s">
        <v>1029</v>
      </c>
      <c r="N683" t="s">
        <v>1074</v>
      </c>
      <c r="O683" t="s">
        <v>994</v>
      </c>
      <c r="P683" t="s">
        <v>1076</v>
      </c>
      <c r="Q683" t="b">
        <v>1</v>
      </c>
      <c r="R683" t="b">
        <v>0</v>
      </c>
      <c r="S683" t="s">
        <v>2149</v>
      </c>
      <c r="T683" t="s">
        <v>994</v>
      </c>
      <c r="U683" t="s">
        <v>1034</v>
      </c>
      <c r="V683" t="s">
        <v>997</v>
      </c>
      <c r="W683" t="s">
        <v>1035</v>
      </c>
      <c r="X683" t="s">
        <v>1614</v>
      </c>
    </row>
    <row r="684" spans="1:24" x14ac:dyDescent="0.25">
      <c r="A684" t="s">
        <v>42</v>
      </c>
      <c r="B684" t="s">
        <v>1617</v>
      </c>
      <c r="C684" t="s">
        <v>338</v>
      </c>
      <c r="E684" t="s">
        <v>1010</v>
      </c>
      <c r="F684">
        <v>79520</v>
      </c>
      <c r="G684" t="s">
        <v>1052</v>
      </c>
      <c r="H684" t="s">
        <v>1618</v>
      </c>
      <c r="I684" t="s">
        <v>1601</v>
      </c>
      <c r="J684" t="s">
        <v>1401</v>
      </c>
      <c r="K684" t="s">
        <v>1079</v>
      </c>
      <c r="L684" t="s">
        <v>1080</v>
      </c>
      <c r="M684" t="s">
        <v>1029</v>
      </c>
      <c r="N684" t="s">
        <v>1081</v>
      </c>
      <c r="O684" t="s">
        <v>994</v>
      </c>
      <c r="P684" t="s">
        <v>1083</v>
      </c>
      <c r="Q684" t="b">
        <v>1</v>
      </c>
      <c r="R684" t="b">
        <v>0</v>
      </c>
      <c r="S684" t="s">
        <v>2149</v>
      </c>
      <c r="T684" t="s">
        <v>994</v>
      </c>
      <c r="U684" t="s">
        <v>1034</v>
      </c>
      <c r="V684" t="s">
        <v>997</v>
      </c>
      <c r="W684" t="s">
        <v>1035</v>
      </c>
      <c r="X684" t="s">
        <v>1608</v>
      </c>
    </row>
    <row r="685" spans="1:24" x14ac:dyDescent="0.25">
      <c r="A685" t="s">
        <v>42</v>
      </c>
      <c r="B685" t="s">
        <v>1619</v>
      </c>
      <c r="C685" t="s">
        <v>338</v>
      </c>
      <c r="E685" t="s">
        <v>1012</v>
      </c>
      <c r="F685">
        <v>83624</v>
      </c>
      <c r="G685" t="s">
        <v>1052</v>
      </c>
      <c r="H685" t="s">
        <v>1620</v>
      </c>
      <c r="I685" t="s">
        <v>1601</v>
      </c>
      <c r="J685" t="s">
        <v>1401</v>
      </c>
      <c r="K685" t="s">
        <v>1621</v>
      </c>
      <c r="L685" t="s">
        <v>1622</v>
      </c>
      <c r="M685" t="s">
        <v>1057</v>
      </c>
      <c r="N685" t="s">
        <v>1623</v>
      </c>
      <c r="O685" t="s">
        <v>994</v>
      </c>
      <c r="P685" t="s">
        <v>1089</v>
      </c>
      <c r="Q685" t="b">
        <v>1</v>
      </c>
      <c r="R685" t="b">
        <v>0</v>
      </c>
      <c r="S685" t="s">
        <v>2149</v>
      </c>
      <c r="T685" t="s">
        <v>994</v>
      </c>
      <c r="U685" t="s">
        <v>1034</v>
      </c>
      <c r="V685" t="s">
        <v>997</v>
      </c>
      <c r="W685" t="s">
        <v>1035</v>
      </c>
      <c r="X685" t="s">
        <v>1608</v>
      </c>
    </row>
    <row r="686" spans="1:24" x14ac:dyDescent="0.25">
      <c r="A686" t="s">
        <v>42</v>
      </c>
      <c r="B686" t="s">
        <v>2174</v>
      </c>
      <c r="C686" t="s">
        <v>338</v>
      </c>
      <c r="E686" t="s">
        <v>2042</v>
      </c>
      <c r="F686">
        <v>83624</v>
      </c>
      <c r="G686" t="s">
        <v>1052</v>
      </c>
      <c r="H686" t="s">
        <v>1620</v>
      </c>
      <c r="I686" t="s">
        <v>1601</v>
      </c>
      <c r="J686" t="s">
        <v>1401</v>
      </c>
      <c r="K686" t="s">
        <v>1621</v>
      </c>
      <c r="L686" t="s">
        <v>1622</v>
      </c>
      <c r="M686" t="s">
        <v>1057</v>
      </c>
      <c r="N686" t="s">
        <v>1623</v>
      </c>
      <c r="O686" t="s">
        <v>994</v>
      </c>
      <c r="P686" t="s">
        <v>1089</v>
      </c>
      <c r="Q686" t="b">
        <v>1</v>
      </c>
      <c r="R686" t="b">
        <v>0</v>
      </c>
      <c r="S686" t="s">
        <v>2149</v>
      </c>
      <c r="T686" t="s">
        <v>994</v>
      </c>
      <c r="U686" t="s">
        <v>1034</v>
      </c>
      <c r="V686" t="s">
        <v>997</v>
      </c>
      <c r="W686" t="s">
        <v>1035</v>
      </c>
      <c r="X686" t="s">
        <v>1608</v>
      </c>
    </row>
    <row r="687" spans="1:24" x14ac:dyDescent="0.25">
      <c r="A687" t="s">
        <v>42</v>
      </c>
      <c r="B687" t="s">
        <v>1624</v>
      </c>
      <c r="C687" t="s">
        <v>338</v>
      </c>
      <c r="E687" t="s">
        <v>1014</v>
      </c>
      <c r="F687">
        <v>96087</v>
      </c>
      <c r="G687" t="s">
        <v>1052</v>
      </c>
      <c r="H687" t="s">
        <v>1625</v>
      </c>
      <c r="I687" t="s">
        <v>1611</v>
      </c>
      <c r="J687" t="s">
        <v>1401</v>
      </c>
      <c r="K687" t="s">
        <v>1092</v>
      </c>
      <c r="L687" t="s">
        <v>1093</v>
      </c>
      <c r="M687" t="s">
        <v>1029</v>
      </c>
      <c r="N687" t="s">
        <v>1094</v>
      </c>
      <c r="O687" t="s">
        <v>994</v>
      </c>
      <c r="P687" t="s">
        <v>1096</v>
      </c>
      <c r="Q687" t="b">
        <v>1</v>
      </c>
      <c r="R687" t="b">
        <v>0</v>
      </c>
      <c r="S687" t="s">
        <v>1033</v>
      </c>
      <c r="T687" t="s">
        <v>994</v>
      </c>
      <c r="U687" t="s">
        <v>1034</v>
      </c>
      <c r="V687" t="s">
        <v>997</v>
      </c>
      <c r="W687" t="s">
        <v>1035</v>
      </c>
      <c r="X687" t="s">
        <v>1614</v>
      </c>
    </row>
    <row r="688" spans="1:24" x14ac:dyDescent="0.25">
      <c r="A688" t="s">
        <v>42</v>
      </c>
      <c r="B688" t="s">
        <v>1626</v>
      </c>
      <c r="C688" t="s">
        <v>338</v>
      </c>
      <c r="E688" t="s">
        <v>1016</v>
      </c>
      <c r="F688">
        <v>100271</v>
      </c>
      <c r="G688" t="s">
        <v>1052</v>
      </c>
      <c r="H688" t="s">
        <v>1627</v>
      </c>
      <c r="I688" t="s">
        <v>1601</v>
      </c>
      <c r="J688" t="s">
        <v>1401</v>
      </c>
      <c r="K688" t="s">
        <v>1100</v>
      </c>
      <c r="L688" t="s">
        <v>1101</v>
      </c>
      <c r="M688" t="s">
        <v>1029</v>
      </c>
      <c r="N688" t="s">
        <v>1102</v>
      </c>
      <c r="O688" t="s">
        <v>994</v>
      </c>
      <c r="P688" t="s">
        <v>1104</v>
      </c>
      <c r="Q688" t="b">
        <v>1</v>
      </c>
      <c r="R688" t="b">
        <v>0</v>
      </c>
      <c r="S688" t="s">
        <v>1033</v>
      </c>
      <c r="T688" t="s">
        <v>994</v>
      </c>
      <c r="U688" t="s">
        <v>1034</v>
      </c>
      <c r="V688" t="s">
        <v>997</v>
      </c>
      <c r="W688" t="s">
        <v>1035</v>
      </c>
      <c r="X688" t="s">
        <v>1608</v>
      </c>
    </row>
    <row r="689" spans="1:24" x14ac:dyDescent="0.25">
      <c r="A689" t="s">
        <v>42</v>
      </c>
      <c r="B689" t="s">
        <v>1628</v>
      </c>
      <c r="C689" t="s">
        <v>338</v>
      </c>
      <c r="E689" t="s">
        <v>1018</v>
      </c>
      <c r="F689">
        <v>105466</v>
      </c>
      <c r="G689" t="s">
        <v>1052</v>
      </c>
      <c r="H689" t="s">
        <v>1629</v>
      </c>
      <c r="I689" t="s">
        <v>1601</v>
      </c>
      <c r="J689" t="s">
        <v>1401</v>
      </c>
      <c r="K689" t="s">
        <v>1107</v>
      </c>
      <c r="L689" t="s">
        <v>1108</v>
      </c>
      <c r="M689" t="s">
        <v>1029</v>
      </c>
      <c r="N689" t="s">
        <v>1109</v>
      </c>
      <c r="O689" t="s">
        <v>994</v>
      </c>
      <c r="P689" t="s">
        <v>1111</v>
      </c>
      <c r="Q689" t="b">
        <v>1</v>
      </c>
      <c r="R689" t="b">
        <v>0</v>
      </c>
      <c r="S689" t="s">
        <v>1033</v>
      </c>
      <c r="T689" t="s">
        <v>994</v>
      </c>
      <c r="U689" t="s">
        <v>1034</v>
      </c>
      <c r="V689" t="s">
        <v>997</v>
      </c>
      <c r="W689" t="s">
        <v>1035</v>
      </c>
      <c r="X689" t="s">
        <v>1608</v>
      </c>
    </row>
    <row r="690" spans="1:24" x14ac:dyDescent="0.25">
      <c r="A690" t="s">
        <v>42</v>
      </c>
      <c r="B690" t="s">
        <v>1630</v>
      </c>
      <c r="C690" t="s">
        <v>338</v>
      </c>
      <c r="E690" t="s">
        <v>1020</v>
      </c>
      <c r="F690">
        <v>108178</v>
      </c>
      <c r="G690" t="s">
        <v>1052</v>
      </c>
      <c r="H690" t="s">
        <v>1631</v>
      </c>
      <c r="I690" t="s">
        <v>1590</v>
      </c>
      <c r="J690" t="s">
        <v>1401</v>
      </c>
      <c r="K690" t="s">
        <v>1632</v>
      </c>
      <c r="L690" t="s">
        <v>1633</v>
      </c>
      <c r="M690" t="s">
        <v>1604</v>
      </c>
      <c r="N690" t="s">
        <v>1634</v>
      </c>
      <c r="O690" t="s">
        <v>994</v>
      </c>
      <c r="P690" t="s">
        <v>1117</v>
      </c>
      <c r="Q690" t="b">
        <v>1</v>
      </c>
      <c r="R690" t="b">
        <v>0</v>
      </c>
      <c r="S690" t="s">
        <v>1033</v>
      </c>
      <c r="T690" t="s">
        <v>994</v>
      </c>
      <c r="U690" t="s">
        <v>1034</v>
      </c>
      <c r="V690" t="s">
        <v>997</v>
      </c>
      <c r="W690" t="s">
        <v>1035</v>
      </c>
      <c r="X690" t="s">
        <v>1594</v>
      </c>
    </row>
    <row r="691" spans="1:24" x14ac:dyDescent="0.25">
      <c r="A691" t="s">
        <v>42</v>
      </c>
      <c r="B691" t="s">
        <v>2175</v>
      </c>
      <c r="C691" t="s">
        <v>338</v>
      </c>
      <c r="E691" t="s">
        <v>2048</v>
      </c>
      <c r="F691">
        <v>108178</v>
      </c>
      <c r="G691" t="s">
        <v>1052</v>
      </c>
      <c r="H691" t="s">
        <v>1631</v>
      </c>
      <c r="I691" t="s">
        <v>1590</v>
      </c>
      <c r="J691" t="s">
        <v>1401</v>
      </c>
      <c r="K691" t="s">
        <v>1632</v>
      </c>
      <c r="L691" t="s">
        <v>1633</v>
      </c>
      <c r="M691" t="s">
        <v>1604</v>
      </c>
      <c r="N691" t="s">
        <v>1634</v>
      </c>
      <c r="O691" t="s">
        <v>994</v>
      </c>
      <c r="P691" t="s">
        <v>1117</v>
      </c>
      <c r="Q691" t="b">
        <v>1</v>
      </c>
      <c r="R691" t="b">
        <v>0</v>
      </c>
      <c r="S691" t="s">
        <v>2149</v>
      </c>
      <c r="T691" t="s">
        <v>994</v>
      </c>
      <c r="U691" t="s">
        <v>1034</v>
      </c>
      <c r="V691" t="s">
        <v>997</v>
      </c>
      <c r="W691" t="s">
        <v>1035</v>
      </c>
      <c r="X691" t="s">
        <v>1594</v>
      </c>
    </row>
    <row r="692" spans="1:24" x14ac:dyDescent="0.25">
      <c r="A692" t="s">
        <v>42</v>
      </c>
      <c r="B692" t="s">
        <v>1635</v>
      </c>
      <c r="C692" t="s">
        <v>338</v>
      </c>
      <c r="E692" t="s">
        <v>1022</v>
      </c>
      <c r="F692">
        <v>142123</v>
      </c>
      <c r="G692" t="s">
        <v>1052</v>
      </c>
      <c r="H692" t="s">
        <v>1636</v>
      </c>
      <c r="I692" t="s">
        <v>1590</v>
      </c>
      <c r="J692" t="s">
        <v>1401</v>
      </c>
      <c r="K692" t="s">
        <v>1120</v>
      </c>
      <c r="L692" t="s">
        <v>1121</v>
      </c>
      <c r="M692" t="s">
        <v>1029</v>
      </c>
      <c r="N692" t="s">
        <v>1122</v>
      </c>
      <c r="O692" t="s">
        <v>994</v>
      </c>
      <c r="P692" t="s">
        <v>1124</v>
      </c>
      <c r="Q692" t="b">
        <v>1</v>
      </c>
      <c r="R692" t="b">
        <v>0</v>
      </c>
      <c r="S692" t="s">
        <v>2149</v>
      </c>
      <c r="T692" t="s">
        <v>994</v>
      </c>
      <c r="U692" t="s">
        <v>1034</v>
      </c>
      <c r="V692" t="s">
        <v>997</v>
      </c>
      <c r="W692" t="s">
        <v>1035</v>
      </c>
      <c r="X692" t="s">
        <v>1594</v>
      </c>
    </row>
    <row r="693" spans="1:24" x14ac:dyDescent="0.25">
      <c r="A693" t="s">
        <v>42</v>
      </c>
      <c r="B693" t="s">
        <v>2176</v>
      </c>
      <c r="C693" t="s">
        <v>342</v>
      </c>
      <c r="E693" t="s">
        <v>2036</v>
      </c>
      <c r="F693">
        <v>69184</v>
      </c>
      <c r="G693" t="s">
        <v>1052</v>
      </c>
      <c r="H693" t="s">
        <v>1674</v>
      </c>
      <c r="I693" t="s">
        <v>1667</v>
      </c>
      <c r="J693" t="s">
        <v>1401</v>
      </c>
      <c r="K693" t="s">
        <v>1055</v>
      </c>
      <c r="L693" t="s">
        <v>1056</v>
      </c>
      <c r="M693" t="s">
        <v>1057</v>
      </c>
      <c r="N693" t="s">
        <v>1058</v>
      </c>
      <c r="O693" t="s">
        <v>994</v>
      </c>
      <c r="P693" t="s">
        <v>1059</v>
      </c>
      <c r="Q693" t="b">
        <v>1</v>
      </c>
      <c r="R693" t="b">
        <v>0</v>
      </c>
      <c r="S693" t="s">
        <v>2149</v>
      </c>
      <c r="T693" t="s">
        <v>994</v>
      </c>
      <c r="U693" t="s">
        <v>1034</v>
      </c>
      <c r="V693" t="s">
        <v>997</v>
      </c>
      <c r="W693" t="s">
        <v>1035</v>
      </c>
      <c r="X693" t="s">
        <v>1668</v>
      </c>
    </row>
    <row r="694" spans="1:24" x14ac:dyDescent="0.25">
      <c r="A694" t="s">
        <v>42</v>
      </c>
      <c r="B694" t="s">
        <v>2177</v>
      </c>
      <c r="C694" t="s">
        <v>342</v>
      </c>
      <c r="E694" t="s">
        <v>2042</v>
      </c>
      <c r="F694">
        <v>75100</v>
      </c>
      <c r="G694" t="s">
        <v>1052</v>
      </c>
      <c r="H694" t="s">
        <v>1683</v>
      </c>
      <c r="I694" t="s">
        <v>1667</v>
      </c>
      <c r="J694" t="s">
        <v>1401</v>
      </c>
      <c r="K694" t="s">
        <v>1086</v>
      </c>
      <c r="L694" t="s">
        <v>1087</v>
      </c>
      <c r="M694" t="s">
        <v>1057</v>
      </c>
      <c r="N694" t="s">
        <v>1088</v>
      </c>
      <c r="O694" t="s">
        <v>994</v>
      </c>
      <c r="P694" t="s">
        <v>1089</v>
      </c>
      <c r="Q694" t="b">
        <v>1</v>
      </c>
      <c r="R694" t="b">
        <v>0</v>
      </c>
      <c r="S694" t="s">
        <v>2149</v>
      </c>
      <c r="T694" t="s">
        <v>994</v>
      </c>
      <c r="U694" t="s">
        <v>1034</v>
      </c>
      <c r="V694" t="s">
        <v>997</v>
      </c>
      <c r="W694" t="s">
        <v>1035</v>
      </c>
      <c r="X694" t="s">
        <v>1668</v>
      </c>
    </row>
    <row r="695" spans="1:24" x14ac:dyDescent="0.25">
      <c r="A695" t="s">
        <v>42</v>
      </c>
      <c r="B695" t="s">
        <v>2178</v>
      </c>
      <c r="C695" t="s">
        <v>342</v>
      </c>
      <c r="E695" t="s">
        <v>2048</v>
      </c>
      <c r="F695">
        <v>81971</v>
      </c>
      <c r="G695" t="s">
        <v>1052</v>
      </c>
      <c r="H695" t="s">
        <v>1691</v>
      </c>
      <c r="I695" t="s">
        <v>1667</v>
      </c>
      <c r="J695" t="s">
        <v>1401</v>
      </c>
      <c r="K695" t="s">
        <v>1114</v>
      </c>
      <c r="L695" t="s">
        <v>1115</v>
      </c>
      <c r="M695" t="s">
        <v>1057</v>
      </c>
      <c r="N695" t="s">
        <v>1116</v>
      </c>
      <c r="O695" t="s">
        <v>994</v>
      </c>
      <c r="P695" t="s">
        <v>1117</v>
      </c>
      <c r="Q695" t="b">
        <v>1</v>
      </c>
      <c r="R695" t="b">
        <v>0</v>
      </c>
      <c r="S695" t="s">
        <v>2149</v>
      </c>
      <c r="T695" t="s">
        <v>994</v>
      </c>
      <c r="U695" t="s">
        <v>1034</v>
      </c>
      <c r="V695" t="s">
        <v>997</v>
      </c>
      <c r="W695" t="s">
        <v>1035</v>
      </c>
      <c r="X695" t="s">
        <v>1668</v>
      </c>
    </row>
    <row r="696" spans="1:24" x14ac:dyDescent="0.25">
      <c r="A696" t="s">
        <v>42</v>
      </c>
      <c r="B696" t="s">
        <v>1694</v>
      </c>
      <c r="C696" t="s">
        <v>343</v>
      </c>
      <c r="E696" t="s">
        <v>992</v>
      </c>
      <c r="F696">
        <v>3715</v>
      </c>
      <c r="G696" t="s">
        <v>1052</v>
      </c>
      <c r="H696" t="s">
        <v>1695</v>
      </c>
      <c r="I696" t="s">
        <v>1696</v>
      </c>
      <c r="J696" t="s">
        <v>1401</v>
      </c>
      <c r="K696" t="s">
        <v>1027</v>
      </c>
      <c r="L696" t="s">
        <v>1028</v>
      </c>
      <c r="M696" t="s">
        <v>1029</v>
      </c>
      <c r="N696" t="s">
        <v>1030</v>
      </c>
      <c r="O696" t="s">
        <v>994</v>
      </c>
      <c r="P696" t="s">
        <v>1032</v>
      </c>
      <c r="Q696" t="b">
        <v>1</v>
      </c>
      <c r="R696" t="b">
        <v>0</v>
      </c>
      <c r="S696" t="s">
        <v>1033</v>
      </c>
      <c r="T696" t="s">
        <v>994</v>
      </c>
      <c r="U696" t="s">
        <v>1034</v>
      </c>
      <c r="V696" t="s">
        <v>997</v>
      </c>
      <c r="W696" t="s">
        <v>1035</v>
      </c>
      <c r="X696" t="s">
        <v>1697</v>
      </c>
    </row>
    <row r="697" spans="1:24" x14ac:dyDescent="0.25">
      <c r="A697" t="s">
        <v>42</v>
      </c>
      <c r="B697" t="s">
        <v>1698</v>
      </c>
      <c r="C697" t="s">
        <v>343</v>
      </c>
      <c r="E697" t="s">
        <v>1000</v>
      </c>
      <c r="F697">
        <v>3846</v>
      </c>
      <c r="G697" t="s">
        <v>1052</v>
      </c>
      <c r="H697" t="s">
        <v>1699</v>
      </c>
      <c r="I697" t="s">
        <v>1696</v>
      </c>
      <c r="J697" t="s">
        <v>1401</v>
      </c>
      <c r="K697" t="s">
        <v>1039</v>
      </c>
      <c r="L697" t="s">
        <v>1040</v>
      </c>
      <c r="M697" t="s">
        <v>1029</v>
      </c>
      <c r="N697" t="s">
        <v>1041</v>
      </c>
      <c r="O697" t="s">
        <v>994</v>
      </c>
      <c r="P697" t="s">
        <v>1043</v>
      </c>
      <c r="Q697" t="b">
        <v>1</v>
      </c>
      <c r="R697" t="b">
        <v>0</v>
      </c>
      <c r="S697" t="s">
        <v>1033</v>
      </c>
      <c r="T697" t="s">
        <v>994</v>
      </c>
      <c r="U697" t="s">
        <v>1034</v>
      </c>
      <c r="V697" t="s">
        <v>997</v>
      </c>
      <c r="W697" t="s">
        <v>1035</v>
      </c>
      <c r="X697" t="s">
        <v>1697</v>
      </c>
    </row>
    <row r="698" spans="1:24" x14ac:dyDescent="0.25">
      <c r="A698" t="s">
        <v>42</v>
      </c>
      <c r="B698" t="s">
        <v>1700</v>
      </c>
      <c r="C698" t="s">
        <v>343</v>
      </c>
      <c r="E698" t="s">
        <v>1002</v>
      </c>
      <c r="F698">
        <v>4303</v>
      </c>
      <c r="G698" t="s">
        <v>1052</v>
      </c>
      <c r="H698" t="s">
        <v>1701</v>
      </c>
      <c r="I698" t="s">
        <v>1696</v>
      </c>
      <c r="J698" t="s">
        <v>1401</v>
      </c>
      <c r="K698" t="s">
        <v>1046</v>
      </c>
      <c r="L698" t="s">
        <v>1047</v>
      </c>
      <c r="M698" t="s">
        <v>1029</v>
      </c>
      <c r="N698" t="s">
        <v>1048</v>
      </c>
      <c r="O698" t="s">
        <v>994</v>
      </c>
      <c r="P698" t="s">
        <v>1050</v>
      </c>
      <c r="Q698" t="b">
        <v>1</v>
      </c>
      <c r="R698" t="b">
        <v>0</v>
      </c>
      <c r="S698" t="s">
        <v>1033</v>
      </c>
      <c r="T698" t="s">
        <v>994</v>
      </c>
      <c r="U698" t="s">
        <v>1034</v>
      </c>
      <c r="V698" t="s">
        <v>997</v>
      </c>
      <c r="W698" t="s">
        <v>1035</v>
      </c>
      <c r="X698" t="s">
        <v>1697</v>
      </c>
    </row>
    <row r="699" spans="1:24" x14ac:dyDescent="0.25">
      <c r="A699" t="s">
        <v>42</v>
      </c>
      <c r="B699" t="s">
        <v>1702</v>
      </c>
      <c r="C699" t="s">
        <v>343</v>
      </c>
      <c r="E699" t="s">
        <v>1004</v>
      </c>
      <c r="F699">
        <v>4137</v>
      </c>
      <c r="G699" t="s">
        <v>1052</v>
      </c>
      <c r="H699" t="s">
        <v>1703</v>
      </c>
      <c r="I699" t="s">
        <v>1696</v>
      </c>
      <c r="J699" t="s">
        <v>1401</v>
      </c>
      <c r="K699" t="s">
        <v>1055</v>
      </c>
      <c r="L699" t="s">
        <v>1056</v>
      </c>
      <c r="M699" t="s">
        <v>1057</v>
      </c>
      <c r="N699" t="s">
        <v>1058</v>
      </c>
      <c r="O699" t="s">
        <v>994</v>
      </c>
      <c r="P699" t="s">
        <v>1059</v>
      </c>
      <c r="Q699" t="b">
        <v>1</v>
      </c>
      <c r="R699" t="b">
        <v>0</v>
      </c>
      <c r="S699" t="s">
        <v>1033</v>
      </c>
      <c r="T699" t="s">
        <v>994</v>
      </c>
      <c r="U699" t="s">
        <v>1034</v>
      </c>
      <c r="V699" t="s">
        <v>997</v>
      </c>
      <c r="W699" t="s">
        <v>1035</v>
      </c>
      <c r="X699" t="s">
        <v>1697</v>
      </c>
    </row>
    <row r="700" spans="1:24" x14ac:dyDescent="0.25">
      <c r="A700" t="s">
        <v>42</v>
      </c>
      <c r="B700" t="s">
        <v>2179</v>
      </c>
      <c r="C700" t="s">
        <v>343</v>
      </c>
      <c r="E700" t="s">
        <v>2036</v>
      </c>
      <c r="F700">
        <v>4137</v>
      </c>
      <c r="G700" t="s">
        <v>1052</v>
      </c>
      <c r="H700" t="s">
        <v>1703</v>
      </c>
      <c r="I700" t="s">
        <v>1696</v>
      </c>
      <c r="J700" t="s">
        <v>1401</v>
      </c>
      <c r="K700" t="s">
        <v>1055</v>
      </c>
      <c r="L700" t="s">
        <v>1056</v>
      </c>
      <c r="M700" t="s">
        <v>1057</v>
      </c>
      <c r="N700" t="s">
        <v>1058</v>
      </c>
      <c r="O700" t="s">
        <v>994</v>
      </c>
      <c r="P700" t="s">
        <v>1059</v>
      </c>
      <c r="Q700" t="b">
        <v>1</v>
      </c>
      <c r="R700" t="b">
        <v>0</v>
      </c>
      <c r="S700" t="s">
        <v>2149</v>
      </c>
      <c r="T700" t="s">
        <v>994</v>
      </c>
      <c r="U700" t="s">
        <v>1034</v>
      </c>
      <c r="V700" t="s">
        <v>997</v>
      </c>
      <c r="W700" t="s">
        <v>1035</v>
      </c>
      <c r="X700" t="s">
        <v>1697</v>
      </c>
    </row>
    <row r="701" spans="1:24" x14ac:dyDescent="0.25">
      <c r="A701" t="s">
        <v>42</v>
      </c>
      <c r="B701" t="s">
        <v>1704</v>
      </c>
      <c r="C701" t="s">
        <v>343</v>
      </c>
      <c r="E701" t="s">
        <v>1006</v>
      </c>
      <c r="F701">
        <v>3973</v>
      </c>
      <c r="G701" t="s">
        <v>1052</v>
      </c>
      <c r="H701" t="s">
        <v>1705</v>
      </c>
      <c r="I701" t="s">
        <v>1696</v>
      </c>
      <c r="J701" t="s">
        <v>1401</v>
      </c>
      <c r="K701" t="s">
        <v>1065</v>
      </c>
      <c r="L701" t="s">
        <v>1066</v>
      </c>
      <c r="M701" t="s">
        <v>1029</v>
      </c>
      <c r="N701" t="s">
        <v>1067</v>
      </c>
      <c r="O701" t="s">
        <v>994</v>
      </c>
      <c r="P701" t="s">
        <v>1069</v>
      </c>
      <c r="Q701" t="b">
        <v>1</v>
      </c>
      <c r="R701" t="b">
        <v>0</v>
      </c>
      <c r="S701" t="s">
        <v>1033</v>
      </c>
      <c r="T701" t="s">
        <v>994</v>
      </c>
      <c r="U701" t="s">
        <v>1034</v>
      </c>
      <c r="V701" t="s">
        <v>997</v>
      </c>
      <c r="W701" t="s">
        <v>1035</v>
      </c>
      <c r="X701" t="s">
        <v>1697</v>
      </c>
    </row>
    <row r="702" spans="1:24" x14ac:dyDescent="0.25">
      <c r="A702" t="s">
        <v>42</v>
      </c>
      <c r="B702" t="s">
        <v>1706</v>
      </c>
      <c r="C702" t="s">
        <v>343</v>
      </c>
      <c r="E702" t="s">
        <v>1008</v>
      </c>
      <c r="F702">
        <v>4251</v>
      </c>
      <c r="G702" t="s">
        <v>1052</v>
      </c>
      <c r="H702" t="s">
        <v>1707</v>
      </c>
      <c r="I702" t="s">
        <v>1696</v>
      </c>
      <c r="J702" t="s">
        <v>1401</v>
      </c>
      <c r="K702" t="s">
        <v>1072</v>
      </c>
      <c r="L702" t="s">
        <v>1073</v>
      </c>
      <c r="M702" t="s">
        <v>1029</v>
      </c>
      <c r="N702" t="s">
        <v>1074</v>
      </c>
      <c r="O702" t="s">
        <v>994</v>
      </c>
      <c r="P702" t="s">
        <v>1076</v>
      </c>
      <c r="Q702" t="b">
        <v>1</v>
      </c>
      <c r="R702" t="b">
        <v>0</v>
      </c>
      <c r="S702" t="s">
        <v>1033</v>
      </c>
      <c r="T702" t="s">
        <v>994</v>
      </c>
      <c r="U702" t="s">
        <v>1034</v>
      </c>
      <c r="V702" t="s">
        <v>997</v>
      </c>
      <c r="W702" t="s">
        <v>1035</v>
      </c>
      <c r="X702" t="s">
        <v>1697</v>
      </c>
    </row>
    <row r="703" spans="1:24" x14ac:dyDescent="0.25">
      <c r="A703" t="s">
        <v>42</v>
      </c>
      <c r="B703" t="s">
        <v>1708</v>
      </c>
      <c r="C703" t="s">
        <v>343</v>
      </c>
      <c r="E703" t="s">
        <v>1010</v>
      </c>
      <c r="F703">
        <v>4896</v>
      </c>
      <c r="G703" t="s">
        <v>1052</v>
      </c>
      <c r="H703" t="s">
        <v>1709</v>
      </c>
      <c r="I703" t="s">
        <v>1696</v>
      </c>
      <c r="J703" t="s">
        <v>1401</v>
      </c>
      <c r="K703" t="s">
        <v>1079</v>
      </c>
      <c r="L703" t="s">
        <v>1080</v>
      </c>
      <c r="M703" t="s">
        <v>1029</v>
      </c>
      <c r="N703" t="s">
        <v>1081</v>
      </c>
      <c r="O703" t="s">
        <v>994</v>
      </c>
      <c r="P703" t="s">
        <v>1083</v>
      </c>
      <c r="Q703" t="b">
        <v>1</v>
      </c>
      <c r="R703" t="b">
        <v>0</v>
      </c>
      <c r="S703" t="s">
        <v>1033</v>
      </c>
      <c r="T703" t="s">
        <v>994</v>
      </c>
      <c r="U703" t="s">
        <v>1034</v>
      </c>
      <c r="V703" t="s">
        <v>997</v>
      </c>
      <c r="W703" t="s">
        <v>1035</v>
      </c>
      <c r="X703" t="s">
        <v>1697</v>
      </c>
    </row>
    <row r="704" spans="1:24" x14ac:dyDescent="0.25">
      <c r="A704" t="s">
        <v>42</v>
      </c>
      <c r="B704" t="s">
        <v>1710</v>
      </c>
      <c r="C704" t="s">
        <v>343</v>
      </c>
      <c r="E704" t="s">
        <v>1012</v>
      </c>
      <c r="F704">
        <v>5036</v>
      </c>
      <c r="G704" t="s">
        <v>1052</v>
      </c>
      <c r="H704" t="s">
        <v>1711</v>
      </c>
      <c r="I704" t="s">
        <v>1696</v>
      </c>
      <c r="J704" t="s">
        <v>1401</v>
      </c>
      <c r="K704" t="s">
        <v>1086</v>
      </c>
      <c r="L704" t="s">
        <v>1087</v>
      </c>
      <c r="M704" t="s">
        <v>1057</v>
      </c>
      <c r="N704" t="s">
        <v>1088</v>
      </c>
      <c r="O704" t="s">
        <v>994</v>
      </c>
      <c r="P704" t="s">
        <v>1089</v>
      </c>
      <c r="Q704" t="b">
        <v>1</v>
      </c>
      <c r="R704" t="b">
        <v>0</v>
      </c>
      <c r="S704" t="s">
        <v>1033</v>
      </c>
      <c r="T704" t="s">
        <v>994</v>
      </c>
      <c r="U704" t="s">
        <v>1034</v>
      </c>
      <c r="V704" t="s">
        <v>997</v>
      </c>
      <c r="W704" t="s">
        <v>1035</v>
      </c>
      <c r="X704" t="s">
        <v>1697</v>
      </c>
    </row>
    <row r="705" spans="1:24" x14ac:dyDescent="0.25">
      <c r="A705" t="s">
        <v>42</v>
      </c>
      <c r="B705" t="s">
        <v>2180</v>
      </c>
      <c r="C705" t="s">
        <v>343</v>
      </c>
      <c r="E705" t="s">
        <v>2042</v>
      </c>
      <c r="F705">
        <v>5036</v>
      </c>
      <c r="G705" t="s">
        <v>1052</v>
      </c>
      <c r="H705" t="s">
        <v>1711</v>
      </c>
      <c r="I705" t="s">
        <v>1696</v>
      </c>
      <c r="J705" t="s">
        <v>1401</v>
      </c>
      <c r="K705" t="s">
        <v>1086</v>
      </c>
      <c r="L705" t="s">
        <v>1087</v>
      </c>
      <c r="M705" t="s">
        <v>1057</v>
      </c>
      <c r="N705" t="s">
        <v>1088</v>
      </c>
      <c r="O705" t="s">
        <v>994</v>
      </c>
      <c r="P705" t="s">
        <v>1089</v>
      </c>
      <c r="Q705" t="b">
        <v>1</v>
      </c>
      <c r="R705" t="b">
        <v>0</v>
      </c>
      <c r="S705" t="s">
        <v>2149</v>
      </c>
      <c r="T705" t="s">
        <v>994</v>
      </c>
      <c r="U705" t="s">
        <v>1034</v>
      </c>
      <c r="V705" t="s">
        <v>997</v>
      </c>
      <c r="W705" t="s">
        <v>1035</v>
      </c>
      <c r="X705" t="s">
        <v>1697</v>
      </c>
    </row>
    <row r="706" spans="1:24" x14ac:dyDescent="0.25">
      <c r="A706" t="s">
        <v>42</v>
      </c>
      <c r="B706" t="s">
        <v>2181</v>
      </c>
      <c r="C706" t="s">
        <v>343</v>
      </c>
      <c r="E706" t="s">
        <v>2048</v>
      </c>
      <c r="F706">
        <v>6578</v>
      </c>
      <c r="G706" t="s">
        <v>1052</v>
      </c>
      <c r="H706" t="s">
        <v>1719</v>
      </c>
      <c r="I706" t="s">
        <v>1696</v>
      </c>
      <c r="J706" t="s">
        <v>1401</v>
      </c>
      <c r="K706" t="s">
        <v>1114</v>
      </c>
      <c r="L706" t="s">
        <v>1115</v>
      </c>
      <c r="M706" t="s">
        <v>1057</v>
      </c>
      <c r="N706" t="s">
        <v>1116</v>
      </c>
      <c r="O706" t="s">
        <v>994</v>
      </c>
      <c r="P706" t="s">
        <v>1117</v>
      </c>
      <c r="Q706" t="b">
        <v>1</v>
      </c>
      <c r="R706" t="b">
        <v>0</v>
      </c>
      <c r="S706" t="s">
        <v>2149</v>
      </c>
      <c r="T706" t="s">
        <v>994</v>
      </c>
      <c r="U706" t="s">
        <v>1034</v>
      </c>
      <c r="V706" t="s">
        <v>997</v>
      </c>
      <c r="W706" t="s">
        <v>1035</v>
      </c>
      <c r="X706" t="s">
        <v>1697</v>
      </c>
    </row>
    <row r="707" spans="1:24" x14ac:dyDescent="0.25">
      <c r="A707" t="s">
        <v>42</v>
      </c>
      <c r="B707" t="s">
        <v>1720</v>
      </c>
      <c r="C707" t="s">
        <v>343</v>
      </c>
      <c r="E707" t="s">
        <v>1022</v>
      </c>
      <c r="F707">
        <v>7162</v>
      </c>
      <c r="G707" t="s">
        <v>1052</v>
      </c>
      <c r="H707" t="s">
        <v>1721</v>
      </c>
      <c r="I707" t="s">
        <v>1696</v>
      </c>
      <c r="J707" t="s">
        <v>1401</v>
      </c>
      <c r="K707" t="s">
        <v>1120</v>
      </c>
      <c r="L707" t="s">
        <v>1121</v>
      </c>
      <c r="M707" t="s">
        <v>1029</v>
      </c>
      <c r="N707" t="s">
        <v>1122</v>
      </c>
      <c r="O707" t="s">
        <v>994</v>
      </c>
      <c r="P707" t="s">
        <v>1124</v>
      </c>
      <c r="Q707" t="b">
        <v>1</v>
      </c>
      <c r="R707" t="b">
        <v>0</v>
      </c>
      <c r="S707" t="s">
        <v>1033</v>
      </c>
      <c r="T707" t="s">
        <v>994</v>
      </c>
      <c r="U707" t="s">
        <v>1034</v>
      </c>
      <c r="V707" t="s">
        <v>997</v>
      </c>
      <c r="W707" t="s">
        <v>1035</v>
      </c>
      <c r="X707" t="s">
        <v>1697</v>
      </c>
    </row>
    <row r="708" spans="1:24" x14ac:dyDescent="0.25">
      <c r="A708" t="s">
        <v>42</v>
      </c>
      <c r="B708" t="s">
        <v>2182</v>
      </c>
      <c r="C708" t="s">
        <v>346</v>
      </c>
      <c r="E708" t="s">
        <v>2036</v>
      </c>
      <c r="F708">
        <v>14746</v>
      </c>
      <c r="G708" t="s">
        <v>1052</v>
      </c>
      <c r="H708" t="s">
        <v>1731</v>
      </c>
      <c r="I708" t="s">
        <v>1724</v>
      </c>
      <c r="J708" t="s">
        <v>1401</v>
      </c>
      <c r="K708" t="s">
        <v>1055</v>
      </c>
      <c r="L708" t="s">
        <v>1056</v>
      </c>
      <c r="M708" t="s">
        <v>1057</v>
      </c>
      <c r="N708" t="s">
        <v>1058</v>
      </c>
      <c r="O708" t="s">
        <v>994</v>
      </c>
      <c r="P708" t="s">
        <v>1059</v>
      </c>
      <c r="Q708" t="b">
        <v>1</v>
      </c>
      <c r="R708" t="b">
        <v>0</v>
      </c>
      <c r="S708" t="s">
        <v>2149</v>
      </c>
      <c r="T708" t="s">
        <v>994</v>
      </c>
      <c r="U708" t="s">
        <v>1034</v>
      </c>
      <c r="V708" t="s">
        <v>997</v>
      </c>
      <c r="W708" t="s">
        <v>1035</v>
      </c>
      <c r="X708" t="s">
        <v>1725</v>
      </c>
    </row>
    <row r="709" spans="1:24" x14ac:dyDescent="0.25">
      <c r="A709" t="s">
        <v>42</v>
      </c>
      <c r="B709" t="s">
        <v>2183</v>
      </c>
      <c r="C709" t="s">
        <v>346</v>
      </c>
      <c r="E709" t="s">
        <v>2042</v>
      </c>
      <c r="F709">
        <v>11882</v>
      </c>
      <c r="G709" t="s">
        <v>1052</v>
      </c>
      <c r="H709" t="s">
        <v>1739</v>
      </c>
      <c r="I709" t="s">
        <v>1740</v>
      </c>
      <c r="J709" t="s">
        <v>1401</v>
      </c>
      <c r="K709" t="s">
        <v>1086</v>
      </c>
      <c r="L709" t="s">
        <v>1087</v>
      </c>
      <c r="M709" t="s">
        <v>1057</v>
      </c>
      <c r="N709" t="s">
        <v>1088</v>
      </c>
      <c r="O709" t="s">
        <v>994</v>
      </c>
      <c r="P709" t="s">
        <v>1089</v>
      </c>
      <c r="Q709" t="b">
        <v>1</v>
      </c>
      <c r="R709" t="b">
        <v>0</v>
      </c>
      <c r="S709" t="s">
        <v>2149</v>
      </c>
      <c r="T709" t="s">
        <v>994</v>
      </c>
      <c r="U709" t="s">
        <v>1034</v>
      </c>
      <c r="V709" t="s">
        <v>997</v>
      </c>
      <c r="W709" t="s">
        <v>1035</v>
      </c>
      <c r="X709" t="s">
        <v>1741</v>
      </c>
    </row>
    <row r="710" spans="1:24" x14ac:dyDescent="0.25">
      <c r="A710" t="s">
        <v>42</v>
      </c>
      <c r="B710" t="s">
        <v>2184</v>
      </c>
      <c r="C710" t="s">
        <v>346</v>
      </c>
      <c r="E710" t="s">
        <v>2048</v>
      </c>
      <c r="F710">
        <v>48543</v>
      </c>
      <c r="G710" t="s">
        <v>1052</v>
      </c>
      <c r="H710" t="s">
        <v>1749</v>
      </c>
      <c r="I710" t="s">
        <v>1740</v>
      </c>
      <c r="J710" t="s">
        <v>1401</v>
      </c>
      <c r="K710" t="s">
        <v>1114</v>
      </c>
      <c r="L710" t="s">
        <v>1115</v>
      </c>
      <c r="M710" t="s">
        <v>1057</v>
      </c>
      <c r="N710" t="s">
        <v>1116</v>
      </c>
      <c r="O710" t="s">
        <v>994</v>
      </c>
      <c r="P710" t="s">
        <v>1117</v>
      </c>
      <c r="Q710" t="b">
        <v>1</v>
      </c>
      <c r="R710" t="b">
        <v>0</v>
      </c>
      <c r="S710" t="s">
        <v>2149</v>
      </c>
      <c r="T710" t="s">
        <v>994</v>
      </c>
      <c r="U710" t="s">
        <v>1034</v>
      </c>
      <c r="V710" t="s">
        <v>997</v>
      </c>
      <c r="W710" t="s">
        <v>1035</v>
      </c>
      <c r="X710" t="s">
        <v>1741</v>
      </c>
    </row>
    <row r="711" spans="1:24" x14ac:dyDescent="0.25">
      <c r="A711" t="s">
        <v>42</v>
      </c>
      <c r="B711" t="s">
        <v>2185</v>
      </c>
      <c r="C711" t="s">
        <v>347</v>
      </c>
      <c r="E711" t="s">
        <v>2036</v>
      </c>
      <c r="F711">
        <v>485</v>
      </c>
      <c r="G711" t="s">
        <v>1052</v>
      </c>
      <c r="H711" t="s">
        <v>1761</v>
      </c>
      <c r="I711" t="s">
        <v>1754</v>
      </c>
      <c r="J711" t="s">
        <v>1401</v>
      </c>
      <c r="K711" t="s">
        <v>1055</v>
      </c>
      <c r="L711" t="s">
        <v>1056</v>
      </c>
      <c r="M711" t="s">
        <v>1057</v>
      </c>
      <c r="N711" t="s">
        <v>1058</v>
      </c>
      <c r="O711" t="s">
        <v>994</v>
      </c>
      <c r="P711" t="s">
        <v>1059</v>
      </c>
      <c r="Q711" t="b">
        <v>1</v>
      </c>
      <c r="R711" t="b">
        <v>0</v>
      </c>
      <c r="S711" t="s">
        <v>2149</v>
      </c>
      <c r="T711" t="s">
        <v>994</v>
      </c>
      <c r="U711" t="s">
        <v>1034</v>
      </c>
      <c r="V711" t="s">
        <v>997</v>
      </c>
      <c r="W711" t="s">
        <v>1035</v>
      </c>
      <c r="X711" t="s">
        <v>1755</v>
      </c>
    </row>
    <row r="712" spans="1:24" x14ac:dyDescent="0.25">
      <c r="A712" t="s">
        <v>42</v>
      </c>
      <c r="B712" t="s">
        <v>2186</v>
      </c>
      <c r="C712" t="s">
        <v>347</v>
      </c>
      <c r="E712" t="s">
        <v>2042</v>
      </c>
      <c r="F712">
        <v>0</v>
      </c>
      <c r="G712" t="s">
        <v>1052</v>
      </c>
      <c r="H712" t="s">
        <v>1769</v>
      </c>
      <c r="I712" t="s">
        <v>1770</v>
      </c>
      <c r="J712" t="s">
        <v>1401</v>
      </c>
      <c r="K712" t="s">
        <v>994</v>
      </c>
      <c r="L712" t="s">
        <v>994</v>
      </c>
      <c r="M712" t="s">
        <v>994</v>
      </c>
      <c r="N712" t="s">
        <v>994</v>
      </c>
      <c r="O712" t="s">
        <v>994</v>
      </c>
      <c r="P712" t="s">
        <v>994</v>
      </c>
      <c r="Q712" t="b">
        <v>1</v>
      </c>
      <c r="R712" t="b">
        <v>0</v>
      </c>
      <c r="S712" t="s">
        <v>2149</v>
      </c>
      <c r="T712" t="s">
        <v>994</v>
      </c>
      <c r="U712" t="s">
        <v>1034</v>
      </c>
      <c r="V712" t="s">
        <v>997</v>
      </c>
      <c r="W712" t="s">
        <v>1035</v>
      </c>
      <c r="X712" t="s">
        <v>994</v>
      </c>
    </row>
    <row r="713" spans="1:24" x14ac:dyDescent="0.25">
      <c r="A713" t="s">
        <v>42</v>
      </c>
      <c r="B713" t="s">
        <v>2187</v>
      </c>
      <c r="C713" t="s">
        <v>347</v>
      </c>
      <c r="E713" t="s">
        <v>2048</v>
      </c>
      <c r="F713">
        <v>0</v>
      </c>
      <c r="G713" t="s">
        <v>1052</v>
      </c>
      <c r="H713" t="s">
        <v>1769</v>
      </c>
      <c r="I713" t="s">
        <v>1770</v>
      </c>
      <c r="J713" t="s">
        <v>1401</v>
      </c>
      <c r="K713" t="s">
        <v>994</v>
      </c>
      <c r="L713" t="s">
        <v>994</v>
      </c>
      <c r="M713" t="s">
        <v>994</v>
      </c>
      <c r="N713" t="s">
        <v>994</v>
      </c>
      <c r="O713" t="s">
        <v>994</v>
      </c>
      <c r="P713" t="s">
        <v>994</v>
      </c>
      <c r="Q713" t="b">
        <v>1</v>
      </c>
      <c r="R713" t="b">
        <v>0</v>
      </c>
      <c r="S713" t="s">
        <v>2149</v>
      </c>
      <c r="T713" t="s">
        <v>994</v>
      </c>
      <c r="U713" t="s">
        <v>1034</v>
      </c>
      <c r="V713" t="s">
        <v>997</v>
      </c>
      <c r="W713" t="s">
        <v>1035</v>
      </c>
      <c r="X713" t="s">
        <v>994</v>
      </c>
    </row>
    <row r="714" spans="1:24" x14ac:dyDescent="0.25">
      <c r="A714" t="s">
        <v>42</v>
      </c>
      <c r="B714" t="s">
        <v>1776</v>
      </c>
      <c r="C714" t="s">
        <v>348</v>
      </c>
      <c r="E714" t="s">
        <v>992</v>
      </c>
      <c r="F714">
        <v>24992</v>
      </c>
      <c r="G714" t="s">
        <v>1052</v>
      </c>
      <c r="H714" t="s">
        <v>1777</v>
      </c>
      <c r="I714" t="s">
        <v>1778</v>
      </c>
      <c r="J714" t="s">
        <v>1401</v>
      </c>
      <c r="K714" t="s">
        <v>1027</v>
      </c>
      <c r="L714" t="s">
        <v>1028</v>
      </c>
      <c r="M714" t="s">
        <v>1029</v>
      </c>
      <c r="N714" t="s">
        <v>1030</v>
      </c>
      <c r="O714" t="s">
        <v>994</v>
      </c>
      <c r="P714" t="s">
        <v>1032</v>
      </c>
      <c r="Q714" t="b">
        <v>1</v>
      </c>
      <c r="R714" t="b">
        <v>0</v>
      </c>
      <c r="S714" t="s">
        <v>2149</v>
      </c>
      <c r="T714" t="s">
        <v>994</v>
      </c>
      <c r="U714" t="s">
        <v>1034</v>
      </c>
      <c r="V714" t="s">
        <v>997</v>
      </c>
      <c r="W714" t="s">
        <v>1035</v>
      </c>
      <c r="X714" t="s">
        <v>1781</v>
      </c>
    </row>
    <row r="715" spans="1:24" x14ac:dyDescent="0.25">
      <c r="A715" t="s">
        <v>42</v>
      </c>
      <c r="B715" t="s">
        <v>1782</v>
      </c>
      <c r="C715" t="s">
        <v>348</v>
      </c>
      <c r="E715" t="s">
        <v>1000</v>
      </c>
      <c r="F715">
        <v>23476</v>
      </c>
      <c r="G715" t="s">
        <v>1052</v>
      </c>
      <c r="H715" t="s">
        <v>1783</v>
      </c>
      <c r="I715" t="s">
        <v>1778</v>
      </c>
      <c r="J715" t="s">
        <v>1401</v>
      </c>
      <c r="K715" t="s">
        <v>1039</v>
      </c>
      <c r="L715" t="s">
        <v>1040</v>
      </c>
      <c r="M715" t="s">
        <v>1029</v>
      </c>
      <c r="N715" t="s">
        <v>1041</v>
      </c>
      <c r="O715" t="s">
        <v>994</v>
      </c>
      <c r="P715" t="s">
        <v>1043</v>
      </c>
      <c r="Q715" t="b">
        <v>1</v>
      </c>
      <c r="R715" t="b">
        <v>0</v>
      </c>
      <c r="S715" t="s">
        <v>2149</v>
      </c>
      <c r="T715" t="s">
        <v>994</v>
      </c>
      <c r="U715" t="s">
        <v>1034</v>
      </c>
      <c r="V715" t="s">
        <v>997</v>
      </c>
      <c r="W715" t="s">
        <v>1035</v>
      </c>
      <c r="X715" t="s">
        <v>1781</v>
      </c>
    </row>
    <row r="716" spans="1:24" x14ac:dyDescent="0.25">
      <c r="A716" t="s">
        <v>42</v>
      </c>
      <c r="B716" t="s">
        <v>1784</v>
      </c>
      <c r="C716" t="s">
        <v>348</v>
      </c>
      <c r="E716" t="s">
        <v>1002</v>
      </c>
      <c r="F716">
        <v>22372</v>
      </c>
      <c r="G716" t="s">
        <v>1052</v>
      </c>
      <c r="H716" t="s">
        <v>1785</v>
      </c>
      <c r="I716" t="s">
        <v>1778</v>
      </c>
      <c r="J716" t="s">
        <v>1401</v>
      </c>
      <c r="K716" t="s">
        <v>1046</v>
      </c>
      <c r="L716" t="s">
        <v>1047</v>
      </c>
      <c r="M716" t="s">
        <v>1029</v>
      </c>
      <c r="N716" t="s">
        <v>1048</v>
      </c>
      <c r="O716" t="s">
        <v>994</v>
      </c>
      <c r="P716" t="s">
        <v>1050</v>
      </c>
      <c r="Q716" t="b">
        <v>1</v>
      </c>
      <c r="R716" t="b">
        <v>0</v>
      </c>
      <c r="S716" t="s">
        <v>2149</v>
      </c>
      <c r="T716" t="s">
        <v>994</v>
      </c>
      <c r="U716" t="s">
        <v>1034</v>
      </c>
      <c r="V716" t="s">
        <v>997</v>
      </c>
      <c r="W716" t="s">
        <v>1035</v>
      </c>
      <c r="X716" t="s">
        <v>1781</v>
      </c>
    </row>
    <row r="717" spans="1:24" x14ac:dyDescent="0.25">
      <c r="A717" t="s">
        <v>42</v>
      </c>
      <c r="B717" t="s">
        <v>1786</v>
      </c>
      <c r="C717" t="s">
        <v>348</v>
      </c>
      <c r="E717" t="s">
        <v>1004</v>
      </c>
      <c r="F717">
        <v>22968</v>
      </c>
      <c r="G717" t="s">
        <v>1052</v>
      </c>
      <c r="H717" t="s">
        <v>1787</v>
      </c>
      <c r="I717" t="s">
        <v>1778</v>
      </c>
      <c r="J717" t="s">
        <v>1401</v>
      </c>
      <c r="K717" t="s">
        <v>1055</v>
      </c>
      <c r="L717" t="s">
        <v>1056</v>
      </c>
      <c r="M717" t="s">
        <v>1057</v>
      </c>
      <c r="N717" t="s">
        <v>1058</v>
      </c>
      <c r="O717" t="s">
        <v>994</v>
      </c>
      <c r="P717" t="s">
        <v>1059</v>
      </c>
      <c r="Q717" t="b">
        <v>1</v>
      </c>
      <c r="R717" t="b">
        <v>0</v>
      </c>
      <c r="S717" t="s">
        <v>2149</v>
      </c>
      <c r="T717" t="s">
        <v>994</v>
      </c>
      <c r="U717" t="s">
        <v>1034</v>
      </c>
      <c r="V717" t="s">
        <v>997</v>
      </c>
      <c r="W717" t="s">
        <v>1035</v>
      </c>
      <c r="X717" t="s">
        <v>1781</v>
      </c>
    </row>
    <row r="718" spans="1:24" x14ac:dyDescent="0.25">
      <c r="A718" t="s">
        <v>42</v>
      </c>
      <c r="B718" t="s">
        <v>2188</v>
      </c>
      <c r="C718" t="s">
        <v>348</v>
      </c>
      <c r="E718" t="s">
        <v>2036</v>
      </c>
      <c r="F718">
        <v>22968</v>
      </c>
      <c r="G718" t="s">
        <v>1052</v>
      </c>
      <c r="H718" t="s">
        <v>1787</v>
      </c>
      <c r="I718" t="s">
        <v>1778</v>
      </c>
      <c r="J718" t="s">
        <v>1401</v>
      </c>
      <c r="K718" t="s">
        <v>1055</v>
      </c>
      <c r="L718" t="s">
        <v>1056</v>
      </c>
      <c r="M718" t="s">
        <v>1057</v>
      </c>
      <c r="N718" t="s">
        <v>1058</v>
      </c>
      <c r="O718" t="s">
        <v>994</v>
      </c>
      <c r="P718" t="s">
        <v>1059</v>
      </c>
      <c r="Q718" t="b">
        <v>1</v>
      </c>
      <c r="R718" t="b">
        <v>0</v>
      </c>
      <c r="S718" t="s">
        <v>2149</v>
      </c>
      <c r="T718" t="s">
        <v>994</v>
      </c>
      <c r="U718" t="s">
        <v>1034</v>
      </c>
      <c r="V718" t="s">
        <v>997</v>
      </c>
      <c r="W718" t="s">
        <v>1035</v>
      </c>
      <c r="X718" t="s">
        <v>1781</v>
      </c>
    </row>
    <row r="719" spans="1:24" x14ac:dyDescent="0.25">
      <c r="A719" t="s">
        <v>42</v>
      </c>
      <c r="B719" t="s">
        <v>1788</v>
      </c>
      <c r="C719" t="s">
        <v>348</v>
      </c>
      <c r="E719" t="s">
        <v>1006</v>
      </c>
      <c r="F719">
        <v>23351</v>
      </c>
      <c r="G719" t="s">
        <v>1052</v>
      </c>
      <c r="H719" t="s">
        <v>1789</v>
      </c>
      <c r="I719" t="s">
        <v>1778</v>
      </c>
      <c r="J719" t="s">
        <v>1401</v>
      </c>
      <c r="K719" t="s">
        <v>1065</v>
      </c>
      <c r="L719" t="s">
        <v>1066</v>
      </c>
      <c r="M719" t="s">
        <v>1029</v>
      </c>
      <c r="N719" t="s">
        <v>1067</v>
      </c>
      <c r="O719" t="s">
        <v>994</v>
      </c>
      <c r="P719" t="s">
        <v>1069</v>
      </c>
      <c r="Q719" t="b">
        <v>1</v>
      </c>
      <c r="R719" t="b">
        <v>0</v>
      </c>
      <c r="S719" t="s">
        <v>2149</v>
      </c>
      <c r="T719" t="s">
        <v>994</v>
      </c>
      <c r="U719" t="s">
        <v>1034</v>
      </c>
      <c r="V719" t="s">
        <v>997</v>
      </c>
      <c r="W719" t="s">
        <v>1035</v>
      </c>
      <c r="X719" t="s">
        <v>1790</v>
      </c>
    </row>
    <row r="720" spans="1:24" x14ac:dyDescent="0.25">
      <c r="A720" t="s">
        <v>42</v>
      </c>
      <c r="B720" t="s">
        <v>1791</v>
      </c>
      <c r="C720" t="s">
        <v>348</v>
      </c>
      <c r="E720" t="s">
        <v>1008</v>
      </c>
      <c r="F720">
        <v>21107</v>
      </c>
      <c r="G720" t="s">
        <v>1052</v>
      </c>
      <c r="H720" t="s">
        <v>1792</v>
      </c>
      <c r="I720" t="s">
        <v>1778</v>
      </c>
      <c r="J720" t="s">
        <v>1401</v>
      </c>
      <c r="K720" t="s">
        <v>1072</v>
      </c>
      <c r="L720" t="s">
        <v>1073</v>
      </c>
      <c r="M720" t="s">
        <v>1029</v>
      </c>
      <c r="N720" t="s">
        <v>1074</v>
      </c>
      <c r="O720" t="s">
        <v>994</v>
      </c>
      <c r="P720" t="s">
        <v>1076</v>
      </c>
      <c r="Q720" t="b">
        <v>1</v>
      </c>
      <c r="R720" t="b">
        <v>0</v>
      </c>
      <c r="S720" t="s">
        <v>2149</v>
      </c>
      <c r="T720" t="s">
        <v>994</v>
      </c>
      <c r="U720" t="s">
        <v>1034</v>
      </c>
      <c r="V720" t="s">
        <v>997</v>
      </c>
      <c r="W720" t="s">
        <v>1035</v>
      </c>
      <c r="X720" t="s">
        <v>1790</v>
      </c>
    </row>
    <row r="721" spans="1:24" x14ac:dyDescent="0.25">
      <c r="A721" t="s">
        <v>42</v>
      </c>
      <c r="B721" t="s">
        <v>1793</v>
      </c>
      <c r="C721" t="s">
        <v>348</v>
      </c>
      <c r="E721" t="s">
        <v>1010</v>
      </c>
      <c r="F721">
        <v>20852</v>
      </c>
      <c r="G721" t="s">
        <v>1052</v>
      </c>
      <c r="H721" t="s">
        <v>1794</v>
      </c>
      <c r="I721" t="s">
        <v>1778</v>
      </c>
      <c r="J721" t="s">
        <v>1401</v>
      </c>
      <c r="K721" t="s">
        <v>1079</v>
      </c>
      <c r="L721" t="s">
        <v>1080</v>
      </c>
      <c r="M721" t="s">
        <v>1029</v>
      </c>
      <c r="N721" t="s">
        <v>1081</v>
      </c>
      <c r="O721" t="s">
        <v>994</v>
      </c>
      <c r="P721" t="s">
        <v>1083</v>
      </c>
      <c r="Q721" t="b">
        <v>1</v>
      </c>
      <c r="R721" t="b">
        <v>0</v>
      </c>
      <c r="S721" t="s">
        <v>2149</v>
      </c>
      <c r="T721" t="s">
        <v>994</v>
      </c>
      <c r="U721" t="s">
        <v>1034</v>
      </c>
      <c r="V721" t="s">
        <v>997</v>
      </c>
      <c r="W721" t="s">
        <v>1035</v>
      </c>
      <c r="X721" t="s">
        <v>1781</v>
      </c>
    </row>
    <row r="722" spans="1:24" x14ac:dyDescent="0.25">
      <c r="A722" t="s">
        <v>42</v>
      </c>
      <c r="B722" t="s">
        <v>1795</v>
      </c>
      <c r="C722" t="s">
        <v>348</v>
      </c>
      <c r="E722" t="s">
        <v>1012</v>
      </c>
      <c r="F722">
        <v>25167</v>
      </c>
      <c r="G722" t="s">
        <v>1052</v>
      </c>
      <c r="H722" t="s">
        <v>1796</v>
      </c>
      <c r="I722" t="s">
        <v>2189</v>
      </c>
      <c r="J722" t="s">
        <v>1401</v>
      </c>
      <c r="K722" t="s">
        <v>1086</v>
      </c>
      <c r="L722" t="s">
        <v>1087</v>
      </c>
      <c r="M722" t="s">
        <v>1057</v>
      </c>
      <c r="N722" t="s">
        <v>1088</v>
      </c>
      <c r="O722" t="s">
        <v>994</v>
      </c>
      <c r="P722" t="s">
        <v>1089</v>
      </c>
      <c r="Q722" t="b">
        <v>1</v>
      </c>
      <c r="R722" t="b">
        <v>0</v>
      </c>
      <c r="S722" t="s">
        <v>2149</v>
      </c>
      <c r="T722" t="s">
        <v>994</v>
      </c>
      <c r="U722" t="s">
        <v>1034</v>
      </c>
      <c r="V722" t="s">
        <v>997</v>
      </c>
      <c r="W722" t="s">
        <v>1035</v>
      </c>
      <c r="X722" t="s">
        <v>1800</v>
      </c>
    </row>
    <row r="723" spans="1:24" x14ac:dyDescent="0.25">
      <c r="A723" t="s">
        <v>42</v>
      </c>
      <c r="B723" t="s">
        <v>2190</v>
      </c>
      <c r="C723" t="s">
        <v>348</v>
      </c>
      <c r="E723" t="s">
        <v>2042</v>
      </c>
      <c r="F723">
        <v>25167</v>
      </c>
      <c r="G723" t="s">
        <v>1052</v>
      </c>
      <c r="H723" t="s">
        <v>1796</v>
      </c>
      <c r="I723" t="s">
        <v>2189</v>
      </c>
      <c r="J723" t="s">
        <v>1401</v>
      </c>
      <c r="K723" t="s">
        <v>1086</v>
      </c>
      <c r="L723" t="s">
        <v>1087</v>
      </c>
      <c r="M723" t="s">
        <v>1057</v>
      </c>
      <c r="N723" t="s">
        <v>1088</v>
      </c>
      <c r="O723" t="s">
        <v>994</v>
      </c>
      <c r="P723" t="s">
        <v>1089</v>
      </c>
      <c r="Q723" t="b">
        <v>1</v>
      </c>
      <c r="R723" t="b">
        <v>0</v>
      </c>
      <c r="S723" t="s">
        <v>2149</v>
      </c>
      <c r="T723" t="s">
        <v>994</v>
      </c>
      <c r="U723" t="s">
        <v>1034</v>
      </c>
      <c r="V723" t="s">
        <v>997</v>
      </c>
      <c r="W723" t="s">
        <v>1035</v>
      </c>
      <c r="X723" t="s">
        <v>1800</v>
      </c>
    </row>
    <row r="724" spans="1:24" x14ac:dyDescent="0.25">
      <c r="A724" t="s">
        <v>42</v>
      </c>
      <c r="B724" t="s">
        <v>2191</v>
      </c>
      <c r="C724" t="s">
        <v>348</v>
      </c>
      <c r="E724" t="s">
        <v>2048</v>
      </c>
      <c r="F724">
        <v>30724</v>
      </c>
      <c r="G724" t="s">
        <v>1052</v>
      </c>
      <c r="H724" t="s">
        <v>1808</v>
      </c>
      <c r="I724" t="s">
        <v>2189</v>
      </c>
      <c r="J724" t="s">
        <v>1401</v>
      </c>
      <c r="K724" t="s">
        <v>1114</v>
      </c>
      <c r="L724" t="s">
        <v>1115</v>
      </c>
      <c r="M724" t="s">
        <v>1057</v>
      </c>
      <c r="N724" t="s">
        <v>1116</v>
      </c>
      <c r="O724" t="s">
        <v>994</v>
      </c>
      <c r="P724" t="s">
        <v>1117</v>
      </c>
      <c r="Q724" t="b">
        <v>1</v>
      </c>
      <c r="R724" t="b">
        <v>0</v>
      </c>
      <c r="S724" t="s">
        <v>2149</v>
      </c>
      <c r="T724" t="s">
        <v>994</v>
      </c>
      <c r="U724" t="s">
        <v>1034</v>
      </c>
      <c r="V724" t="s">
        <v>997</v>
      </c>
      <c r="W724" t="s">
        <v>1035</v>
      </c>
      <c r="X724" t="s">
        <v>1800</v>
      </c>
    </row>
    <row r="725" spans="1:24" x14ac:dyDescent="0.25">
      <c r="A725" t="s">
        <v>42</v>
      </c>
      <c r="B725" t="s">
        <v>1809</v>
      </c>
      <c r="C725" t="s">
        <v>348</v>
      </c>
      <c r="E725" t="s">
        <v>1022</v>
      </c>
      <c r="F725">
        <v>36484</v>
      </c>
      <c r="G725" t="s">
        <v>1052</v>
      </c>
      <c r="H725" t="s">
        <v>1810</v>
      </c>
      <c r="I725" t="s">
        <v>2189</v>
      </c>
      <c r="J725" t="s">
        <v>1401</v>
      </c>
      <c r="K725" t="s">
        <v>1120</v>
      </c>
      <c r="L725" t="s">
        <v>1121</v>
      </c>
      <c r="M725" t="s">
        <v>1029</v>
      </c>
      <c r="N725" t="s">
        <v>1122</v>
      </c>
      <c r="O725" t="s">
        <v>994</v>
      </c>
      <c r="P725" t="s">
        <v>1124</v>
      </c>
      <c r="Q725" t="b">
        <v>1</v>
      </c>
      <c r="R725" t="b">
        <v>0</v>
      </c>
      <c r="S725" t="s">
        <v>2149</v>
      </c>
      <c r="T725" t="s">
        <v>994</v>
      </c>
      <c r="U725" t="s">
        <v>1034</v>
      </c>
      <c r="V725" t="s">
        <v>997</v>
      </c>
      <c r="W725" t="s">
        <v>1035</v>
      </c>
      <c r="X725" t="s">
        <v>1800</v>
      </c>
    </row>
    <row r="726" spans="1:24" x14ac:dyDescent="0.25">
      <c r="A726" t="s">
        <v>42</v>
      </c>
      <c r="B726" t="s">
        <v>2192</v>
      </c>
      <c r="C726" t="s">
        <v>351</v>
      </c>
      <c r="E726" t="s">
        <v>2036</v>
      </c>
      <c r="F726">
        <v>76534</v>
      </c>
      <c r="G726" t="s">
        <v>1052</v>
      </c>
      <c r="H726" t="s">
        <v>1820</v>
      </c>
      <c r="I726" t="s">
        <v>1813</v>
      </c>
      <c r="J726" t="s">
        <v>1401</v>
      </c>
      <c r="K726" t="s">
        <v>1055</v>
      </c>
      <c r="L726" t="s">
        <v>1056</v>
      </c>
      <c r="M726" t="s">
        <v>1057</v>
      </c>
      <c r="N726" t="s">
        <v>1058</v>
      </c>
      <c r="O726" t="s">
        <v>994</v>
      </c>
      <c r="P726" t="s">
        <v>1059</v>
      </c>
      <c r="Q726" t="b">
        <v>1</v>
      </c>
      <c r="R726" t="b">
        <v>0</v>
      </c>
      <c r="S726" t="s">
        <v>2149</v>
      </c>
      <c r="T726" t="s">
        <v>994</v>
      </c>
      <c r="U726" t="s">
        <v>1034</v>
      </c>
      <c r="V726" t="s">
        <v>997</v>
      </c>
      <c r="W726" t="s">
        <v>1035</v>
      </c>
      <c r="X726" t="s">
        <v>1814</v>
      </c>
    </row>
    <row r="727" spans="1:24" x14ac:dyDescent="0.25">
      <c r="A727" t="s">
        <v>42</v>
      </c>
      <c r="B727" t="s">
        <v>2193</v>
      </c>
      <c r="C727" t="s">
        <v>351</v>
      </c>
      <c r="E727" t="s">
        <v>2042</v>
      </c>
      <c r="F727">
        <v>84800</v>
      </c>
      <c r="G727" t="s">
        <v>1052</v>
      </c>
      <c r="H727" t="s">
        <v>1828</v>
      </c>
      <c r="I727" t="s">
        <v>1813</v>
      </c>
      <c r="J727" t="s">
        <v>1401</v>
      </c>
      <c r="K727" t="s">
        <v>1086</v>
      </c>
      <c r="L727" t="s">
        <v>1087</v>
      </c>
      <c r="M727" t="s">
        <v>1057</v>
      </c>
      <c r="N727" t="s">
        <v>1088</v>
      </c>
      <c r="O727" t="s">
        <v>994</v>
      </c>
      <c r="P727" t="s">
        <v>1089</v>
      </c>
      <c r="Q727" t="b">
        <v>1</v>
      </c>
      <c r="R727" t="b">
        <v>0</v>
      </c>
      <c r="S727" t="s">
        <v>2149</v>
      </c>
      <c r="T727" t="s">
        <v>994</v>
      </c>
      <c r="U727" t="s">
        <v>1034</v>
      </c>
      <c r="V727" t="s">
        <v>997</v>
      </c>
      <c r="W727" t="s">
        <v>1035</v>
      </c>
      <c r="X727" t="s">
        <v>1814</v>
      </c>
    </row>
    <row r="728" spans="1:24" x14ac:dyDescent="0.25">
      <c r="A728" t="s">
        <v>42</v>
      </c>
      <c r="B728" t="s">
        <v>2194</v>
      </c>
      <c r="C728" t="s">
        <v>351</v>
      </c>
      <c r="E728" t="s">
        <v>2048</v>
      </c>
      <c r="F728">
        <v>93126</v>
      </c>
      <c r="G728" t="s">
        <v>1052</v>
      </c>
      <c r="H728" t="s">
        <v>1836</v>
      </c>
      <c r="I728" t="s">
        <v>1813</v>
      </c>
      <c r="J728" t="s">
        <v>1401</v>
      </c>
      <c r="K728" t="s">
        <v>1114</v>
      </c>
      <c r="L728" t="s">
        <v>1115</v>
      </c>
      <c r="M728" t="s">
        <v>1057</v>
      </c>
      <c r="N728" t="s">
        <v>1116</v>
      </c>
      <c r="O728" t="s">
        <v>994</v>
      </c>
      <c r="P728" t="s">
        <v>1117</v>
      </c>
      <c r="Q728" t="b">
        <v>1</v>
      </c>
      <c r="R728" t="b">
        <v>0</v>
      </c>
      <c r="S728" t="s">
        <v>2149</v>
      </c>
      <c r="T728" t="s">
        <v>994</v>
      </c>
      <c r="U728" t="s">
        <v>1034</v>
      </c>
      <c r="V728" t="s">
        <v>997</v>
      </c>
      <c r="W728" t="s">
        <v>1035</v>
      </c>
      <c r="X728" t="s">
        <v>1814</v>
      </c>
    </row>
    <row r="729" spans="1:24" x14ac:dyDescent="0.25">
      <c r="A729" t="s">
        <v>42</v>
      </c>
      <c r="B729" t="s">
        <v>2195</v>
      </c>
      <c r="C729" t="s">
        <v>352</v>
      </c>
      <c r="E729" t="s">
        <v>2036</v>
      </c>
      <c r="F729">
        <v>211247</v>
      </c>
      <c r="G729" t="s">
        <v>1052</v>
      </c>
      <c r="H729" t="s">
        <v>1848</v>
      </c>
      <c r="I729" t="s">
        <v>1841</v>
      </c>
      <c r="J729" t="s">
        <v>1401</v>
      </c>
      <c r="K729" t="s">
        <v>1055</v>
      </c>
      <c r="L729" t="s">
        <v>1056</v>
      </c>
      <c r="M729" t="s">
        <v>1057</v>
      </c>
      <c r="N729" t="s">
        <v>1058</v>
      </c>
      <c r="O729" t="s">
        <v>994</v>
      </c>
      <c r="P729" t="s">
        <v>1059</v>
      </c>
      <c r="Q729" t="b">
        <v>1</v>
      </c>
      <c r="R729" t="b">
        <v>0</v>
      </c>
      <c r="S729" t="s">
        <v>2149</v>
      </c>
      <c r="T729" t="s">
        <v>994</v>
      </c>
      <c r="U729" t="s">
        <v>1034</v>
      </c>
      <c r="V729" t="s">
        <v>997</v>
      </c>
      <c r="W729" t="s">
        <v>1035</v>
      </c>
      <c r="X729" t="s">
        <v>1842</v>
      </c>
    </row>
    <row r="730" spans="1:24" x14ac:dyDescent="0.25">
      <c r="A730" t="s">
        <v>42</v>
      </c>
      <c r="B730" t="s">
        <v>2196</v>
      </c>
      <c r="C730" t="s">
        <v>352</v>
      </c>
      <c r="E730" t="s">
        <v>2042</v>
      </c>
      <c r="F730">
        <v>245084</v>
      </c>
      <c r="G730" t="s">
        <v>1052</v>
      </c>
      <c r="H730" t="s">
        <v>1856</v>
      </c>
      <c r="I730" t="s">
        <v>1841</v>
      </c>
      <c r="J730" t="s">
        <v>1401</v>
      </c>
      <c r="K730" t="s">
        <v>1086</v>
      </c>
      <c r="L730" t="s">
        <v>1087</v>
      </c>
      <c r="M730" t="s">
        <v>1057</v>
      </c>
      <c r="N730" t="s">
        <v>1088</v>
      </c>
      <c r="O730" t="s">
        <v>994</v>
      </c>
      <c r="P730" t="s">
        <v>1089</v>
      </c>
      <c r="Q730" t="b">
        <v>1</v>
      </c>
      <c r="R730" t="b">
        <v>0</v>
      </c>
      <c r="S730" t="s">
        <v>2149</v>
      </c>
      <c r="T730" t="s">
        <v>994</v>
      </c>
      <c r="U730" t="s">
        <v>1034</v>
      </c>
      <c r="V730" t="s">
        <v>997</v>
      </c>
      <c r="W730" t="s">
        <v>1035</v>
      </c>
      <c r="X730" t="s">
        <v>1842</v>
      </c>
    </row>
    <row r="731" spans="1:24" x14ac:dyDescent="0.25">
      <c r="A731" t="s">
        <v>42</v>
      </c>
      <c r="B731" t="s">
        <v>2197</v>
      </c>
      <c r="C731" t="s">
        <v>352</v>
      </c>
      <c r="E731" t="s">
        <v>2048</v>
      </c>
      <c r="F731">
        <v>324055</v>
      </c>
      <c r="G731" t="s">
        <v>1052</v>
      </c>
      <c r="H731" t="s">
        <v>1864</v>
      </c>
      <c r="I731" t="s">
        <v>1841</v>
      </c>
      <c r="J731" t="s">
        <v>1401</v>
      </c>
      <c r="K731" t="s">
        <v>1114</v>
      </c>
      <c r="L731" t="s">
        <v>1115</v>
      </c>
      <c r="M731" t="s">
        <v>1057</v>
      </c>
      <c r="N731" t="s">
        <v>1116</v>
      </c>
      <c r="O731" t="s">
        <v>994</v>
      </c>
      <c r="P731" t="s">
        <v>1117</v>
      </c>
      <c r="Q731" t="b">
        <v>1</v>
      </c>
      <c r="R731" t="b">
        <v>0</v>
      </c>
      <c r="S731" t="s">
        <v>2149</v>
      </c>
      <c r="T731" t="s">
        <v>994</v>
      </c>
      <c r="U731" t="s">
        <v>1034</v>
      </c>
      <c r="V731" t="s">
        <v>997</v>
      </c>
      <c r="W731" t="s">
        <v>1035</v>
      </c>
      <c r="X731" t="s">
        <v>1842</v>
      </c>
    </row>
    <row r="732" spans="1:24" x14ac:dyDescent="0.25">
      <c r="A732" t="s">
        <v>42</v>
      </c>
      <c r="B732" t="s">
        <v>2198</v>
      </c>
      <c r="C732" t="s">
        <v>353</v>
      </c>
      <c r="E732" t="s">
        <v>2036</v>
      </c>
      <c r="F732">
        <v>0</v>
      </c>
      <c r="G732" t="s">
        <v>1052</v>
      </c>
      <c r="H732" t="s">
        <v>1868</v>
      </c>
      <c r="I732" t="s">
        <v>1869</v>
      </c>
      <c r="J732" t="s">
        <v>1401</v>
      </c>
      <c r="K732" t="s">
        <v>994</v>
      </c>
      <c r="L732" t="s">
        <v>994</v>
      </c>
      <c r="M732" t="s">
        <v>994</v>
      </c>
      <c r="N732" t="s">
        <v>994</v>
      </c>
      <c r="O732" t="s">
        <v>994</v>
      </c>
      <c r="P732" t="s">
        <v>994</v>
      </c>
      <c r="Q732" t="b">
        <v>1</v>
      </c>
      <c r="R732" t="b">
        <v>0</v>
      </c>
      <c r="S732" t="s">
        <v>2149</v>
      </c>
      <c r="T732" t="s">
        <v>994</v>
      </c>
      <c r="U732" t="s">
        <v>1034</v>
      </c>
      <c r="V732" t="s">
        <v>997</v>
      </c>
      <c r="W732" t="s">
        <v>1035</v>
      </c>
      <c r="X732" t="s">
        <v>994</v>
      </c>
    </row>
    <row r="733" spans="1:24" x14ac:dyDescent="0.25">
      <c r="A733" t="s">
        <v>42</v>
      </c>
      <c r="B733" t="s">
        <v>2199</v>
      </c>
      <c r="C733" t="s">
        <v>353</v>
      </c>
      <c r="E733" t="s">
        <v>2042</v>
      </c>
      <c r="F733">
        <v>0</v>
      </c>
      <c r="G733" t="s">
        <v>1052</v>
      </c>
      <c r="H733" t="s">
        <v>1868</v>
      </c>
      <c r="I733" t="s">
        <v>1869</v>
      </c>
      <c r="J733" t="s">
        <v>1401</v>
      </c>
      <c r="K733" t="s">
        <v>994</v>
      </c>
      <c r="L733" t="s">
        <v>994</v>
      </c>
      <c r="M733" t="s">
        <v>994</v>
      </c>
      <c r="N733" t="s">
        <v>994</v>
      </c>
      <c r="O733" t="s">
        <v>994</v>
      </c>
      <c r="P733" t="s">
        <v>994</v>
      </c>
      <c r="Q733" t="b">
        <v>1</v>
      </c>
      <c r="R733" t="b">
        <v>0</v>
      </c>
      <c r="S733" t="s">
        <v>2149</v>
      </c>
      <c r="T733" t="s">
        <v>994</v>
      </c>
      <c r="U733" t="s">
        <v>1034</v>
      </c>
      <c r="V733" t="s">
        <v>997</v>
      </c>
      <c r="W733" t="s">
        <v>1035</v>
      </c>
      <c r="X733" t="s">
        <v>994</v>
      </c>
    </row>
    <row r="734" spans="1:24" x14ac:dyDescent="0.25">
      <c r="A734" t="s">
        <v>42</v>
      </c>
      <c r="B734" t="s">
        <v>2200</v>
      </c>
      <c r="C734" t="s">
        <v>353</v>
      </c>
      <c r="E734" t="s">
        <v>2048</v>
      </c>
      <c r="F734">
        <v>0</v>
      </c>
      <c r="G734" t="s">
        <v>1052</v>
      </c>
      <c r="H734" t="s">
        <v>1868</v>
      </c>
      <c r="I734" t="s">
        <v>1869</v>
      </c>
      <c r="J734" t="s">
        <v>1401</v>
      </c>
      <c r="K734" t="s">
        <v>994</v>
      </c>
      <c r="L734" t="s">
        <v>994</v>
      </c>
      <c r="M734" t="s">
        <v>994</v>
      </c>
      <c r="N734" t="s">
        <v>994</v>
      </c>
      <c r="O734" t="s">
        <v>994</v>
      </c>
      <c r="P734" t="s">
        <v>994</v>
      </c>
      <c r="Q734" t="b">
        <v>1</v>
      </c>
      <c r="R734" t="b">
        <v>0</v>
      </c>
      <c r="S734" t="s">
        <v>2149</v>
      </c>
      <c r="T734" t="s">
        <v>994</v>
      </c>
      <c r="U734" t="s">
        <v>1034</v>
      </c>
      <c r="V734" t="s">
        <v>997</v>
      </c>
      <c r="W734" t="s">
        <v>1035</v>
      </c>
      <c r="X734" t="s">
        <v>994</v>
      </c>
    </row>
    <row r="735" spans="1:24" x14ac:dyDescent="0.25">
      <c r="A735" t="s">
        <v>42</v>
      </c>
      <c r="B735" t="s">
        <v>2201</v>
      </c>
      <c r="C735" t="s">
        <v>354</v>
      </c>
      <c r="E735" t="s">
        <v>2036</v>
      </c>
      <c r="F735">
        <v>-4402</v>
      </c>
      <c r="G735" t="s">
        <v>1052</v>
      </c>
      <c r="H735" t="s">
        <v>1891</v>
      </c>
      <c r="I735" t="s">
        <v>1884</v>
      </c>
      <c r="J735" t="s">
        <v>1401</v>
      </c>
      <c r="K735" t="s">
        <v>1055</v>
      </c>
      <c r="L735" t="s">
        <v>1056</v>
      </c>
      <c r="M735" t="s">
        <v>1057</v>
      </c>
      <c r="N735" t="s">
        <v>1058</v>
      </c>
      <c r="O735" t="s">
        <v>994</v>
      </c>
      <c r="P735" t="s">
        <v>1059</v>
      </c>
      <c r="Q735" t="b">
        <v>1</v>
      </c>
      <c r="R735" t="b">
        <v>0</v>
      </c>
      <c r="S735" t="s">
        <v>2149</v>
      </c>
      <c r="T735" t="s">
        <v>994</v>
      </c>
      <c r="U735" t="s">
        <v>1034</v>
      </c>
      <c r="V735" t="s">
        <v>997</v>
      </c>
      <c r="W735" t="s">
        <v>1035</v>
      </c>
      <c r="X735" t="s">
        <v>1885</v>
      </c>
    </row>
    <row r="736" spans="1:24" x14ac:dyDescent="0.25">
      <c r="A736" t="s">
        <v>42</v>
      </c>
      <c r="B736" t="s">
        <v>2202</v>
      </c>
      <c r="C736" t="s">
        <v>354</v>
      </c>
      <c r="E736" t="s">
        <v>2042</v>
      </c>
      <c r="F736">
        <v>-4800</v>
      </c>
      <c r="G736" t="s">
        <v>1052</v>
      </c>
      <c r="H736" t="s">
        <v>1899</v>
      </c>
      <c r="I736" t="s">
        <v>1884</v>
      </c>
      <c r="J736" t="s">
        <v>1401</v>
      </c>
      <c r="K736" t="s">
        <v>1086</v>
      </c>
      <c r="L736" t="s">
        <v>1087</v>
      </c>
      <c r="M736" t="s">
        <v>1057</v>
      </c>
      <c r="N736" t="s">
        <v>1088</v>
      </c>
      <c r="O736" t="s">
        <v>994</v>
      </c>
      <c r="P736" t="s">
        <v>1089</v>
      </c>
      <c r="Q736" t="b">
        <v>1</v>
      </c>
      <c r="R736" t="b">
        <v>0</v>
      </c>
      <c r="S736" t="s">
        <v>2149</v>
      </c>
      <c r="T736" t="s">
        <v>994</v>
      </c>
      <c r="U736" t="s">
        <v>1034</v>
      </c>
      <c r="V736" t="s">
        <v>997</v>
      </c>
      <c r="W736" t="s">
        <v>1035</v>
      </c>
      <c r="X736" t="s">
        <v>1885</v>
      </c>
    </row>
    <row r="737" spans="1:24" x14ac:dyDescent="0.25">
      <c r="A737" t="s">
        <v>42</v>
      </c>
      <c r="B737" t="s">
        <v>2203</v>
      </c>
      <c r="C737" t="s">
        <v>354</v>
      </c>
      <c r="E737" t="s">
        <v>2048</v>
      </c>
      <c r="F737">
        <v>-1916</v>
      </c>
      <c r="G737" t="s">
        <v>1052</v>
      </c>
      <c r="H737" t="s">
        <v>1907</v>
      </c>
      <c r="I737" t="s">
        <v>1884</v>
      </c>
      <c r="J737" t="s">
        <v>1401</v>
      </c>
      <c r="K737" t="s">
        <v>1114</v>
      </c>
      <c r="L737" t="s">
        <v>1115</v>
      </c>
      <c r="M737" t="s">
        <v>1057</v>
      </c>
      <c r="N737" t="s">
        <v>1116</v>
      </c>
      <c r="O737" t="s">
        <v>994</v>
      </c>
      <c r="P737" t="s">
        <v>1117</v>
      </c>
      <c r="Q737" t="b">
        <v>1</v>
      </c>
      <c r="R737" t="b">
        <v>0</v>
      </c>
      <c r="S737" t="s">
        <v>2149</v>
      </c>
      <c r="T737" t="s">
        <v>994</v>
      </c>
      <c r="U737" t="s">
        <v>1034</v>
      </c>
      <c r="V737" t="s">
        <v>997</v>
      </c>
      <c r="W737" t="s">
        <v>1035</v>
      </c>
      <c r="X737" t="s">
        <v>1885</v>
      </c>
    </row>
    <row r="738" spans="1:24" x14ac:dyDescent="0.25">
      <c r="A738" t="s">
        <v>42</v>
      </c>
      <c r="B738" t="s">
        <v>2204</v>
      </c>
      <c r="C738" t="s">
        <v>356</v>
      </c>
      <c r="E738" t="s">
        <v>2036</v>
      </c>
      <c r="F738">
        <v>0</v>
      </c>
      <c r="G738" t="s">
        <v>1052</v>
      </c>
      <c r="H738" t="s">
        <v>2205</v>
      </c>
      <c r="I738" t="s">
        <v>2206</v>
      </c>
      <c r="J738" t="s">
        <v>1401</v>
      </c>
      <c r="K738" t="s">
        <v>994</v>
      </c>
      <c r="L738" t="s">
        <v>994</v>
      </c>
      <c r="M738" t="s">
        <v>994</v>
      </c>
      <c r="N738" t="s">
        <v>994</v>
      </c>
      <c r="O738" t="s">
        <v>994</v>
      </c>
      <c r="P738" t="s">
        <v>994</v>
      </c>
      <c r="Q738" t="b">
        <v>1</v>
      </c>
      <c r="R738" t="b">
        <v>0</v>
      </c>
      <c r="S738" t="s">
        <v>2149</v>
      </c>
      <c r="T738" t="s">
        <v>994</v>
      </c>
      <c r="U738" t="s">
        <v>1034</v>
      </c>
      <c r="V738" t="s">
        <v>997</v>
      </c>
      <c r="W738" t="s">
        <v>1035</v>
      </c>
      <c r="X738" t="s">
        <v>994</v>
      </c>
    </row>
    <row r="739" spans="1:24" x14ac:dyDescent="0.25">
      <c r="A739" t="s">
        <v>42</v>
      </c>
      <c r="B739" t="s">
        <v>2207</v>
      </c>
      <c r="C739" t="s">
        <v>356</v>
      </c>
      <c r="E739" t="s">
        <v>2042</v>
      </c>
      <c r="F739">
        <v>0</v>
      </c>
      <c r="G739" t="s">
        <v>1052</v>
      </c>
      <c r="H739" t="s">
        <v>2205</v>
      </c>
      <c r="I739" t="s">
        <v>2206</v>
      </c>
      <c r="J739" t="s">
        <v>1401</v>
      </c>
      <c r="K739" t="s">
        <v>994</v>
      </c>
      <c r="L739" t="s">
        <v>994</v>
      </c>
      <c r="M739" t="s">
        <v>994</v>
      </c>
      <c r="N739" t="s">
        <v>994</v>
      </c>
      <c r="O739" t="s">
        <v>994</v>
      </c>
      <c r="P739" t="s">
        <v>994</v>
      </c>
      <c r="Q739" t="b">
        <v>1</v>
      </c>
      <c r="R739" t="b">
        <v>0</v>
      </c>
      <c r="S739" t="s">
        <v>2149</v>
      </c>
      <c r="T739" t="s">
        <v>994</v>
      </c>
      <c r="U739" t="s">
        <v>1034</v>
      </c>
      <c r="V739" t="s">
        <v>997</v>
      </c>
      <c r="W739" t="s">
        <v>1035</v>
      </c>
      <c r="X739" t="s">
        <v>994</v>
      </c>
    </row>
    <row r="740" spans="1:24" x14ac:dyDescent="0.25">
      <c r="A740" t="s">
        <v>42</v>
      </c>
      <c r="B740" t="s">
        <v>2208</v>
      </c>
      <c r="C740" t="s">
        <v>356</v>
      </c>
      <c r="E740" t="s">
        <v>2048</v>
      </c>
      <c r="F740">
        <v>0</v>
      </c>
      <c r="G740" t="s">
        <v>1052</v>
      </c>
      <c r="H740" t="s">
        <v>2205</v>
      </c>
      <c r="I740" t="s">
        <v>2206</v>
      </c>
      <c r="J740" t="s">
        <v>1401</v>
      </c>
      <c r="K740" t="s">
        <v>994</v>
      </c>
      <c r="L740" t="s">
        <v>994</v>
      </c>
      <c r="M740" t="s">
        <v>994</v>
      </c>
      <c r="N740" t="s">
        <v>994</v>
      </c>
      <c r="O740" t="s">
        <v>994</v>
      </c>
      <c r="P740" t="s">
        <v>994</v>
      </c>
      <c r="Q740" t="b">
        <v>1</v>
      </c>
      <c r="R740" t="b">
        <v>0</v>
      </c>
      <c r="S740" t="s">
        <v>2149</v>
      </c>
      <c r="T740" t="s">
        <v>994</v>
      </c>
      <c r="U740" t="s">
        <v>1034</v>
      </c>
      <c r="V740" t="s">
        <v>997</v>
      </c>
      <c r="W740" t="s">
        <v>1035</v>
      </c>
      <c r="X740" t="s">
        <v>994</v>
      </c>
    </row>
    <row r="741" spans="1:24" x14ac:dyDescent="0.25">
      <c r="A741" t="s">
        <v>42</v>
      </c>
      <c r="B741" t="s">
        <v>2133</v>
      </c>
      <c r="C741" t="s">
        <v>275</v>
      </c>
      <c r="E741" t="s">
        <v>992</v>
      </c>
      <c r="F741">
        <v>17415</v>
      </c>
      <c r="G741" t="s">
        <v>2087</v>
      </c>
      <c r="H741" t="s">
        <v>2134</v>
      </c>
      <c r="J741" t="s">
        <v>995</v>
      </c>
      <c r="K741" t="s">
        <v>1027</v>
      </c>
      <c r="L741" t="s">
        <v>994</v>
      </c>
      <c r="Q741" t="b">
        <v>1</v>
      </c>
      <c r="R741" t="b">
        <v>0</v>
      </c>
      <c r="T741" t="s">
        <v>994</v>
      </c>
      <c r="U741" t="s">
        <v>1061</v>
      </c>
      <c r="V741" t="s">
        <v>997</v>
      </c>
      <c r="W741" t="s">
        <v>1035</v>
      </c>
      <c r="X741" t="s">
        <v>2135</v>
      </c>
    </row>
    <row r="742" spans="1:24" x14ac:dyDescent="0.25">
      <c r="A742" t="s">
        <v>42</v>
      </c>
      <c r="B742" t="s">
        <v>2136</v>
      </c>
      <c r="C742" t="s">
        <v>275</v>
      </c>
      <c r="E742" t="s">
        <v>1000</v>
      </c>
      <c r="F742">
        <v>21838</v>
      </c>
      <c r="G742" t="s">
        <v>2087</v>
      </c>
      <c r="H742" t="s">
        <v>2134</v>
      </c>
      <c r="J742" t="s">
        <v>995</v>
      </c>
      <c r="K742" t="s">
        <v>1039</v>
      </c>
      <c r="L742" t="s">
        <v>994</v>
      </c>
      <c r="Q742" t="b">
        <v>1</v>
      </c>
      <c r="R742" t="b">
        <v>0</v>
      </c>
      <c r="T742" t="s">
        <v>994</v>
      </c>
      <c r="U742" t="s">
        <v>1061</v>
      </c>
      <c r="V742" t="s">
        <v>997</v>
      </c>
      <c r="W742" t="s">
        <v>1035</v>
      </c>
      <c r="X742" t="s">
        <v>2135</v>
      </c>
    </row>
    <row r="743" spans="1:24" x14ac:dyDescent="0.25">
      <c r="A743" t="s">
        <v>42</v>
      </c>
      <c r="B743" t="s">
        <v>2137</v>
      </c>
      <c r="C743" t="s">
        <v>275</v>
      </c>
      <c r="E743" t="s">
        <v>1002</v>
      </c>
      <c r="F743">
        <v>21343</v>
      </c>
      <c r="G743" t="s">
        <v>2087</v>
      </c>
      <c r="H743" t="s">
        <v>2134</v>
      </c>
      <c r="J743" t="s">
        <v>995</v>
      </c>
      <c r="K743" t="s">
        <v>1046</v>
      </c>
      <c r="L743" t="s">
        <v>994</v>
      </c>
      <c r="Q743" t="b">
        <v>1</v>
      </c>
      <c r="R743" t="b">
        <v>0</v>
      </c>
      <c r="T743" t="s">
        <v>994</v>
      </c>
      <c r="U743" t="s">
        <v>1061</v>
      </c>
      <c r="V743" t="s">
        <v>997</v>
      </c>
      <c r="W743" t="s">
        <v>1035</v>
      </c>
      <c r="X743" t="s">
        <v>2135</v>
      </c>
    </row>
    <row r="744" spans="1:24" x14ac:dyDescent="0.25">
      <c r="A744" t="s">
        <v>42</v>
      </c>
      <c r="B744" t="s">
        <v>2138</v>
      </c>
      <c r="C744" t="s">
        <v>275</v>
      </c>
      <c r="E744" t="s">
        <v>1004</v>
      </c>
      <c r="F744">
        <v>23697</v>
      </c>
      <c r="G744" t="s">
        <v>2087</v>
      </c>
      <c r="H744" t="s">
        <v>2134</v>
      </c>
      <c r="J744" t="s">
        <v>995</v>
      </c>
      <c r="K744" t="s">
        <v>1055</v>
      </c>
      <c r="L744" t="s">
        <v>994</v>
      </c>
      <c r="Q744" t="b">
        <v>1</v>
      </c>
      <c r="R744" t="b">
        <v>0</v>
      </c>
      <c r="T744" t="s">
        <v>994</v>
      </c>
      <c r="U744" t="s">
        <v>1061</v>
      </c>
      <c r="V744" t="s">
        <v>997</v>
      </c>
      <c r="W744" t="s">
        <v>1035</v>
      </c>
      <c r="X744" t="s">
        <v>994</v>
      </c>
    </row>
    <row r="745" spans="1:24" x14ac:dyDescent="0.25">
      <c r="A745" t="s">
        <v>42</v>
      </c>
      <c r="B745" t="s">
        <v>2139</v>
      </c>
      <c r="C745" t="s">
        <v>275</v>
      </c>
      <c r="E745" t="s">
        <v>1006</v>
      </c>
      <c r="F745">
        <v>25472</v>
      </c>
      <c r="G745" t="s">
        <v>2087</v>
      </c>
      <c r="H745" t="s">
        <v>2134</v>
      </c>
      <c r="J745" t="s">
        <v>995</v>
      </c>
      <c r="K745" t="s">
        <v>1065</v>
      </c>
      <c r="L745" t="s">
        <v>994</v>
      </c>
      <c r="Q745" t="b">
        <v>1</v>
      </c>
      <c r="R745" t="b">
        <v>0</v>
      </c>
      <c r="T745" t="s">
        <v>994</v>
      </c>
      <c r="U745" t="s">
        <v>1061</v>
      </c>
      <c r="V745" t="s">
        <v>997</v>
      </c>
      <c r="W745" t="s">
        <v>1035</v>
      </c>
      <c r="X745" t="s">
        <v>2135</v>
      </c>
    </row>
    <row r="746" spans="1:24" x14ac:dyDescent="0.25">
      <c r="A746" t="s">
        <v>42</v>
      </c>
      <c r="B746" t="s">
        <v>2140</v>
      </c>
      <c r="C746" t="s">
        <v>275</v>
      </c>
      <c r="E746" t="s">
        <v>1008</v>
      </c>
      <c r="F746">
        <v>27425</v>
      </c>
      <c r="G746" t="s">
        <v>2087</v>
      </c>
      <c r="H746" t="s">
        <v>2134</v>
      </c>
      <c r="J746" t="s">
        <v>995</v>
      </c>
      <c r="K746" t="s">
        <v>1072</v>
      </c>
      <c r="L746" t="s">
        <v>994</v>
      </c>
      <c r="Q746" t="b">
        <v>1</v>
      </c>
      <c r="R746" t="b">
        <v>0</v>
      </c>
      <c r="T746" t="s">
        <v>994</v>
      </c>
      <c r="U746" t="s">
        <v>1061</v>
      </c>
      <c r="V746" t="s">
        <v>997</v>
      </c>
      <c r="W746" t="s">
        <v>1035</v>
      </c>
      <c r="X746" t="s">
        <v>2135</v>
      </c>
    </row>
    <row r="747" spans="1:24" x14ac:dyDescent="0.25">
      <c r="A747" t="s">
        <v>42</v>
      </c>
      <c r="B747" t="s">
        <v>2141</v>
      </c>
      <c r="C747" t="s">
        <v>275</v>
      </c>
      <c r="E747" t="s">
        <v>1010</v>
      </c>
      <c r="F747">
        <v>28521</v>
      </c>
      <c r="G747" t="s">
        <v>2087</v>
      </c>
      <c r="H747" t="s">
        <v>2134</v>
      </c>
      <c r="J747" t="s">
        <v>995</v>
      </c>
      <c r="K747" t="s">
        <v>1079</v>
      </c>
      <c r="L747" t="s">
        <v>994</v>
      </c>
      <c r="Q747" t="b">
        <v>1</v>
      </c>
      <c r="R747" t="b">
        <v>0</v>
      </c>
      <c r="T747" t="s">
        <v>994</v>
      </c>
      <c r="U747" t="s">
        <v>1061</v>
      </c>
      <c r="V747" t="s">
        <v>997</v>
      </c>
      <c r="W747" t="s">
        <v>1035</v>
      </c>
      <c r="X747" t="s">
        <v>2135</v>
      </c>
    </row>
    <row r="748" spans="1:24" x14ac:dyDescent="0.25">
      <c r="A748" t="s">
        <v>42</v>
      </c>
      <c r="B748" t="s">
        <v>2142</v>
      </c>
      <c r="C748" t="s">
        <v>275</v>
      </c>
      <c r="E748" t="s">
        <v>1012</v>
      </c>
      <c r="F748">
        <v>30972</v>
      </c>
      <c r="G748" t="s">
        <v>2087</v>
      </c>
      <c r="H748" t="s">
        <v>2134</v>
      </c>
      <c r="J748" t="s">
        <v>995</v>
      </c>
      <c r="K748" t="s">
        <v>1086</v>
      </c>
      <c r="L748" t="s">
        <v>994</v>
      </c>
      <c r="Q748" t="b">
        <v>1</v>
      </c>
      <c r="R748" t="b">
        <v>0</v>
      </c>
      <c r="T748" t="s">
        <v>994</v>
      </c>
      <c r="U748" t="s">
        <v>1061</v>
      </c>
      <c r="V748" t="s">
        <v>997</v>
      </c>
      <c r="W748" t="s">
        <v>1035</v>
      </c>
      <c r="X748" t="s">
        <v>994</v>
      </c>
    </row>
    <row r="749" spans="1:24" x14ac:dyDescent="0.25">
      <c r="A749" t="s">
        <v>42</v>
      </c>
      <c r="B749" t="s">
        <v>2143</v>
      </c>
      <c r="C749" t="s">
        <v>275</v>
      </c>
      <c r="E749" t="s">
        <v>1014</v>
      </c>
      <c r="F749">
        <v>30606</v>
      </c>
      <c r="G749" t="s">
        <v>2087</v>
      </c>
      <c r="H749" t="s">
        <v>2134</v>
      </c>
      <c r="J749" t="s">
        <v>995</v>
      </c>
      <c r="K749" t="s">
        <v>1092</v>
      </c>
      <c r="L749" t="s">
        <v>994</v>
      </c>
      <c r="Q749" t="b">
        <v>1</v>
      </c>
      <c r="R749" t="b">
        <v>0</v>
      </c>
      <c r="T749" t="s">
        <v>994</v>
      </c>
      <c r="U749" t="s">
        <v>1061</v>
      </c>
      <c r="V749" t="s">
        <v>997</v>
      </c>
      <c r="W749" t="s">
        <v>1035</v>
      </c>
      <c r="X749" t="s">
        <v>2135</v>
      </c>
    </row>
    <row r="750" spans="1:24" x14ac:dyDescent="0.25">
      <c r="A750" t="s">
        <v>42</v>
      </c>
      <c r="B750" t="s">
        <v>2144</v>
      </c>
      <c r="C750" t="s">
        <v>275</v>
      </c>
      <c r="E750" t="s">
        <v>1016</v>
      </c>
      <c r="F750">
        <v>31271</v>
      </c>
      <c r="G750" t="s">
        <v>2087</v>
      </c>
      <c r="H750" t="s">
        <v>2134</v>
      </c>
      <c r="J750" t="s">
        <v>995</v>
      </c>
      <c r="K750" t="s">
        <v>1100</v>
      </c>
      <c r="L750" t="s">
        <v>994</v>
      </c>
      <c r="Q750" t="b">
        <v>1</v>
      </c>
      <c r="R750" t="b">
        <v>0</v>
      </c>
      <c r="T750" t="s">
        <v>994</v>
      </c>
      <c r="U750" t="s">
        <v>1061</v>
      </c>
      <c r="V750" t="s">
        <v>997</v>
      </c>
      <c r="W750" t="s">
        <v>1035</v>
      </c>
      <c r="X750" t="s">
        <v>2135</v>
      </c>
    </row>
    <row r="751" spans="1:24" x14ac:dyDescent="0.25">
      <c r="A751" t="s">
        <v>42</v>
      </c>
      <c r="B751" t="s">
        <v>2145</v>
      </c>
      <c r="C751" t="s">
        <v>275</v>
      </c>
      <c r="E751" t="s">
        <v>1018</v>
      </c>
      <c r="F751">
        <v>31228</v>
      </c>
      <c r="G751" t="s">
        <v>2087</v>
      </c>
      <c r="H751" t="s">
        <v>2134</v>
      </c>
      <c r="J751" t="s">
        <v>995</v>
      </c>
      <c r="K751" t="s">
        <v>1107</v>
      </c>
      <c r="L751" t="s">
        <v>994</v>
      </c>
      <c r="Q751" t="b">
        <v>1</v>
      </c>
      <c r="R751" t="b">
        <v>0</v>
      </c>
      <c r="T751" t="s">
        <v>994</v>
      </c>
      <c r="U751" t="s">
        <v>1061</v>
      </c>
      <c r="V751" t="s">
        <v>997</v>
      </c>
      <c r="W751" t="s">
        <v>1035</v>
      </c>
      <c r="X751" t="s">
        <v>2135</v>
      </c>
    </row>
    <row r="752" spans="1:24" x14ac:dyDescent="0.25">
      <c r="A752" t="s">
        <v>42</v>
      </c>
      <c r="B752" t="s">
        <v>2146</v>
      </c>
      <c r="C752" t="s">
        <v>275</v>
      </c>
      <c r="E752" t="s">
        <v>1020</v>
      </c>
      <c r="F752">
        <v>35934</v>
      </c>
      <c r="G752" t="s">
        <v>2087</v>
      </c>
      <c r="H752" t="s">
        <v>2134</v>
      </c>
      <c r="J752" t="s">
        <v>995</v>
      </c>
      <c r="K752" t="s">
        <v>1114</v>
      </c>
      <c r="L752" t="s">
        <v>994</v>
      </c>
      <c r="Q752" t="b">
        <v>1</v>
      </c>
      <c r="R752" t="b">
        <v>0</v>
      </c>
      <c r="T752" t="s">
        <v>994</v>
      </c>
      <c r="U752" t="s">
        <v>1061</v>
      </c>
      <c r="V752" t="s">
        <v>997</v>
      </c>
      <c r="W752" t="s">
        <v>1035</v>
      </c>
      <c r="X752" t="s">
        <v>994</v>
      </c>
    </row>
    <row r="753" spans="1:24" x14ac:dyDescent="0.25">
      <c r="A753" t="s">
        <v>42</v>
      </c>
      <c r="B753" t="s">
        <v>2147</v>
      </c>
      <c r="C753" t="s">
        <v>275</v>
      </c>
      <c r="E753" t="s">
        <v>1022</v>
      </c>
      <c r="F753">
        <v>39696</v>
      </c>
      <c r="G753" t="s">
        <v>2087</v>
      </c>
      <c r="H753" t="s">
        <v>2134</v>
      </c>
      <c r="J753" t="s">
        <v>995</v>
      </c>
      <c r="K753" t="s">
        <v>1120</v>
      </c>
      <c r="L753" t="s">
        <v>994</v>
      </c>
      <c r="Q753" t="b">
        <v>1</v>
      </c>
      <c r="R753" t="b">
        <v>0</v>
      </c>
      <c r="T753" t="s">
        <v>994</v>
      </c>
      <c r="U753" t="s">
        <v>1061</v>
      </c>
      <c r="V753" t="s">
        <v>997</v>
      </c>
      <c r="W753" t="s">
        <v>1035</v>
      </c>
      <c r="X753" t="s">
        <v>2135</v>
      </c>
    </row>
    <row r="754" spans="1:24" x14ac:dyDescent="0.25">
      <c r="A754" t="s">
        <v>42</v>
      </c>
      <c r="B754" t="s">
        <v>2133</v>
      </c>
      <c r="C754" t="s">
        <v>275</v>
      </c>
      <c r="E754" t="s">
        <v>992</v>
      </c>
      <c r="F754">
        <v>17415</v>
      </c>
      <c r="G754" t="s">
        <v>2087</v>
      </c>
      <c r="H754" t="s">
        <v>2134</v>
      </c>
      <c r="J754" t="s">
        <v>995</v>
      </c>
      <c r="K754" t="s">
        <v>1027</v>
      </c>
      <c r="L754" t="s">
        <v>994</v>
      </c>
      <c r="Q754" t="b">
        <v>1</v>
      </c>
      <c r="R754" t="b">
        <v>0</v>
      </c>
      <c r="T754" t="s">
        <v>994</v>
      </c>
      <c r="U754" t="s">
        <v>1061</v>
      </c>
      <c r="V754" t="s">
        <v>997</v>
      </c>
      <c r="W754" t="s">
        <v>1035</v>
      </c>
      <c r="X754" t="s">
        <v>2135</v>
      </c>
    </row>
    <row r="755" spans="1:24" x14ac:dyDescent="0.25">
      <c r="A755" t="s">
        <v>42</v>
      </c>
      <c r="B755" t="s">
        <v>2136</v>
      </c>
      <c r="C755" t="s">
        <v>275</v>
      </c>
      <c r="E755" t="s">
        <v>1000</v>
      </c>
      <c r="F755">
        <v>21838</v>
      </c>
      <c r="G755" t="s">
        <v>2087</v>
      </c>
      <c r="H755" t="s">
        <v>2134</v>
      </c>
      <c r="J755" t="s">
        <v>995</v>
      </c>
      <c r="K755" t="s">
        <v>1039</v>
      </c>
      <c r="L755" t="s">
        <v>994</v>
      </c>
      <c r="Q755" t="b">
        <v>1</v>
      </c>
      <c r="R755" t="b">
        <v>0</v>
      </c>
      <c r="T755" t="s">
        <v>994</v>
      </c>
      <c r="U755" t="s">
        <v>1061</v>
      </c>
      <c r="V755" t="s">
        <v>997</v>
      </c>
      <c r="W755" t="s">
        <v>1035</v>
      </c>
      <c r="X755" t="s">
        <v>2135</v>
      </c>
    </row>
    <row r="756" spans="1:24" x14ac:dyDescent="0.25">
      <c r="A756" t="s">
        <v>42</v>
      </c>
      <c r="B756" t="s">
        <v>2137</v>
      </c>
      <c r="C756" t="s">
        <v>275</v>
      </c>
      <c r="E756" t="s">
        <v>1002</v>
      </c>
      <c r="F756">
        <v>21343</v>
      </c>
      <c r="G756" t="s">
        <v>2087</v>
      </c>
      <c r="H756" t="s">
        <v>2134</v>
      </c>
      <c r="J756" t="s">
        <v>995</v>
      </c>
      <c r="K756" t="s">
        <v>1046</v>
      </c>
      <c r="L756" t="s">
        <v>994</v>
      </c>
      <c r="Q756" t="b">
        <v>1</v>
      </c>
      <c r="R756" t="b">
        <v>0</v>
      </c>
      <c r="T756" t="s">
        <v>994</v>
      </c>
      <c r="U756" t="s">
        <v>1061</v>
      </c>
      <c r="V756" t="s">
        <v>997</v>
      </c>
      <c r="W756" t="s">
        <v>1035</v>
      </c>
      <c r="X756" t="s">
        <v>2135</v>
      </c>
    </row>
    <row r="757" spans="1:24" x14ac:dyDescent="0.25">
      <c r="A757" t="s">
        <v>42</v>
      </c>
      <c r="B757" t="s">
        <v>2138</v>
      </c>
      <c r="C757" t="s">
        <v>275</v>
      </c>
      <c r="E757" t="s">
        <v>1004</v>
      </c>
      <c r="F757">
        <v>23697</v>
      </c>
      <c r="G757" t="s">
        <v>2087</v>
      </c>
      <c r="H757" t="s">
        <v>2134</v>
      </c>
      <c r="J757" t="s">
        <v>995</v>
      </c>
      <c r="K757" t="s">
        <v>1055</v>
      </c>
      <c r="L757" t="s">
        <v>994</v>
      </c>
      <c r="Q757" t="b">
        <v>1</v>
      </c>
      <c r="R757" t="b">
        <v>0</v>
      </c>
      <c r="T757" t="s">
        <v>994</v>
      </c>
      <c r="U757" t="s">
        <v>1061</v>
      </c>
      <c r="V757" t="s">
        <v>997</v>
      </c>
      <c r="W757" t="s">
        <v>1035</v>
      </c>
      <c r="X757" t="s">
        <v>994</v>
      </c>
    </row>
    <row r="758" spans="1:24" x14ac:dyDescent="0.25">
      <c r="A758" t="s">
        <v>42</v>
      </c>
      <c r="B758" t="s">
        <v>2139</v>
      </c>
      <c r="C758" t="s">
        <v>275</v>
      </c>
      <c r="E758" t="s">
        <v>1006</v>
      </c>
      <c r="F758">
        <v>25472</v>
      </c>
      <c r="G758" t="s">
        <v>2087</v>
      </c>
      <c r="H758" t="s">
        <v>2134</v>
      </c>
      <c r="J758" t="s">
        <v>995</v>
      </c>
      <c r="K758" t="s">
        <v>1065</v>
      </c>
      <c r="L758" t="s">
        <v>994</v>
      </c>
      <c r="Q758" t="b">
        <v>1</v>
      </c>
      <c r="R758" t="b">
        <v>0</v>
      </c>
      <c r="T758" t="s">
        <v>994</v>
      </c>
      <c r="U758" t="s">
        <v>1061</v>
      </c>
      <c r="V758" t="s">
        <v>997</v>
      </c>
      <c r="W758" t="s">
        <v>1035</v>
      </c>
      <c r="X758" t="s">
        <v>2135</v>
      </c>
    </row>
    <row r="759" spans="1:24" x14ac:dyDescent="0.25">
      <c r="A759" t="s">
        <v>42</v>
      </c>
      <c r="B759" t="s">
        <v>2140</v>
      </c>
      <c r="C759" t="s">
        <v>275</v>
      </c>
      <c r="E759" t="s">
        <v>1008</v>
      </c>
      <c r="F759">
        <v>27425</v>
      </c>
      <c r="G759" t="s">
        <v>2087</v>
      </c>
      <c r="H759" t="s">
        <v>2134</v>
      </c>
      <c r="J759" t="s">
        <v>995</v>
      </c>
      <c r="K759" t="s">
        <v>1072</v>
      </c>
      <c r="L759" t="s">
        <v>994</v>
      </c>
      <c r="Q759" t="b">
        <v>1</v>
      </c>
      <c r="R759" t="b">
        <v>0</v>
      </c>
      <c r="T759" t="s">
        <v>994</v>
      </c>
      <c r="U759" t="s">
        <v>1061</v>
      </c>
      <c r="V759" t="s">
        <v>997</v>
      </c>
      <c r="W759" t="s">
        <v>1035</v>
      </c>
      <c r="X759" t="s">
        <v>2135</v>
      </c>
    </row>
    <row r="760" spans="1:24" x14ac:dyDescent="0.25">
      <c r="A760" t="s">
        <v>42</v>
      </c>
      <c r="B760" t="s">
        <v>2141</v>
      </c>
      <c r="C760" t="s">
        <v>275</v>
      </c>
      <c r="E760" t="s">
        <v>1010</v>
      </c>
      <c r="F760">
        <v>28521</v>
      </c>
      <c r="G760" t="s">
        <v>2087</v>
      </c>
      <c r="H760" t="s">
        <v>2134</v>
      </c>
      <c r="J760" t="s">
        <v>995</v>
      </c>
      <c r="K760" t="s">
        <v>1079</v>
      </c>
      <c r="L760" t="s">
        <v>994</v>
      </c>
      <c r="Q760" t="b">
        <v>1</v>
      </c>
      <c r="R760" t="b">
        <v>0</v>
      </c>
      <c r="T760" t="s">
        <v>994</v>
      </c>
      <c r="U760" t="s">
        <v>1061</v>
      </c>
      <c r="V760" t="s">
        <v>997</v>
      </c>
      <c r="W760" t="s">
        <v>1035</v>
      </c>
      <c r="X760" t="s">
        <v>2135</v>
      </c>
    </row>
    <row r="761" spans="1:24" x14ac:dyDescent="0.25">
      <c r="A761" t="s">
        <v>42</v>
      </c>
      <c r="B761" t="s">
        <v>2142</v>
      </c>
      <c r="C761" t="s">
        <v>275</v>
      </c>
      <c r="E761" t="s">
        <v>1012</v>
      </c>
      <c r="F761">
        <v>30972</v>
      </c>
      <c r="G761" t="s">
        <v>2087</v>
      </c>
      <c r="H761" t="s">
        <v>2134</v>
      </c>
      <c r="J761" t="s">
        <v>995</v>
      </c>
      <c r="K761" t="s">
        <v>1086</v>
      </c>
      <c r="L761" t="s">
        <v>994</v>
      </c>
      <c r="Q761" t="b">
        <v>1</v>
      </c>
      <c r="R761" t="b">
        <v>0</v>
      </c>
      <c r="T761" t="s">
        <v>994</v>
      </c>
      <c r="U761" t="s">
        <v>1061</v>
      </c>
      <c r="V761" t="s">
        <v>997</v>
      </c>
      <c r="W761" t="s">
        <v>1035</v>
      </c>
      <c r="X761" t="s">
        <v>994</v>
      </c>
    </row>
    <row r="762" spans="1:24" x14ac:dyDescent="0.25">
      <c r="A762" t="s">
        <v>42</v>
      </c>
      <c r="B762" t="s">
        <v>2143</v>
      </c>
      <c r="C762" t="s">
        <v>275</v>
      </c>
      <c r="E762" t="s">
        <v>1014</v>
      </c>
      <c r="F762">
        <v>30606</v>
      </c>
      <c r="G762" t="s">
        <v>2087</v>
      </c>
      <c r="H762" t="s">
        <v>2134</v>
      </c>
      <c r="J762" t="s">
        <v>995</v>
      </c>
      <c r="K762" t="s">
        <v>1092</v>
      </c>
      <c r="L762" t="s">
        <v>994</v>
      </c>
      <c r="Q762" t="b">
        <v>1</v>
      </c>
      <c r="R762" t="b">
        <v>0</v>
      </c>
      <c r="T762" t="s">
        <v>994</v>
      </c>
      <c r="U762" t="s">
        <v>1061</v>
      </c>
      <c r="V762" t="s">
        <v>997</v>
      </c>
      <c r="W762" t="s">
        <v>1035</v>
      </c>
      <c r="X762" t="s">
        <v>2135</v>
      </c>
    </row>
    <row r="763" spans="1:24" x14ac:dyDescent="0.25">
      <c r="A763" t="s">
        <v>42</v>
      </c>
      <c r="B763" t="s">
        <v>2144</v>
      </c>
      <c r="C763" t="s">
        <v>275</v>
      </c>
      <c r="E763" t="s">
        <v>1016</v>
      </c>
      <c r="F763">
        <v>31271</v>
      </c>
      <c r="G763" t="s">
        <v>2087</v>
      </c>
      <c r="H763" t="s">
        <v>2134</v>
      </c>
      <c r="J763" t="s">
        <v>995</v>
      </c>
      <c r="K763" t="s">
        <v>1100</v>
      </c>
      <c r="L763" t="s">
        <v>994</v>
      </c>
      <c r="Q763" t="b">
        <v>1</v>
      </c>
      <c r="R763" t="b">
        <v>0</v>
      </c>
      <c r="T763" t="s">
        <v>994</v>
      </c>
      <c r="U763" t="s">
        <v>1061</v>
      </c>
      <c r="V763" t="s">
        <v>997</v>
      </c>
      <c r="W763" t="s">
        <v>1035</v>
      </c>
      <c r="X763" t="s">
        <v>2135</v>
      </c>
    </row>
    <row r="764" spans="1:24" x14ac:dyDescent="0.25">
      <c r="A764" t="s">
        <v>42</v>
      </c>
      <c r="B764" t="s">
        <v>2145</v>
      </c>
      <c r="C764" t="s">
        <v>275</v>
      </c>
      <c r="E764" t="s">
        <v>1018</v>
      </c>
      <c r="F764">
        <v>31228</v>
      </c>
      <c r="G764" t="s">
        <v>2087</v>
      </c>
      <c r="H764" t="s">
        <v>2134</v>
      </c>
      <c r="J764" t="s">
        <v>995</v>
      </c>
      <c r="K764" t="s">
        <v>1107</v>
      </c>
      <c r="L764" t="s">
        <v>994</v>
      </c>
      <c r="Q764" t="b">
        <v>1</v>
      </c>
      <c r="R764" t="b">
        <v>0</v>
      </c>
      <c r="T764" t="s">
        <v>994</v>
      </c>
      <c r="U764" t="s">
        <v>1061</v>
      </c>
      <c r="V764" t="s">
        <v>997</v>
      </c>
      <c r="W764" t="s">
        <v>1035</v>
      </c>
      <c r="X764" t="s">
        <v>2135</v>
      </c>
    </row>
    <row r="765" spans="1:24" x14ac:dyDescent="0.25">
      <c r="A765" t="s">
        <v>42</v>
      </c>
      <c r="B765" t="s">
        <v>2146</v>
      </c>
      <c r="C765" t="s">
        <v>275</v>
      </c>
      <c r="E765" t="s">
        <v>1020</v>
      </c>
      <c r="F765">
        <v>35934</v>
      </c>
      <c r="G765" t="s">
        <v>2087</v>
      </c>
      <c r="H765" t="s">
        <v>2134</v>
      </c>
      <c r="J765" t="s">
        <v>995</v>
      </c>
      <c r="K765" t="s">
        <v>1114</v>
      </c>
      <c r="L765" t="s">
        <v>994</v>
      </c>
      <c r="Q765" t="b">
        <v>1</v>
      </c>
      <c r="R765" t="b">
        <v>0</v>
      </c>
      <c r="T765" t="s">
        <v>994</v>
      </c>
      <c r="U765" t="s">
        <v>1061</v>
      </c>
      <c r="V765" t="s">
        <v>997</v>
      </c>
      <c r="W765" t="s">
        <v>1035</v>
      </c>
      <c r="X765" t="s">
        <v>994</v>
      </c>
    </row>
    <row r="766" spans="1:24" x14ac:dyDescent="0.25">
      <c r="A766" t="s">
        <v>42</v>
      </c>
      <c r="B766" t="s">
        <v>2147</v>
      </c>
      <c r="C766" t="s">
        <v>275</v>
      </c>
      <c r="E766" t="s">
        <v>1022</v>
      </c>
      <c r="F766">
        <v>39696</v>
      </c>
      <c r="G766" t="s">
        <v>2087</v>
      </c>
      <c r="H766" t="s">
        <v>2134</v>
      </c>
      <c r="J766" t="s">
        <v>995</v>
      </c>
      <c r="K766" t="s">
        <v>1120</v>
      </c>
      <c r="L766" t="s">
        <v>994</v>
      </c>
      <c r="Q766" t="b">
        <v>1</v>
      </c>
      <c r="R766" t="b">
        <v>0</v>
      </c>
      <c r="T766" t="s">
        <v>994</v>
      </c>
      <c r="U766" t="s">
        <v>1061</v>
      </c>
      <c r="V766" t="s">
        <v>997</v>
      </c>
      <c r="W766" t="s">
        <v>1035</v>
      </c>
      <c r="X766" t="s">
        <v>2135</v>
      </c>
    </row>
    <row r="767" spans="1:24" x14ac:dyDescent="0.25">
      <c r="A767" t="s">
        <v>42</v>
      </c>
      <c r="B767" t="s">
        <v>2133</v>
      </c>
      <c r="C767" t="s">
        <v>275</v>
      </c>
      <c r="E767" t="s">
        <v>992</v>
      </c>
      <c r="F767">
        <v>17415</v>
      </c>
      <c r="G767" t="s">
        <v>2087</v>
      </c>
      <c r="H767" t="s">
        <v>2134</v>
      </c>
      <c r="J767" t="s">
        <v>995</v>
      </c>
      <c r="K767" t="s">
        <v>1027</v>
      </c>
      <c r="L767" t="s">
        <v>994</v>
      </c>
      <c r="Q767" t="b">
        <v>1</v>
      </c>
      <c r="R767" t="b">
        <v>0</v>
      </c>
      <c r="T767" t="s">
        <v>994</v>
      </c>
      <c r="U767" t="s">
        <v>1061</v>
      </c>
      <c r="V767" t="s">
        <v>997</v>
      </c>
      <c r="W767" t="s">
        <v>1035</v>
      </c>
      <c r="X767" t="s">
        <v>2135</v>
      </c>
    </row>
    <row r="768" spans="1:24" x14ac:dyDescent="0.25">
      <c r="A768" t="s">
        <v>42</v>
      </c>
      <c r="B768" t="s">
        <v>2136</v>
      </c>
      <c r="C768" t="s">
        <v>275</v>
      </c>
      <c r="E768" t="s">
        <v>1000</v>
      </c>
      <c r="F768">
        <v>21838</v>
      </c>
      <c r="G768" t="s">
        <v>2087</v>
      </c>
      <c r="H768" t="s">
        <v>2134</v>
      </c>
      <c r="J768" t="s">
        <v>995</v>
      </c>
      <c r="K768" t="s">
        <v>1039</v>
      </c>
      <c r="L768" t="s">
        <v>994</v>
      </c>
      <c r="Q768" t="b">
        <v>1</v>
      </c>
      <c r="R768" t="b">
        <v>0</v>
      </c>
      <c r="T768" t="s">
        <v>994</v>
      </c>
      <c r="U768" t="s">
        <v>1061</v>
      </c>
      <c r="V768" t="s">
        <v>997</v>
      </c>
      <c r="W768" t="s">
        <v>1035</v>
      </c>
      <c r="X768" t="s">
        <v>2135</v>
      </c>
    </row>
    <row r="769" spans="1:24" x14ac:dyDescent="0.25">
      <c r="A769" t="s">
        <v>42</v>
      </c>
      <c r="B769" t="s">
        <v>2137</v>
      </c>
      <c r="C769" t="s">
        <v>275</v>
      </c>
      <c r="E769" t="s">
        <v>1002</v>
      </c>
      <c r="F769">
        <v>21343</v>
      </c>
      <c r="G769" t="s">
        <v>2087</v>
      </c>
      <c r="H769" t="s">
        <v>2134</v>
      </c>
      <c r="J769" t="s">
        <v>995</v>
      </c>
      <c r="K769" t="s">
        <v>1046</v>
      </c>
      <c r="L769" t="s">
        <v>994</v>
      </c>
      <c r="Q769" t="b">
        <v>1</v>
      </c>
      <c r="R769" t="b">
        <v>0</v>
      </c>
      <c r="T769" t="s">
        <v>994</v>
      </c>
      <c r="U769" t="s">
        <v>1061</v>
      </c>
      <c r="V769" t="s">
        <v>997</v>
      </c>
      <c r="W769" t="s">
        <v>1035</v>
      </c>
      <c r="X769" t="s">
        <v>2135</v>
      </c>
    </row>
    <row r="770" spans="1:24" x14ac:dyDescent="0.25">
      <c r="A770" t="s">
        <v>42</v>
      </c>
      <c r="B770" t="s">
        <v>2138</v>
      </c>
      <c r="C770" t="s">
        <v>275</v>
      </c>
      <c r="E770" t="s">
        <v>1004</v>
      </c>
      <c r="F770">
        <v>23697</v>
      </c>
      <c r="G770" t="s">
        <v>2087</v>
      </c>
      <c r="H770" t="s">
        <v>2134</v>
      </c>
      <c r="J770" t="s">
        <v>995</v>
      </c>
      <c r="K770" t="s">
        <v>1055</v>
      </c>
      <c r="L770" t="s">
        <v>994</v>
      </c>
      <c r="Q770" t="b">
        <v>1</v>
      </c>
      <c r="R770" t="b">
        <v>0</v>
      </c>
      <c r="T770" t="s">
        <v>994</v>
      </c>
      <c r="U770" t="s">
        <v>1061</v>
      </c>
      <c r="V770" t="s">
        <v>997</v>
      </c>
      <c r="W770" t="s">
        <v>1035</v>
      </c>
      <c r="X770" t="s">
        <v>994</v>
      </c>
    </row>
    <row r="771" spans="1:24" x14ac:dyDescent="0.25">
      <c r="A771" t="s">
        <v>42</v>
      </c>
      <c r="B771" t="s">
        <v>2139</v>
      </c>
      <c r="C771" t="s">
        <v>275</v>
      </c>
      <c r="E771" t="s">
        <v>1006</v>
      </c>
      <c r="F771">
        <v>25472</v>
      </c>
      <c r="G771" t="s">
        <v>2087</v>
      </c>
      <c r="H771" t="s">
        <v>2134</v>
      </c>
      <c r="J771" t="s">
        <v>995</v>
      </c>
      <c r="K771" t="s">
        <v>1065</v>
      </c>
      <c r="L771" t="s">
        <v>994</v>
      </c>
      <c r="Q771" t="b">
        <v>1</v>
      </c>
      <c r="R771" t="b">
        <v>0</v>
      </c>
      <c r="T771" t="s">
        <v>994</v>
      </c>
      <c r="U771" t="s">
        <v>1061</v>
      </c>
      <c r="V771" t="s">
        <v>997</v>
      </c>
      <c r="W771" t="s">
        <v>1035</v>
      </c>
      <c r="X771" t="s">
        <v>2135</v>
      </c>
    </row>
    <row r="772" spans="1:24" x14ac:dyDescent="0.25">
      <c r="A772" t="s">
        <v>42</v>
      </c>
      <c r="B772" t="s">
        <v>2140</v>
      </c>
      <c r="C772" t="s">
        <v>275</v>
      </c>
      <c r="E772" t="s">
        <v>1008</v>
      </c>
      <c r="F772">
        <v>27425</v>
      </c>
      <c r="G772" t="s">
        <v>2087</v>
      </c>
      <c r="H772" t="s">
        <v>2134</v>
      </c>
      <c r="J772" t="s">
        <v>995</v>
      </c>
      <c r="K772" t="s">
        <v>1072</v>
      </c>
      <c r="L772" t="s">
        <v>994</v>
      </c>
      <c r="Q772" t="b">
        <v>1</v>
      </c>
      <c r="R772" t="b">
        <v>0</v>
      </c>
      <c r="T772" t="s">
        <v>994</v>
      </c>
      <c r="U772" t="s">
        <v>1061</v>
      </c>
      <c r="V772" t="s">
        <v>997</v>
      </c>
      <c r="W772" t="s">
        <v>1035</v>
      </c>
      <c r="X772" t="s">
        <v>2135</v>
      </c>
    </row>
    <row r="773" spans="1:24" x14ac:dyDescent="0.25">
      <c r="A773" t="s">
        <v>42</v>
      </c>
      <c r="B773" t="s">
        <v>2141</v>
      </c>
      <c r="C773" t="s">
        <v>275</v>
      </c>
      <c r="E773" t="s">
        <v>1010</v>
      </c>
      <c r="F773">
        <v>28521</v>
      </c>
      <c r="G773" t="s">
        <v>2087</v>
      </c>
      <c r="H773" t="s">
        <v>2134</v>
      </c>
      <c r="J773" t="s">
        <v>995</v>
      </c>
      <c r="K773" t="s">
        <v>1079</v>
      </c>
      <c r="L773" t="s">
        <v>994</v>
      </c>
      <c r="Q773" t="b">
        <v>1</v>
      </c>
      <c r="R773" t="b">
        <v>0</v>
      </c>
      <c r="T773" t="s">
        <v>994</v>
      </c>
      <c r="U773" t="s">
        <v>1061</v>
      </c>
      <c r="V773" t="s">
        <v>997</v>
      </c>
      <c r="W773" t="s">
        <v>1035</v>
      </c>
      <c r="X773" t="s">
        <v>2135</v>
      </c>
    </row>
    <row r="774" spans="1:24" x14ac:dyDescent="0.25">
      <c r="A774" t="s">
        <v>42</v>
      </c>
      <c r="B774" t="s">
        <v>2142</v>
      </c>
      <c r="C774" t="s">
        <v>275</v>
      </c>
      <c r="E774" t="s">
        <v>1012</v>
      </c>
      <c r="F774">
        <v>30972</v>
      </c>
      <c r="G774" t="s">
        <v>2087</v>
      </c>
      <c r="H774" t="s">
        <v>2134</v>
      </c>
      <c r="J774" t="s">
        <v>995</v>
      </c>
      <c r="K774" t="s">
        <v>1086</v>
      </c>
      <c r="L774" t="s">
        <v>994</v>
      </c>
      <c r="Q774" t="b">
        <v>1</v>
      </c>
      <c r="R774" t="b">
        <v>0</v>
      </c>
      <c r="T774" t="s">
        <v>994</v>
      </c>
      <c r="U774" t="s">
        <v>1061</v>
      </c>
      <c r="V774" t="s">
        <v>997</v>
      </c>
      <c r="W774" t="s">
        <v>1035</v>
      </c>
      <c r="X774" t="s">
        <v>994</v>
      </c>
    </row>
    <row r="775" spans="1:24" x14ac:dyDescent="0.25">
      <c r="A775" t="s">
        <v>42</v>
      </c>
      <c r="B775" t="s">
        <v>2143</v>
      </c>
      <c r="C775" t="s">
        <v>275</v>
      </c>
      <c r="E775" t="s">
        <v>1014</v>
      </c>
      <c r="F775">
        <v>30606</v>
      </c>
      <c r="G775" t="s">
        <v>2087</v>
      </c>
      <c r="H775" t="s">
        <v>2134</v>
      </c>
      <c r="J775" t="s">
        <v>995</v>
      </c>
      <c r="K775" t="s">
        <v>1092</v>
      </c>
      <c r="L775" t="s">
        <v>994</v>
      </c>
      <c r="Q775" t="b">
        <v>1</v>
      </c>
      <c r="R775" t="b">
        <v>0</v>
      </c>
      <c r="T775" t="s">
        <v>994</v>
      </c>
      <c r="U775" t="s">
        <v>1061</v>
      </c>
      <c r="V775" t="s">
        <v>997</v>
      </c>
      <c r="W775" t="s">
        <v>1035</v>
      </c>
      <c r="X775" t="s">
        <v>2135</v>
      </c>
    </row>
    <row r="776" spans="1:24" x14ac:dyDescent="0.25">
      <c r="A776" t="s">
        <v>42</v>
      </c>
      <c r="B776" t="s">
        <v>2144</v>
      </c>
      <c r="C776" t="s">
        <v>275</v>
      </c>
      <c r="E776" t="s">
        <v>1016</v>
      </c>
      <c r="F776">
        <v>31271</v>
      </c>
      <c r="G776" t="s">
        <v>2087</v>
      </c>
      <c r="H776" t="s">
        <v>2134</v>
      </c>
      <c r="J776" t="s">
        <v>995</v>
      </c>
      <c r="K776" t="s">
        <v>1100</v>
      </c>
      <c r="L776" t="s">
        <v>994</v>
      </c>
      <c r="Q776" t="b">
        <v>1</v>
      </c>
      <c r="R776" t="b">
        <v>0</v>
      </c>
      <c r="T776" t="s">
        <v>994</v>
      </c>
      <c r="U776" t="s">
        <v>1061</v>
      </c>
      <c r="V776" t="s">
        <v>997</v>
      </c>
      <c r="W776" t="s">
        <v>1035</v>
      </c>
      <c r="X776" t="s">
        <v>2135</v>
      </c>
    </row>
    <row r="777" spans="1:24" x14ac:dyDescent="0.25">
      <c r="A777" t="s">
        <v>42</v>
      </c>
      <c r="B777" t="s">
        <v>2145</v>
      </c>
      <c r="C777" t="s">
        <v>275</v>
      </c>
      <c r="E777" t="s">
        <v>1018</v>
      </c>
      <c r="F777">
        <v>31228</v>
      </c>
      <c r="G777" t="s">
        <v>2087</v>
      </c>
      <c r="H777" t="s">
        <v>2134</v>
      </c>
      <c r="J777" t="s">
        <v>995</v>
      </c>
      <c r="K777" t="s">
        <v>1107</v>
      </c>
      <c r="L777" t="s">
        <v>994</v>
      </c>
      <c r="Q777" t="b">
        <v>1</v>
      </c>
      <c r="R777" t="b">
        <v>0</v>
      </c>
      <c r="T777" t="s">
        <v>994</v>
      </c>
      <c r="U777" t="s">
        <v>1061</v>
      </c>
      <c r="V777" t="s">
        <v>997</v>
      </c>
      <c r="W777" t="s">
        <v>1035</v>
      </c>
      <c r="X777" t="s">
        <v>2135</v>
      </c>
    </row>
    <row r="778" spans="1:24" x14ac:dyDescent="0.25">
      <c r="A778" t="s">
        <v>42</v>
      </c>
      <c r="B778" t="s">
        <v>2146</v>
      </c>
      <c r="C778" t="s">
        <v>275</v>
      </c>
      <c r="E778" t="s">
        <v>1020</v>
      </c>
      <c r="F778">
        <v>35934</v>
      </c>
      <c r="G778" t="s">
        <v>2087</v>
      </c>
      <c r="H778" t="s">
        <v>2134</v>
      </c>
      <c r="J778" t="s">
        <v>995</v>
      </c>
      <c r="K778" t="s">
        <v>1114</v>
      </c>
      <c r="L778" t="s">
        <v>994</v>
      </c>
      <c r="Q778" t="b">
        <v>1</v>
      </c>
      <c r="R778" t="b">
        <v>0</v>
      </c>
      <c r="T778" t="s">
        <v>994</v>
      </c>
      <c r="U778" t="s">
        <v>1061</v>
      </c>
      <c r="V778" t="s">
        <v>997</v>
      </c>
      <c r="W778" t="s">
        <v>1035</v>
      </c>
      <c r="X778" t="s">
        <v>994</v>
      </c>
    </row>
    <row r="779" spans="1:24" x14ac:dyDescent="0.25">
      <c r="A779" t="s">
        <v>42</v>
      </c>
      <c r="B779" t="s">
        <v>2147</v>
      </c>
      <c r="C779" t="s">
        <v>275</v>
      </c>
      <c r="E779" t="s">
        <v>1022</v>
      </c>
      <c r="F779">
        <v>39696</v>
      </c>
      <c r="G779" t="s">
        <v>2087</v>
      </c>
      <c r="H779" t="s">
        <v>2134</v>
      </c>
      <c r="J779" t="s">
        <v>995</v>
      </c>
      <c r="K779" t="s">
        <v>1120</v>
      </c>
      <c r="L779" t="s">
        <v>994</v>
      </c>
      <c r="Q779" t="b">
        <v>1</v>
      </c>
      <c r="R779" t="b">
        <v>0</v>
      </c>
      <c r="T779" t="s">
        <v>994</v>
      </c>
      <c r="U779" t="s">
        <v>1061</v>
      </c>
      <c r="V779" t="s">
        <v>997</v>
      </c>
      <c r="W779" t="s">
        <v>1035</v>
      </c>
      <c r="X779" t="s">
        <v>2135</v>
      </c>
    </row>
    <row r="780" spans="1:24" x14ac:dyDescent="0.25">
      <c r="A780" t="s">
        <v>42</v>
      </c>
      <c r="B780" t="s">
        <v>2133</v>
      </c>
      <c r="C780" t="s">
        <v>275</v>
      </c>
      <c r="E780" t="s">
        <v>992</v>
      </c>
      <c r="F780">
        <v>17415</v>
      </c>
      <c r="G780" t="s">
        <v>2087</v>
      </c>
      <c r="H780" t="s">
        <v>2134</v>
      </c>
      <c r="J780" t="s">
        <v>995</v>
      </c>
      <c r="K780" t="s">
        <v>1027</v>
      </c>
      <c r="L780" t="s">
        <v>994</v>
      </c>
      <c r="Q780" t="b">
        <v>1</v>
      </c>
      <c r="R780" t="b">
        <v>0</v>
      </c>
      <c r="T780" t="s">
        <v>994</v>
      </c>
      <c r="U780" t="s">
        <v>1061</v>
      </c>
      <c r="V780" t="s">
        <v>997</v>
      </c>
      <c r="W780" t="s">
        <v>1035</v>
      </c>
      <c r="X780" t="s">
        <v>2135</v>
      </c>
    </row>
    <row r="781" spans="1:24" x14ac:dyDescent="0.25">
      <c r="A781" t="s">
        <v>42</v>
      </c>
      <c r="B781" t="s">
        <v>2136</v>
      </c>
      <c r="C781" t="s">
        <v>275</v>
      </c>
      <c r="E781" t="s">
        <v>1000</v>
      </c>
      <c r="F781">
        <v>21838</v>
      </c>
      <c r="G781" t="s">
        <v>2087</v>
      </c>
      <c r="H781" t="s">
        <v>2134</v>
      </c>
      <c r="J781" t="s">
        <v>995</v>
      </c>
      <c r="K781" t="s">
        <v>1039</v>
      </c>
      <c r="L781" t="s">
        <v>994</v>
      </c>
      <c r="Q781" t="b">
        <v>1</v>
      </c>
      <c r="R781" t="b">
        <v>0</v>
      </c>
      <c r="T781" t="s">
        <v>994</v>
      </c>
      <c r="U781" t="s">
        <v>1061</v>
      </c>
      <c r="V781" t="s">
        <v>997</v>
      </c>
      <c r="W781" t="s">
        <v>1035</v>
      </c>
      <c r="X781" t="s">
        <v>2135</v>
      </c>
    </row>
    <row r="782" spans="1:24" x14ac:dyDescent="0.25">
      <c r="A782" t="s">
        <v>42</v>
      </c>
      <c r="B782" t="s">
        <v>2137</v>
      </c>
      <c r="C782" t="s">
        <v>275</v>
      </c>
      <c r="E782" t="s">
        <v>1002</v>
      </c>
      <c r="F782">
        <v>21343</v>
      </c>
      <c r="G782" t="s">
        <v>2087</v>
      </c>
      <c r="H782" t="s">
        <v>2134</v>
      </c>
      <c r="J782" t="s">
        <v>995</v>
      </c>
      <c r="K782" t="s">
        <v>1046</v>
      </c>
      <c r="L782" t="s">
        <v>994</v>
      </c>
      <c r="Q782" t="b">
        <v>1</v>
      </c>
      <c r="R782" t="b">
        <v>0</v>
      </c>
      <c r="T782" t="s">
        <v>994</v>
      </c>
      <c r="U782" t="s">
        <v>1061</v>
      </c>
      <c r="V782" t="s">
        <v>997</v>
      </c>
      <c r="W782" t="s">
        <v>1035</v>
      </c>
      <c r="X782" t="s">
        <v>2135</v>
      </c>
    </row>
    <row r="783" spans="1:24" x14ac:dyDescent="0.25">
      <c r="A783" t="s">
        <v>42</v>
      </c>
      <c r="B783" t="s">
        <v>2138</v>
      </c>
      <c r="C783" t="s">
        <v>275</v>
      </c>
      <c r="E783" t="s">
        <v>1004</v>
      </c>
      <c r="F783">
        <v>23697</v>
      </c>
      <c r="G783" t="s">
        <v>2087</v>
      </c>
      <c r="H783" t="s">
        <v>2134</v>
      </c>
      <c r="J783" t="s">
        <v>995</v>
      </c>
      <c r="K783" t="s">
        <v>1055</v>
      </c>
      <c r="L783" t="s">
        <v>994</v>
      </c>
      <c r="Q783" t="b">
        <v>1</v>
      </c>
      <c r="R783" t="b">
        <v>0</v>
      </c>
      <c r="T783" t="s">
        <v>994</v>
      </c>
      <c r="U783" t="s">
        <v>1061</v>
      </c>
      <c r="V783" t="s">
        <v>997</v>
      </c>
      <c r="W783" t="s">
        <v>1035</v>
      </c>
      <c r="X783" t="s">
        <v>994</v>
      </c>
    </row>
    <row r="784" spans="1:24" x14ac:dyDescent="0.25">
      <c r="A784" t="s">
        <v>42</v>
      </c>
      <c r="B784" t="s">
        <v>2139</v>
      </c>
      <c r="C784" t="s">
        <v>275</v>
      </c>
      <c r="E784" t="s">
        <v>1006</v>
      </c>
      <c r="F784">
        <v>25472</v>
      </c>
      <c r="G784" t="s">
        <v>2087</v>
      </c>
      <c r="H784" t="s">
        <v>2134</v>
      </c>
      <c r="J784" t="s">
        <v>995</v>
      </c>
      <c r="K784" t="s">
        <v>1065</v>
      </c>
      <c r="L784" t="s">
        <v>994</v>
      </c>
      <c r="Q784" t="b">
        <v>1</v>
      </c>
      <c r="R784" t="b">
        <v>0</v>
      </c>
      <c r="T784" t="s">
        <v>994</v>
      </c>
      <c r="U784" t="s">
        <v>1061</v>
      </c>
      <c r="V784" t="s">
        <v>997</v>
      </c>
      <c r="W784" t="s">
        <v>1035</v>
      </c>
      <c r="X784" t="s">
        <v>2135</v>
      </c>
    </row>
    <row r="785" spans="1:24" x14ac:dyDescent="0.25">
      <c r="A785" t="s">
        <v>42</v>
      </c>
      <c r="B785" t="s">
        <v>2140</v>
      </c>
      <c r="C785" t="s">
        <v>275</v>
      </c>
      <c r="E785" t="s">
        <v>1008</v>
      </c>
      <c r="F785">
        <v>27425</v>
      </c>
      <c r="G785" t="s">
        <v>2087</v>
      </c>
      <c r="H785" t="s">
        <v>2134</v>
      </c>
      <c r="J785" t="s">
        <v>995</v>
      </c>
      <c r="K785" t="s">
        <v>1072</v>
      </c>
      <c r="L785" t="s">
        <v>994</v>
      </c>
      <c r="Q785" t="b">
        <v>1</v>
      </c>
      <c r="R785" t="b">
        <v>0</v>
      </c>
      <c r="T785" t="s">
        <v>994</v>
      </c>
      <c r="U785" t="s">
        <v>1061</v>
      </c>
      <c r="V785" t="s">
        <v>997</v>
      </c>
      <c r="W785" t="s">
        <v>1035</v>
      </c>
      <c r="X785" t="s">
        <v>2135</v>
      </c>
    </row>
    <row r="786" spans="1:24" x14ac:dyDescent="0.25">
      <c r="A786" t="s">
        <v>42</v>
      </c>
      <c r="B786" t="s">
        <v>2141</v>
      </c>
      <c r="C786" t="s">
        <v>275</v>
      </c>
      <c r="E786" t="s">
        <v>1010</v>
      </c>
      <c r="F786">
        <v>28521</v>
      </c>
      <c r="G786" t="s">
        <v>2087</v>
      </c>
      <c r="H786" t="s">
        <v>2134</v>
      </c>
      <c r="J786" t="s">
        <v>995</v>
      </c>
      <c r="K786" t="s">
        <v>1079</v>
      </c>
      <c r="L786" t="s">
        <v>994</v>
      </c>
      <c r="Q786" t="b">
        <v>1</v>
      </c>
      <c r="R786" t="b">
        <v>0</v>
      </c>
      <c r="T786" t="s">
        <v>994</v>
      </c>
      <c r="U786" t="s">
        <v>1061</v>
      </c>
      <c r="V786" t="s">
        <v>997</v>
      </c>
      <c r="W786" t="s">
        <v>1035</v>
      </c>
      <c r="X786" t="s">
        <v>2135</v>
      </c>
    </row>
    <row r="787" spans="1:24" x14ac:dyDescent="0.25">
      <c r="A787" t="s">
        <v>42</v>
      </c>
      <c r="B787" t="s">
        <v>2142</v>
      </c>
      <c r="C787" t="s">
        <v>275</v>
      </c>
      <c r="E787" t="s">
        <v>1012</v>
      </c>
      <c r="F787">
        <v>30972</v>
      </c>
      <c r="G787" t="s">
        <v>2087</v>
      </c>
      <c r="H787" t="s">
        <v>2134</v>
      </c>
      <c r="J787" t="s">
        <v>995</v>
      </c>
      <c r="K787" t="s">
        <v>1086</v>
      </c>
      <c r="L787" t="s">
        <v>994</v>
      </c>
      <c r="Q787" t="b">
        <v>1</v>
      </c>
      <c r="R787" t="b">
        <v>0</v>
      </c>
      <c r="T787" t="s">
        <v>994</v>
      </c>
      <c r="U787" t="s">
        <v>1061</v>
      </c>
      <c r="V787" t="s">
        <v>997</v>
      </c>
      <c r="W787" t="s">
        <v>1035</v>
      </c>
      <c r="X787" t="s">
        <v>994</v>
      </c>
    </row>
    <row r="788" spans="1:24" x14ac:dyDescent="0.25">
      <c r="A788" t="s">
        <v>42</v>
      </c>
      <c r="B788" t="s">
        <v>2143</v>
      </c>
      <c r="C788" t="s">
        <v>275</v>
      </c>
      <c r="E788" t="s">
        <v>1014</v>
      </c>
      <c r="F788">
        <v>30606</v>
      </c>
      <c r="G788" t="s">
        <v>2087</v>
      </c>
      <c r="H788" t="s">
        <v>2134</v>
      </c>
      <c r="J788" t="s">
        <v>995</v>
      </c>
      <c r="K788" t="s">
        <v>1092</v>
      </c>
      <c r="L788" t="s">
        <v>994</v>
      </c>
      <c r="Q788" t="b">
        <v>1</v>
      </c>
      <c r="R788" t="b">
        <v>0</v>
      </c>
      <c r="T788" t="s">
        <v>994</v>
      </c>
      <c r="U788" t="s">
        <v>1061</v>
      </c>
      <c r="V788" t="s">
        <v>997</v>
      </c>
      <c r="W788" t="s">
        <v>1035</v>
      </c>
      <c r="X788" t="s">
        <v>2135</v>
      </c>
    </row>
    <row r="789" spans="1:24" x14ac:dyDescent="0.25">
      <c r="A789" t="s">
        <v>42</v>
      </c>
      <c r="B789" t="s">
        <v>2144</v>
      </c>
      <c r="C789" t="s">
        <v>275</v>
      </c>
      <c r="E789" t="s">
        <v>1016</v>
      </c>
      <c r="F789">
        <v>31271</v>
      </c>
      <c r="G789" t="s">
        <v>2087</v>
      </c>
      <c r="H789" t="s">
        <v>2134</v>
      </c>
      <c r="J789" t="s">
        <v>995</v>
      </c>
      <c r="K789" t="s">
        <v>1100</v>
      </c>
      <c r="L789" t="s">
        <v>994</v>
      </c>
      <c r="Q789" t="b">
        <v>1</v>
      </c>
      <c r="R789" t="b">
        <v>0</v>
      </c>
      <c r="T789" t="s">
        <v>994</v>
      </c>
      <c r="U789" t="s">
        <v>1061</v>
      </c>
      <c r="V789" t="s">
        <v>997</v>
      </c>
      <c r="W789" t="s">
        <v>1035</v>
      </c>
      <c r="X789" t="s">
        <v>2135</v>
      </c>
    </row>
    <row r="790" spans="1:24" x14ac:dyDescent="0.25">
      <c r="A790" t="s">
        <v>42</v>
      </c>
      <c r="B790" t="s">
        <v>2145</v>
      </c>
      <c r="C790" t="s">
        <v>275</v>
      </c>
      <c r="E790" t="s">
        <v>1018</v>
      </c>
      <c r="F790">
        <v>31228</v>
      </c>
      <c r="G790" t="s">
        <v>2087</v>
      </c>
      <c r="H790" t="s">
        <v>2134</v>
      </c>
      <c r="J790" t="s">
        <v>995</v>
      </c>
      <c r="K790" t="s">
        <v>1107</v>
      </c>
      <c r="L790" t="s">
        <v>994</v>
      </c>
      <c r="Q790" t="b">
        <v>1</v>
      </c>
      <c r="R790" t="b">
        <v>0</v>
      </c>
      <c r="T790" t="s">
        <v>994</v>
      </c>
      <c r="U790" t="s">
        <v>1061</v>
      </c>
      <c r="V790" t="s">
        <v>997</v>
      </c>
      <c r="W790" t="s">
        <v>1035</v>
      </c>
      <c r="X790" t="s">
        <v>2135</v>
      </c>
    </row>
    <row r="791" spans="1:24" x14ac:dyDescent="0.25">
      <c r="A791" t="s">
        <v>42</v>
      </c>
      <c r="B791" t="s">
        <v>2146</v>
      </c>
      <c r="C791" t="s">
        <v>275</v>
      </c>
      <c r="E791" t="s">
        <v>1020</v>
      </c>
      <c r="F791">
        <v>35934</v>
      </c>
      <c r="G791" t="s">
        <v>2087</v>
      </c>
      <c r="H791" t="s">
        <v>2134</v>
      </c>
      <c r="J791" t="s">
        <v>995</v>
      </c>
      <c r="K791" t="s">
        <v>1114</v>
      </c>
      <c r="L791" t="s">
        <v>994</v>
      </c>
      <c r="Q791" t="b">
        <v>1</v>
      </c>
      <c r="R791" t="b">
        <v>0</v>
      </c>
      <c r="T791" t="s">
        <v>994</v>
      </c>
      <c r="U791" t="s">
        <v>1061</v>
      </c>
      <c r="V791" t="s">
        <v>997</v>
      </c>
      <c r="W791" t="s">
        <v>1035</v>
      </c>
      <c r="X791" t="s">
        <v>994</v>
      </c>
    </row>
    <row r="792" spans="1:24" x14ac:dyDescent="0.25">
      <c r="A792" t="s">
        <v>42</v>
      </c>
      <c r="B792" t="s">
        <v>2147</v>
      </c>
      <c r="C792" t="s">
        <v>275</v>
      </c>
      <c r="E792" t="s">
        <v>1022</v>
      </c>
      <c r="F792">
        <v>39696</v>
      </c>
      <c r="G792" t="s">
        <v>2087</v>
      </c>
      <c r="H792" t="s">
        <v>2134</v>
      </c>
      <c r="J792" t="s">
        <v>995</v>
      </c>
      <c r="K792" t="s">
        <v>1120</v>
      </c>
      <c r="L792" t="s">
        <v>994</v>
      </c>
      <c r="Q792" t="b">
        <v>1</v>
      </c>
      <c r="R792" t="b">
        <v>0</v>
      </c>
      <c r="T792" t="s">
        <v>994</v>
      </c>
      <c r="U792" t="s">
        <v>1061</v>
      </c>
      <c r="V792" t="s">
        <v>997</v>
      </c>
      <c r="W792" t="s">
        <v>1035</v>
      </c>
      <c r="X792" t="s">
        <v>2135</v>
      </c>
    </row>
    <row r="793" spans="1:24" x14ac:dyDescent="0.25">
      <c r="A793" t="s">
        <v>42</v>
      </c>
      <c r="B793" t="s">
        <v>2133</v>
      </c>
      <c r="C793" t="s">
        <v>275</v>
      </c>
      <c r="E793" t="s">
        <v>992</v>
      </c>
      <c r="F793">
        <v>17415</v>
      </c>
      <c r="G793" t="s">
        <v>2087</v>
      </c>
      <c r="H793" t="s">
        <v>2134</v>
      </c>
      <c r="J793" t="s">
        <v>995</v>
      </c>
      <c r="K793" t="s">
        <v>1027</v>
      </c>
      <c r="L793" t="s">
        <v>994</v>
      </c>
      <c r="Q793" t="b">
        <v>1</v>
      </c>
      <c r="R793" t="b">
        <v>0</v>
      </c>
      <c r="T793" t="s">
        <v>994</v>
      </c>
      <c r="U793" t="s">
        <v>1061</v>
      </c>
      <c r="V793" t="s">
        <v>997</v>
      </c>
      <c r="W793" t="s">
        <v>1035</v>
      </c>
      <c r="X793" t="s">
        <v>2135</v>
      </c>
    </row>
    <row r="794" spans="1:24" x14ac:dyDescent="0.25">
      <c r="A794" t="s">
        <v>42</v>
      </c>
      <c r="B794" t="s">
        <v>2136</v>
      </c>
      <c r="C794" t="s">
        <v>275</v>
      </c>
      <c r="E794" t="s">
        <v>1000</v>
      </c>
      <c r="F794">
        <v>21838</v>
      </c>
      <c r="G794" t="s">
        <v>2087</v>
      </c>
      <c r="H794" t="s">
        <v>2134</v>
      </c>
      <c r="J794" t="s">
        <v>995</v>
      </c>
      <c r="K794" t="s">
        <v>1039</v>
      </c>
      <c r="L794" t="s">
        <v>994</v>
      </c>
      <c r="Q794" t="b">
        <v>1</v>
      </c>
      <c r="R794" t="b">
        <v>0</v>
      </c>
      <c r="T794" t="s">
        <v>994</v>
      </c>
      <c r="U794" t="s">
        <v>1061</v>
      </c>
      <c r="V794" t="s">
        <v>997</v>
      </c>
      <c r="W794" t="s">
        <v>1035</v>
      </c>
      <c r="X794" t="s">
        <v>2135</v>
      </c>
    </row>
    <row r="795" spans="1:24" x14ac:dyDescent="0.25">
      <c r="A795" t="s">
        <v>42</v>
      </c>
      <c r="B795" t="s">
        <v>2137</v>
      </c>
      <c r="C795" t="s">
        <v>275</v>
      </c>
      <c r="E795" t="s">
        <v>1002</v>
      </c>
      <c r="F795">
        <v>21343</v>
      </c>
      <c r="G795" t="s">
        <v>2087</v>
      </c>
      <c r="H795" t="s">
        <v>2134</v>
      </c>
      <c r="J795" t="s">
        <v>995</v>
      </c>
      <c r="K795" t="s">
        <v>1046</v>
      </c>
      <c r="L795" t="s">
        <v>994</v>
      </c>
      <c r="Q795" t="b">
        <v>1</v>
      </c>
      <c r="R795" t="b">
        <v>0</v>
      </c>
      <c r="T795" t="s">
        <v>994</v>
      </c>
      <c r="U795" t="s">
        <v>1061</v>
      </c>
      <c r="V795" t="s">
        <v>997</v>
      </c>
      <c r="W795" t="s">
        <v>1035</v>
      </c>
      <c r="X795" t="s">
        <v>2135</v>
      </c>
    </row>
    <row r="796" spans="1:24" x14ac:dyDescent="0.25">
      <c r="A796" t="s">
        <v>42</v>
      </c>
      <c r="B796" t="s">
        <v>2138</v>
      </c>
      <c r="C796" t="s">
        <v>275</v>
      </c>
      <c r="E796" t="s">
        <v>1004</v>
      </c>
      <c r="F796">
        <v>23697</v>
      </c>
      <c r="G796" t="s">
        <v>2087</v>
      </c>
      <c r="H796" t="s">
        <v>2134</v>
      </c>
      <c r="J796" t="s">
        <v>995</v>
      </c>
      <c r="K796" t="s">
        <v>1055</v>
      </c>
      <c r="L796" t="s">
        <v>994</v>
      </c>
      <c r="Q796" t="b">
        <v>1</v>
      </c>
      <c r="R796" t="b">
        <v>0</v>
      </c>
      <c r="T796" t="s">
        <v>994</v>
      </c>
      <c r="U796" t="s">
        <v>1061</v>
      </c>
      <c r="V796" t="s">
        <v>997</v>
      </c>
      <c r="W796" t="s">
        <v>1035</v>
      </c>
      <c r="X796" t="s">
        <v>994</v>
      </c>
    </row>
    <row r="797" spans="1:24" x14ac:dyDescent="0.25">
      <c r="A797" t="s">
        <v>42</v>
      </c>
      <c r="B797" t="s">
        <v>2139</v>
      </c>
      <c r="C797" t="s">
        <v>275</v>
      </c>
      <c r="E797" t="s">
        <v>1006</v>
      </c>
      <c r="F797">
        <v>25472</v>
      </c>
      <c r="G797" t="s">
        <v>2087</v>
      </c>
      <c r="H797" t="s">
        <v>2134</v>
      </c>
      <c r="J797" t="s">
        <v>995</v>
      </c>
      <c r="K797" t="s">
        <v>1065</v>
      </c>
      <c r="L797" t="s">
        <v>994</v>
      </c>
      <c r="Q797" t="b">
        <v>1</v>
      </c>
      <c r="R797" t="b">
        <v>0</v>
      </c>
      <c r="T797" t="s">
        <v>994</v>
      </c>
      <c r="U797" t="s">
        <v>1061</v>
      </c>
      <c r="V797" t="s">
        <v>997</v>
      </c>
      <c r="W797" t="s">
        <v>1035</v>
      </c>
      <c r="X797" t="s">
        <v>2135</v>
      </c>
    </row>
    <row r="798" spans="1:24" x14ac:dyDescent="0.25">
      <c r="A798" t="s">
        <v>42</v>
      </c>
      <c r="B798" t="s">
        <v>2140</v>
      </c>
      <c r="C798" t="s">
        <v>275</v>
      </c>
      <c r="E798" t="s">
        <v>1008</v>
      </c>
      <c r="F798">
        <v>27425</v>
      </c>
      <c r="G798" t="s">
        <v>2087</v>
      </c>
      <c r="H798" t="s">
        <v>2134</v>
      </c>
      <c r="J798" t="s">
        <v>995</v>
      </c>
      <c r="K798" t="s">
        <v>1072</v>
      </c>
      <c r="L798" t="s">
        <v>994</v>
      </c>
      <c r="Q798" t="b">
        <v>1</v>
      </c>
      <c r="R798" t="b">
        <v>0</v>
      </c>
      <c r="T798" t="s">
        <v>994</v>
      </c>
      <c r="U798" t="s">
        <v>1061</v>
      </c>
      <c r="V798" t="s">
        <v>997</v>
      </c>
      <c r="W798" t="s">
        <v>1035</v>
      </c>
      <c r="X798" t="s">
        <v>2135</v>
      </c>
    </row>
    <row r="799" spans="1:24" x14ac:dyDescent="0.25">
      <c r="A799" t="s">
        <v>42</v>
      </c>
      <c r="B799" t="s">
        <v>2141</v>
      </c>
      <c r="C799" t="s">
        <v>275</v>
      </c>
      <c r="E799" t="s">
        <v>1010</v>
      </c>
      <c r="F799">
        <v>28521</v>
      </c>
      <c r="G799" t="s">
        <v>2087</v>
      </c>
      <c r="H799" t="s">
        <v>2134</v>
      </c>
      <c r="J799" t="s">
        <v>995</v>
      </c>
      <c r="K799" t="s">
        <v>1079</v>
      </c>
      <c r="L799" t="s">
        <v>994</v>
      </c>
      <c r="Q799" t="b">
        <v>1</v>
      </c>
      <c r="R799" t="b">
        <v>0</v>
      </c>
      <c r="T799" t="s">
        <v>994</v>
      </c>
      <c r="U799" t="s">
        <v>1061</v>
      </c>
      <c r="V799" t="s">
        <v>997</v>
      </c>
      <c r="W799" t="s">
        <v>1035</v>
      </c>
      <c r="X799" t="s">
        <v>2135</v>
      </c>
    </row>
    <row r="800" spans="1:24" x14ac:dyDescent="0.25">
      <c r="A800" t="s">
        <v>42</v>
      </c>
      <c r="B800" t="s">
        <v>2142</v>
      </c>
      <c r="C800" t="s">
        <v>275</v>
      </c>
      <c r="E800" t="s">
        <v>1012</v>
      </c>
      <c r="F800">
        <v>30972</v>
      </c>
      <c r="G800" t="s">
        <v>2087</v>
      </c>
      <c r="H800" t="s">
        <v>2134</v>
      </c>
      <c r="J800" t="s">
        <v>995</v>
      </c>
      <c r="K800" t="s">
        <v>1086</v>
      </c>
      <c r="L800" t="s">
        <v>994</v>
      </c>
      <c r="Q800" t="b">
        <v>1</v>
      </c>
      <c r="R800" t="b">
        <v>0</v>
      </c>
      <c r="T800" t="s">
        <v>994</v>
      </c>
      <c r="U800" t="s">
        <v>1061</v>
      </c>
      <c r="V800" t="s">
        <v>997</v>
      </c>
      <c r="W800" t="s">
        <v>1035</v>
      </c>
      <c r="X800" t="s">
        <v>994</v>
      </c>
    </row>
    <row r="801" spans="1:24" x14ac:dyDescent="0.25">
      <c r="A801" t="s">
        <v>42</v>
      </c>
      <c r="B801" t="s">
        <v>2143</v>
      </c>
      <c r="C801" t="s">
        <v>275</v>
      </c>
      <c r="E801" t="s">
        <v>1014</v>
      </c>
      <c r="F801">
        <v>30606</v>
      </c>
      <c r="G801" t="s">
        <v>2087</v>
      </c>
      <c r="H801" t="s">
        <v>2134</v>
      </c>
      <c r="J801" t="s">
        <v>995</v>
      </c>
      <c r="K801" t="s">
        <v>1092</v>
      </c>
      <c r="L801" t="s">
        <v>994</v>
      </c>
      <c r="Q801" t="b">
        <v>1</v>
      </c>
      <c r="R801" t="b">
        <v>0</v>
      </c>
      <c r="T801" t="s">
        <v>994</v>
      </c>
      <c r="U801" t="s">
        <v>1061</v>
      </c>
      <c r="V801" t="s">
        <v>997</v>
      </c>
      <c r="W801" t="s">
        <v>1035</v>
      </c>
      <c r="X801" t="s">
        <v>2135</v>
      </c>
    </row>
    <row r="802" spans="1:24" x14ac:dyDescent="0.25">
      <c r="A802" t="s">
        <v>42</v>
      </c>
      <c r="B802" t="s">
        <v>2144</v>
      </c>
      <c r="C802" t="s">
        <v>275</v>
      </c>
      <c r="E802" t="s">
        <v>1016</v>
      </c>
      <c r="F802">
        <v>31271</v>
      </c>
      <c r="G802" t="s">
        <v>2087</v>
      </c>
      <c r="H802" t="s">
        <v>2134</v>
      </c>
      <c r="J802" t="s">
        <v>995</v>
      </c>
      <c r="K802" t="s">
        <v>1100</v>
      </c>
      <c r="L802" t="s">
        <v>994</v>
      </c>
      <c r="Q802" t="b">
        <v>1</v>
      </c>
      <c r="R802" t="b">
        <v>0</v>
      </c>
      <c r="T802" t="s">
        <v>994</v>
      </c>
      <c r="U802" t="s">
        <v>1061</v>
      </c>
      <c r="V802" t="s">
        <v>997</v>
      </c>
      <c r="W802" t="s">
        <v>1035</v>
      </c>
      <c r="X802" t="s">
        <v>2135</v>
      </c>
    </row>
    <row r="803" spans="1:24" x14ac:dyDescent="0.25">
      <c r="A803" t="s">
        <v>42</v>
      </c>
      <c r="B803" t="s">
        <v>2145</v>
      </c>
      <c r="C803" t="s">
        <v>275</v>
      </c>
      <c r="E803" t="s">
        <v>1018</v>
      </c>
      <c r="F803">
        <v>31228</v>
      </c>
      <c r="G803" t="s">
        <v>2087</v>
      </c>
      <c r="H803" t="s">
        <v>2134</v>
      </c>
      <c r="J803" t="s">
        <v>995</v>
      </c>
      <c r="K803" t="s">
        <v>1107</v>
      </c>
      <c r="L803" t="s">
        <v>994</v>
      </c>
      <c r="Q803" t="b">
        <v>1</v>
      </c>
      <c r="R803" t="b">
        <v>0</v>
      </c>
      <c r="T803" t="s">
        <v>994</v>
      </c>
      <c r="U803" t="s">
        <v>1061</v>
      </c>
      <c r="V803" t="s">
        <v>997</v>
      </c>
      <c r="W803" t="s">
        <v>1035</v>
      </c>
      <c r="X803" t="s">
        <v>2135</v>
      </c>
    </row>
    <row r="804" spans="1:24" x14ac:dyDescent="0.25">
      <c r="A804" t="s">
        <v>42</v>
      </c>
      <c r="B804" t="s">
        <v>2146</v>
      </c>
      <c r="C804" t="s">
        <v>275</v>
      </c>
      <c r="E804" t="s">
        <v>1020</v>
      </c>
      <c r="F804">
        <v>35934</v>
      </c>
      <c r="G804" t="s">
        <v>2087</v>
      </c>
      <c r="H804" t="s">
        <v>2134</v>
      </c>
      <c r="J804" t="s">
        <v>995</v>
      </c>
      <c r="K804" t="s">
        <v>1114</v>
      </c>
      <c r="L804" t="s">
        <v>994</v>
      </c>
      <c r="Q804" t="b">
        <v>1</v>
      </c>
      <c r="R804" t="b">
        <v>0</v>
      </c>
      <c r="T804" t="s">
        <v>994</v>
      </c>
      <c r="U804" t="s">
        <v>1061</v>
      </c>
      <c r="V804" t="s">
        <v>997</v>
      </c>
      <c r="W804" t="s">
        <v>1035</v>
      </c>
      <c r="X804" t="s">
        <v>994</v>
      </c>
    </row>
    <row r="805" spans="1:24" x14ac:dyDescent="0.25">
      <c r="A805" t="s">
        <v>42</v>
      </c>
      <c r="B805" t="s">
        <v>2147</v>
      </c>
      <c r="C805" t="s">
        <v>275</v>
      </c>
      <c r="E805" t="s">
        <v>1022</v>
      </c>
      <c r="F805">
        <v>39696</v>
      </c>
      <c r="G805" t="s">
        <v>2087</v>
      </c>
      <c r="H805" t="s">
        <v>2134</v>
      </c>
      <c r="J805" t="s">
        <v>995</v>
      </c>
      <c r="K805" t="s">
        <v>1120</v>
      </c>
      <c r="L805" t="s">
        <v>994</v>
      </c>
      <c r="Q805" t="b">
        <v>1</v>
      </c>
      <c r="R805" t="b">
        <v>0</v>
      </c>
      <c r="T805" t="s">
        <v>994</v>
      </c>
      <c r="U805" t="s">
        <v>1061</v>
      </c>
      <c r="V805" t="s">
        <v>997</v>
      </c>
      <c r="W805" t="s">
        <v>1035</v>
      </c>
      <c r="X805" t="s">
        <v>2135</v>
      </c>
    </row>
    <row r="806" spans="1:24" x14ac:dyDescent="0.25">
      <c r="A806" t="s">
        <v>42</v>
      </c>
      <c r="B806" t="s">
        <v>2133</v>
      </c>
      <c r="C806" t="s">
        <v>275</v>
      </c>
      <c r="E806" t="s">
        <v>992</v>
      </c>
      <c r="F806">
        <v>17415</v>
      </c>
      <c r="G806" t="s">
        <v>2087</v>
      </c>
      <c r="H806" t="s">
        <v>2134</v>
      </c>
      <c r="J806" t="s">
        <v>995</v>
      </c>
      <c r="K806" t="s">
        <v>1027</v>
      </c>
      <c r="L806" t="s">
        <v>994</v>
      </c>
      <c r="Q806" t="b">
        <v>1</v>
      </c>
      <c r="R806" t="b">
        <v>0</v>
      </c>
      <c r="T806" t="s">
        <v>994</v>
      </c>
      <c r="U806" t="s">
        <v>1061</v>
      </c>
      <c r="V806" t="s">
        <v>997</v>
      </c>
      <c r="W806" t="s">
        <v>1035</v>
      </c>
      <c r="X806" t="s">
        <v>2135</v>
      </c>
    </row>
    <row r="807" spans="1:24" x14ac:dyDescent="0.25">
      <c r="A807" t="s">
        <v>42</v>
      </c>
      <c r="B807" t="s">
        <v>2136</v>
      </c>
      <c r="C807" t="s">
        <v>275</v>
      </c>
      <c r="E807" t="s">
        <v>1000</v>
      </c>
      <c r="F807">
        <v>21838</v>
      </c>
      <c r="G807" t="s">
        <v>2087</v>
      </c>
      <c r="H807" t="s">
        <v>2134</v>
      </c>
      <c r="J807" t="s">
        <v>995</v>
      </c>
      <c r="K807" t="s">
        <v>1039</v>
      </c>
      <c r="L807" t="s">
        <v>994</v>
      </c>
      <c r="Q807" t="b">
        <v>1</v>
      </c>
      <c r="R807" t="b">
        <v>0</v>
      </c>
      <c r="T807" t="s">
        <v>994</v>
      </c>
      <c r="U807" t="s">
        <v>1061</v>
      </c>
      <c r="V807" t="s">
        <v>997</v>
      </c>
      <c r="W807" t="s">
        <v>1035</v>
      </c>
      <c r="X807" t="s">
        <v>2135</v>
      </c>
    </row>
    <row r="808" spans="1:24" x14ac:dyDescent="0.25">
      <c r="A808" t="s">
        <v>42</v>
      </c>
      <c r="B808" t="s">
        <v>2137</v>
      </c>
      <c r="C808" t="s">
        <v>275</v>
      </c>
      <c r="E808" t="s">
        <v>1002</v>
      </c>
      <c r="F808">
        <v>21343</v>
      </c>
      <c r="G808" t="s">
        <v>2087</v>
      </c>
      <c r="H808" t="s">
        <v>2134</v>
      </c>
      <c r="J808" t="s">
        <v>995</v>
      </c>
      <c r="K808" t="s">
        <v>1046</v>
      </c>
      <c r="L808" t="s">
        <v>994</v>
      </c>
      <c r="Q808" t="b">
        <v>1</v>
      </c>
      <c r="R808" t="b">
        <v>0</v>
      </c>
      <c r="T808" t="s">
        <v>994</v>
      </c>
      <c r="U808" t="s">
        <v>1061</v>
      </c>
      <c r="V808" t="s">
        <v>997</v>
      </c>
      <c r="W808" t="s">
        <v>1035</v>
      </c>
      <c r="X808" t="s">
        <v>2135</v>
      </c>
    </row>
    <row r="809" spans="1:24" x14ac:dyDescent="0.25">
      <c r="A809" t="s">
        <v>42</v>
      </c>
      <c r="B809" t="s">
        <v>2138</v>
      </c>
      <c r="C809" t="s">
        <v>275</v>
      </c>
      <c r="E809" t="s">
        <v>1004</v>
      </c>
      <c r="F809">
        <v>23697</v>
      </c>
      <c r="G809" t="s">
        <v>2087</v>
      </c>
      <c r="H809" t="s">
        <v>2134</v>
      </c>
      <c r="J809" t="s">
        <v>995</v>
      </c>
      <c r="K809" t="s">
        <v>1055</v>
      </c>
      <c r="L809" t="s">
        <v>994</v>
      </c>
      <c r="Q809" t="b">
        <v>1</v>
      </c>
      <c r="R809" t="b">
        <v>0</v>
      </c>
      <c r="T809" t="s">
        <v>994</v>
      </c>
      <c r="U809" t="s">
        <v>1061</v>
      </c>
      <c r="V809" t="s">
        <v>997</v>
      </c>
      <c r="W809" t="s">
        <v>1035</v>
      </c>
      <c r="X809" t="s">
        <v>994</v>
      </c>
    </row>
    <row r="810" spans="1:24" x14ac:dyDescent="0.25">
      <c r="A810" t="s">
        <v>42</v>
      </c>
      <c r="B810" t="s">
        <v>2139</v>
      </c>
      <c r="C810" t="s">
        <v>275</v>
      </c>
      <c r="E810" t="s">
        <v>1006</v>
      </c>
      <c r="F810">
        <v>25472</v>
      </c>
      <c r="G810" t="s">
        <v>2087</v>
      </c>
      <c r="H810" t="s">
        <v>2134</v>
      </c>
      <c r="J810" t="s">
        <v>995</v>
      </c>
      <c r="K810" t="s">
        <v>1065</v>
      </c>
      <c r="L810" t="s">
        <v>994</v>
      </c>
      <c r="Q810" t="b">
        <v>1</v>
      </c>
      <c r="R810" t="b">
        <v>0</v>
      </c>
      <c r="T810" t="s">
        <v>994</v>
      </c>
      <c r="U810" t="s">
        <v>1061</v>
      </c>
      <c r="V810" t="s">
        <v>997</v>
      </c>
      <c r="W810" t="s">
        <v>1035</v>
      </c>
      <c r="X810" t="s">
        <v>2135</v>
      </c>
    </row>
    <row r="811" spans="1:24" x14ac:dyDescent="0.25">
      <c r="A811" t="s">
        <v>42</v>
      </c>
      <c r="B811" t="s">
        <v>2140</v>
      </c>
      <c r="C811" t="s">
        <v>275</v>
      </c>
      <c r="E811" t="s">
        <v>1008</v>
      </c>
      <c r="F811">
        <v>27425</v>
      </c>
      <c r="G811" t="s">
        <v>2087</v>
      </c>
      <c r="H811" t="s">
        <v>2134</v>
      </c>
      <c r="J811" t="s">
        <v>995</v>
      </c>
      <c r="K811" t="s">
        <v>1072</v>
      </c>
      <c r="L811" t="s">
        <v>994</v>
      </c>
      <c r="Q811" t="b">
        <v>1</v>
      </c>
      <c r="R811" t="b">
        <v>0</v>
      </c>
      <c r="T811" t="s">
        <v>994</v>
      </c>
      <c r="U811" t="s">
        <v>1061</v>
      </c>
      <c r="V811" t="s">
        <v>997</v>
      </c>
      <c r="W811" t="s">
        <v>1035</v>
      </c>
      <c r="X811" t="s">
        <v>2135</v>
      </c>
    </row>
    <row r="812" spans="1:24" x14ac:dyDescent="0.25">
      <c r="A812" t="s">
        <v>42</v>
      </c>
      <c r="B812" t="s">
        <v>2141</v>
      </c>
      <c r="C812" t="s">
        <v>275</v>
      </c>
      <c r="E812" t="s">
        <v>1010</v>
      </c>
      <c r="F812">
        <v>28521</v>
      </c>
      <c r="G812" t="s">
        <v>2087</v>
      </c>
      <c r="H812" t="s">
        <v>2134</v>
      </c>
      <c r="J812" t="s">
        <v>995</v>
      </c>
      <c r="K812" t="s">
        <v>1079</v>
      </c>
      <c r="L812" t="s">
        <v>994</v>
      </c>
      <c r="Q812" t="b">
        <v>1</v>
      </c>
      <c r="R812" t="b">
        <v>0</v>
      </c>
      <c r="T812" t="s">
        <v>994</v>
      </c>
      <c r="U812" t="s">
        <v>1061</v>
      </c>
      <c r="V812" t="s">
        <v>997</v>
      </c>
      <c r="W812" t="s">
        <v>1035</v>
      </c>
      <c r="X812" t="s">
        <v>2135</v>
      </c>
    </row>
    <row r="813" spans="1:24" x14ac:dyDescent="0.25">
      <c r="A813" t="s">
        <v>42</v>
      </c>
      <c r="B813" t="s">
        <v>2142</v>
      </c>
      <c r="C813" t="s">
        <v>275</v>
      </c>
      <c r="E813" t="s">
        <v>1012</v>
      </c>
      <c r="F813">
        <v>30972</v>
      </c>
      <c r="G813" t="s">
        <v>2087</v>
      </c>
      <c r="H813" t="s">
        <v>2134</v>
      </c>
      <c r="J813" t="s">
        <v>995</v>
      </c>
      <c r="K813" t="s">
        <v>1086</v>
      </c>
      <c r="L813" t="s">
        <v>994</v>
      </c>
      <c r="Q813" t="b">
        <v>1</v>
      </c>
      <c r="R813" t="b">
        <v>0</v>
      </c>
      <c r="T813" t="s">
        <v>994</v>
      </c>
      <c r="U813" t="s">
        <v>1061</v>
      </c>
      <c r="V813" t="s">
        <v>997</v>
      </c>
      <c r="W813" t="s">
        <v>1035</v>
      </c>
      <c r="X813" t="s">
        <v>994</v>
      </c>
    </row>
    <row r="814" spans="1:24" x14ac:dyDescent="0.25">
      <c r="A814" t="s">
        <v>42</v>
      </c>
      <c r="B814" t="s">
        <v>2143</v>
      </c>
      <c r="C814" t="s">
        <v>275</v>
      </c>
      <c r="E814" t="s">
        <v>1014</v>
      </c>
      <c r="F814">
        <v>30606</v>
      </c>
      <c r="G814" t="s">
        <v>2087</v>
      </c>
      <c r="H814" t="s">
        <v>2134</v>
      </c>
      <c r="J814" t="s">
        <v>995</v>
      </c>
      <c r="K814" t="s">
        <v>1092</v>
      </c>
      <c r="L814" t="s">
        <v>994</v>
      </c>
      <c r="Q814" t="b">
        <v>1</v>
      </c>
      <c r="R814" t="b">
        <v>0</v>
      </c>
      <c r="T814" t="s">
        <v>994</v>
      </c>
      <c r="U814" t="s">
        <v>1061</v>
      </c>
      <c r="V814" t="s">
        <v>997</v>
      </c>
      <c r="W814" t="s">
        <v>1035</v>
      </c>
      <c r="X814" t="s">
        <v>2135</v>
      </c>
    </row>
    <row r="815" spans="1:24" x14ac:dyDescent="0.25">
      <c r="A815" t="s">
        <v>42</v>
      </c>
      <c r="B815" t="s">
        <v>2144</v>
      </c>
      <c r="C815" t="s">
        <v>275</v>
      </c>
      <c r="E815" t="s">
        <v>1016</v>
      </c>
      <c r="F815">
        <v>31271</v>
      </c>
      <c r="G815" t="s">
        <v>2087</v>
      </c>
      <c r="H815" t="s">
        <v>2134</v>
      </c>
      <c r="J815" t="s">
        <v>995</v>
      </c>
      <c r="K815" t="s">
        <v>1100</v>
      </c>
      <c r="L815" t="s">
        <v>994</v>
      </c>
      <c r="Q815" t="b">
        <v>1</v>
      </c>
      <c r="R815" t="b">
        <v>0</v>
      </c>
      <c r="T815" t="s">
        <v>994</v>
      </c>
      <c r="U815" t="s">
        <v>1061</v>
      </c>
      <c r="V815" t="s">
        <v>997</v>
      </c>
      <c r="W815" t="s">
        <v>1035</v>
      </c>
      <c r="X815" t="s">
        <v>2135</v>
      </c>
    </row>
    <row r="816" spans="1:24" x14ac:dyDescent="0.25">
      <c r="A816" t="s">
        <v>42</v>
      </c>
      <c r="B816" t="s">
        <v>2145</v>
      </c>
      <c r="C816" t="s">
        <v>275</v>
      </c>
      <c r="E816" t="s">
        <v>1018</v>
      </c>
      <c r="F816">
        <v>31228</v>
      </c>
      <c r="G816" t="s">
        <v>2087</v>
      </c>
      <c r="H816" t="s">
        <v>2134</v>
      </c>
      <c r="J816" t="s">
        <v>995</v>
      </c>
      <c r="K816" t="s">
        <v>1107</v>
      </c>
      <c r="L816" t="s">
        <v>994</v>
      </c>
      <c r="Q816" t="b">
        <v>1</v>
      </c>
      <c r="R816" t="b">
        <v>0</v>
      </c>
      <c r="T816" t="s">
        <v>994</v>
      </c>
      <c r="U816" t="s">
        <v>1061</v>
      </c>
      <c r="V816" t="s">
        <v>997</v>
      </c>
      <c r="W816" t="s">
        <v>1035</v>
      </c>
      <c r="X816" t="s">
        <v>2135</v>
      </c>
    </row>
    <row r="817" spans="1:24" x14ac:dyDescent="0.25">
      <c r="A817" t="s">
        <v>42</v>
      </c>
      <c r="B817" t="s">
        <v>2146</v>
      </c>
      <c r="C817" t="s">
        <v>275</v>
      </c>
      <c r="E817" t="s">
        <v>1020</v>
      </c>
      <c r="F817">
        <v>35934</v>
      </c>
      <c r="G817" t="s">
        <v>2087</v>
      </c>
      <c r="H817" t="s">
        <v>2134</v>
      </c>
      <c r="J817" t="s">
        <v>995</v>
      </c>
      <c r="K817" t="s">
        <v>1114</v>
      </c>
      <c r="L817" t="s">
        <v>994</v>
      </c>
      <c r="Q817" t="b">
        <v>1</v>
      </c>
      <c r="R817" t="b">
        <v>0</v>
      </c>
      <c r="T817" t="s">
        <v>994</v>
      </c>
      <c r="U817" t="s">
        <v>1061</v>
      </c>
      <c r="V817" t="s">
        <v>997</v>
      </c>
      <c r="W817" t="s">
        <v>1035</v>
      </c>
      <c r="X817" t="s">
        <v>994</v>
      </c>
    </row>
    <row r="818" spans="1:24" x14ac:dyDescent="0.25">
      <c r="A818" t="s">
        <v>42</v>
      </c>
      <c r="B818" t="s">
        <v>2147</v>
      </c>
      <c r="C818" t="s">
        <v>275</v>
      </c>
      <c r="E818" t="s">
        <v>1022</v>
      </c>
      <c r="F818">
        <v>39696</v>
      </c>
      <c r="G818" t="s">
        <v>2087</v>
      </c>
      <c r="H818" t="s">
        <v>2134</v>
      </c>
      <c r="J818" t="s">
        <v>995</v>
      </c>
      <c r="K818" t="s">
        <v>1120</v>
      </c>
      <c r="L818" t="s">
        <v>994</v>
      </c>
      <c r="Q818" t="b">
        <v>1</v>
      </c>
      <c r="R818" t="b">
        <v>0</v>
      </c>
      <c r="T818" t="s">
        <v>994</v>
      </c>
      <c r="U818" t="s">
        <v>1061</v>
      </c>
      <c r="V818" t="s">
        <v>997</v>
      </c>
      <c r="W818" t="s">
        <v>1035</v>
      </c>
      <c r="X818" t="s">
        <v>2135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